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3.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defaultThemeVersion="166925"/>
  <mc:AlternateContent xmlns:mc="http://schemas.openxmlformats.org/markup-compatibility/2006">
    <mc:Choice Requires="x15">
      <x15ac:absPath xmlns:x15ac="http://schemas.microsoft.com/office/spreadsheetml/2010/11/ac" url="\\ch-p00n-fls01\F18202000_こども未来局幼児教育・保育部幼保運営課\09保育係\06 民間保育園補助金関係\01 保育士等配置基準改善事業補助金\★保育士配置基準補助金\R7\01  申請・ふりこみ資料\01 当初交付\01 園に送付\02 認定こども園\"/>
    </mc:Choice>
  </mc:AlternateContent>
  <xr:revisionPtr revIDLastSave="0" documentId="13_ncr:1_{5393A4D2-28AF-4119-9829-9180C5F94160}" xr6:coauthVersionLast="47" xr6:coauthVersionMax="47" xr10:uidLastSave="{00000000-0000-0000-0000-000000000000}"/>
  <workbookProtection workbookAlgorithmName="SHA-512" workbookHashValue="m3cos5clRHmutIN5LqCxa9cCuscHusE6spU5WK3gxTwflsivoopY5+HyLVzOYXYeVqszoJ7FiZvIBS7g42QiCg==" workbookSaltValue="CLXpvHgL4fy12Pz2tH3AdQ==" workbookSpinCount="100000" lockStructure="1"/>
  <bookViews>
    <workbookView xWindow="29040" yWindow="165" windowWidth="15585" windowHeight="14775" tabRatio="759" firstSheet="9" activeTab="9" xr2:uid="{4DFF945B-4F75-43A7-8E54-EF523294E1F5}"/>
  </bookViews>
  <sheets>
    <sheet name="カメラ" sheetId="63" state="hidden" r:id="rId1"/>
    <sheet name="リスト" sheetId="24" state="hidden" r:id="rId2"/>
    <sheet name="補助金用基本データ" sheetId="22" state="hidden" r:id="rId3"/>
    <sheet name="個別データ" sheetId="21" state="hidden" r:id="rId4"/>
    <sheet name="修正等箇所" sheetId="54" state="hidden" r:id="rId5"/>
    <sheet name="補助転記" sheetId="53" state="hidden" r:id="rId6"/>
    <sheet name="⓪ファイルの説明（実績）" sheetId="55" state="hidden" r:id="rId7"/>
    <sheet name="補助転記（ボツ）" sheetId="59" state="hidden" r:id="rId8"/>
    <sheet name="⓪ファイルの説明（第二期分割請求）" sheetId="60" state="hidden" r:id="rId9"/>
    <sheet name="⓪ファイルの説明（当初用）" sheetId="56" r:id="rId10"/>
    <sheet name="⓪ファイルの説明（第二期当初交付）" sheetId="61" state="hidden" r:id="rId11"/>
    <sheet name="①基本情報" sheetId="2" r:id="rId12"/>
    <sheet name="②-1職員名簿" sheetId="3" r:id="rId13"/>
    <sheet name="②-2勤務時間数入力" sheetId="4" r:id="rId14"/>
    <sheet name="③児童数及び職員定数 (2)-(1)" sheetId="5" r:id="rId15"/>
    <sheet name="④-1月別配置内訳書(2)-(2)-(A)" sheetId="6" r:id="rId16"/>
    <sheet name="④-2月別配置内訳書(2)-(2)-(B)" sheetId="7" r:id="rId17"/>
    <sheet name="④-3月別配置内訳書(2)-(2)-(C)・(D)" sheetId="8" r:id="rId18"/>
    <sheet name="④-４月別配置内訳書(2)-(2)-(E)" sheetId="32" r:id="rId19"/>
    <sheet name="判定" sheetId="30" state="hidden" r:id="rId20"/>
    <sheet name="⑤基本加算１" sheetId="33" r:id="rId21"/>
    <sheet name="⑥基本加算２" sheetId="38" r:id="rId22"/>
    <sheet name="⑦基本加算３" sheetId="39" r:id="rId23"/>
    <sheet name="⑧一般加算１" sheetId="37" r:id="rId24"/>
    <sheet name="⑨一般加算２" sheetId="40" r:id="rId25"/>
    <sheet name="⑩特定加算１" sheetId="36" r:id="rId26"/>
    <sheet name="⑪特定加算２" sheetId="41" r:id="rId27"/>
    <sheet name="様式１（第二期当初交付）" sheetId="57" state="hidden" r:id="rId28"/>
    <sheet name="⑫公定価格加算分" sheetId="62" r:id="rId29"/>
    <sheet name="様式１" sheetId="34" r:id="rId30"/>
    <sheet name="様式３（第二期）" sheetId="43" state="hidden" r:id="rId31"/>
    <sheet name="様式３" sheetId="35" r:id="rId32"/>
    <sheet name="様式４" sheetId="45" state="hidden" r:id="rId33"/>
    <sheet name="様式６" sheetId="46" state="hidden" r:id="rId34"/>
    <sheet name="様式８" sheetId="47" state="hidden" r:id="rId35"/>
    <sheet name="精算書" sheetId="48" state="hidden"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xlnm.Print_Area_1">"給付"</definedName>
    <definedName name="_xlnm._FilterDatabase" localSheetId="12" hidden="1">'②-1職員名簿'!$A$6:$BJ$6</definedName>
    <definedName name="_xlnm._FilterDatabase" localSheetId="3" hidden="1">個別データ!$A$4:$GW$30</definedName>
    <definedName name="_xlnm._FilterDatabase" localSheetId="2" hidden="1">補助金用基本データ!$A$4:$WUV$59</definedName>
    <definedName name="_Order1" hidden="1">0</definedName>
    <definedName name="a" localSheetId="10">#REF!</definedName>
    <definedName name="a" localSheetId="8">#REF!</definedName>
    <definedName name="a" localSheetId="9">#REF!</definedName>
    <definedName name="a" localSheetId="4">#REF!</definedName>
    <definedName name="a" localSheetId="27">#REF!</definedName>
    <definedName name="a">#REF!</definedName>
    <definedName name="aa" localSheetId="10">#REF!</definedName>
    <definedName name="aa" localSheetId="8">#REF!</definedName>
    <definedName name="aa" localSheetId="9">#REF!</definedName>
    <definedName name="aa" localSheetId="27">#REF!</definedName>
    <definedName name="aa">#REF!</definedName>
    <definedName name="aaa"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28"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3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 localSheetId="10">#REF!</definedName>
    <definedName name="aaaa" localSheetId="8">#REF!</definedName>
    <definedName name="aaaa" localSheetId="9">#REF!</definedName>
    <definedName name="aaaa" localSheetId="4">#REF!</definedName>
    <definedName name="aaaa" localSheetId="27">#REF!</definedName>
    <definedName name="aaaa">#REF!</definedName>
    <definedName name="aaaaa" localSheetId="10">#REF!</definedName>
    <definedName name="aaaaa" localSheetId="8">#REF!</definedName>
    <definedName name="aaaaa" localSheetId="9">#REF!</definedName>
    <definedName name="aaaaa" localSheetId="27">#REF!</definedName>
    <definedName name="aaaaa">#REF!</definedName>
    <definedName name="b" localSheetId="6" hidden="1">{"'フローチャート'!$A$1:$AO$191"}</definedName>
    <definedName name="b" localSheetId="10" hidden="1">{"'フローチャート'!$A$1:$AO$191"}</definedName>
    <definedName name="b" localSheetId="8" hidden="1">{"'フローチャート'!$A$1:$AO$191"}</definedName>
    <definedName name="b" localSheetId="9" hidden="1">{"'フローチャート'!$A$1:$AO$191"}</definedName>
    <definedName name="b" localSheetId="28" hidden="1">{"'フローチャート'!$A$1:$AO$191"}</definedName>
    <definedName name="b" localSheetId="0" hidden="1">{"'フローチャート'!$A$1:$AO$191"}</definedName>
    <definedName name="b" localSheetId="4" hidden="1">{"'フローチャート'!$A$1:$AO$191"}</definedName>
    <definedName name="b" localSheetId="5" hidden="1">{"'フローチャート'!$A$1:$AO$191"}</definedName>
    <definedName name="b" localSheetId="7" hidden="1">{"'フローチャート'!$A$1:$AO$191"}</definedName>
    <definedName name="b" localSheetId="30" hidden="1">{"'フローチャート'!$A$1:$AO$191"}</definedName>
    <definedName name="b" hidden="1">{"'フローチャート'!$A$1:$AO$191"}</definedName>
    <definedName name="bb" localSheetId="6" hidden="1">{"'フローチャート'!$A$1:$AO$191"}</definedName>
    <definedName name="bb" localSheetId="10" hidden="1">{"'フローチャート'!$A$1:$AO$191"}</definedName>
    <definedName name="bb" localSheetId="8" hidden="1">{"'フローチャート'!$A$1:$AO$191"}</definedName>
    <definedName name="bb" localSheetId="9" hidden="1">{"'フローチャート'!$A$1:$AO$191"}</definedName>
    <definedName name="bb" localSheetId="28" hidden="1">{"'フローチャート'!$A$1:$AO$191"}</definedName>
    <definedName name="bb" localSheetId="0" hidden="1">{"'フローチャート'!$A$1:$AO$191"}</definedName>
    <definedName name="bb" localSheetId="4" hidden="1">{"'フローチャート'!$A$1:$AO$191"}</definedName>
    <definedName name="bb" localSheetId="5" hidden="1">{"'フローチャート'!$A$1:$AO$191"}</definedName>
    <definedName name="bb" localSheetId="7" hidden="1">{"'フローチャート'!$A$1:$AO$191"}</definedName>
    <definedName name="bb" localSheetId="30" hidden="1">{"'フローチャート'!$A$1:$AO$191"}</definedName>
    <definedName name="bb" hidden="1">{"'フローチャート'!$A$1:$AO$191"}</definedName>
    <definedName name="H" localSheetId="6" hidden="1">{"'フローチャート'!$A$1:$AO$191"}</definedName>
    <definedName name="H" localSheetId="10" hidden="1">{"'フローチャート'!$A$1:$AO$191"}</definedName>
    <definedName name="H" localSheetId="8" hidden="1">{"'フローチャート'!$A$1:$AO$191"}</definedName>
    <definedName name="H" localSheetId="9" hidden="1">{"'フローチャート'!$A$1:$AO$191"}</definedName>
    <definedName name="H" localSheetId="28" hidden="1">{"'フローチャート'!$A$1:$AO$191"}</definedName>
    <definedName name="H" localSheetId="0" hidden="1">{"'フローチャート'!$A$1:$AO$191"}</definedName>
    <definedName name="H" localSheetId="4" hidden="1">{"'フローチャート'!$A$1:$AO$191"}</definedName>
    <definedName name="H" localSheetId="5" hidden="1">{"'フローチャート'!$A$1:$AO$191"}</definedName>
    <definedName name="H" localSheetId="7" hidden="1">{"'フローチャート'!$A$1:$AO$191"}</definedName>
    <definedName name="H" localSheetId="30" hidden="1">{"'フローチャート'!$A$1:$AO$191"}</definedName>
    <definedName name="H" hidden="1">{"'フローチャート'!$A$1:$AO$191"}</definedName>
    <definedName name="HTML_CodePage" hidden="1">932</definedName>
    <definedName name="HTML_Control" localSheetId="6" hidden="1">{"'フローチャート'!$A$1:$AO$191"}</definedName>
    <definedName name="HTML_Control" localSheetId="10" hidden="1">{"'フローチャート'!$A$1:$AO$191"}</definedName>
    <definedName name="HTML_Control" localSheetId="8" hidden="1">{"'フローチャート'!$A$1:$AO$191"}</definedName>
    <definedName name="HTML_Control" localSheetId="9" hidden="1">{"'フローチャート'!$A$1:$AO$191"}</definedName>
    <definedName name="HTML_Control" localSheetId="28" hidden="1">{"'フローチャート'!$A$1:$AO$191"}</definedName>
    <definedName name="HTML_Control" localSheetId="0" hidden="1">{"'フローチャート'!$A$1:$AO$191"}</definedName>
    <definedName name="HTML_Control" localSheetId="4" hidden="1">{"'フローチャート'!$A$1:$AO$191"}</definedName>
    <definedName name="HTML_Control" localSheetId="5" hidden="1">{"'フローチャート'!$A$1:$AO$191"}</definedName>
    <definedName name="HTML_Control" localSheetId="7" hidden="1">{"'フローチャート'!$A$1:$AO$191"}</definedName>
    <definedName name="HTML_Control" localSheetId="30"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6" hidden="1">{"'フローチャート'!$A$1:$AO$191"}</definedName>
    <definedName name="I" localSheetId="10" hidden="1">{"'フローチャート'!$A$1:$AO$191"}</definedName>
    <definedName name="I" localSheetId="8" hidden="1">{"'フローチャート'!$A$1:$AO$191"}</definedName>
    <definedName name="I" localSheetId="9" hidden="1">{"'フローチャート'!$A$1:$AO$191"}</definedName>
    <definedName name="I" localSheetId="28" hidden="1">{"'フローチャート'!$A$1:$AO$191"}</definedName>
    <definedName name="I" localSheetId="0" hidden="1">{"'フローチャート'!$A$1:$AO$191"}</definedName>
    <definedName name="I" localSheetId="4" hidden="1">{"'フローチャート'!$A$1:$AO$191"}</definedName>
    <definedName name="I" localSheetId="5" hidden="1">{"'フローチャート'!$A$1:$AO$191"}</definedName>
    <definedName name="I" localSheetId="7" hidden="1">{"'フローチャート'!$A$1:$AO$191"}</definedName>
    <definedName name="I" localSheetId="30" hidden="1">{"'フローチャート'!$A$1:$AO$191"}</definedName>
    <definedName name="I" hidden="1">{"'フローチャート'!$A$1:$AO$191"}</definedName>
    <definedName name="nn" localSheetId="6" hidden="1">{"'フローチャート'!$A$1:$AO$191"}</definedName>
    <definedName name="nn" localSheetId="10" hidden="1">{"'フローチャート'!$A$1:$AO$191"}</definedName>
    <definedName name="nn" localSheetId="8" hidden="1">{"'フローチャート'!$A$1:$AO$191"}</definedName>
    <definedName name="nn" localSheetId="9" hidden="1">{"'フローチャート'!$A$1:$AO$191"}</definedName>
    <definedName name="nn" localSheetId="28" hidden="1">{"'フローチャート'!$A$1:$AO$191"}</definedName>
    <definedName name="nn" localSheetId="0" hidden="1">{"'フローチャート'!$A$1:$AO$191"}</definedName>
    <definedName name="nn" localSheetId="4" hidden="1">{"'フローチャート'!$A$1:$AO$191"}</definedName>
    <definedName name="nn" localSheetId="5" hidden="1">{"'フローチャート'!$A$1:$AO$191"}</definedName>
    <definedName name="nn" localSheetId="7" hidden="1">{"'フローチャート'!$A$1:$AO$191"}</definedName>
    <definedName name="nn" localSheetId="30" hidden="1">{"'フローチャート'!$A$1:$AO$191"}</definedName>
    <definedName name="nn" hidden="1">{"'フローチャート'!$A$1:$AO$191"}</definedName>
    <definedName name="_xlnm.Print_Area" localSheetId="6">'⓪ファイルの説明（実績）'!$A$1:$K$22</definedName>
    <definedName name="_xlnm.Print_Area" localSheetId="10">'⓪ファイルの説明（第二期当初交付）'!$A$1:$K$28</definedName>
    <definedName name="_xlnm.Print_Area" localSheetId="8">'⓪ファイルの説明（第二期分割請求）'!$A$1:$K$30</definedName>
    <definedName name="_xlnm.Print_Area" localSheetId="9">'⓪ファイルの説明（当初用）'!$A$1:$K$26</definedName>
    <definedName name="_xlnm.Print_Area" localSheetId="11">①基本情報!$A$1:$Q$46</definedName>
    <definedName name="_xlnm.Print_Area" localSheetId="12">'②-1職員名簿'!$A$1:$X$115</definedName>
    <definedName name="_xlnm.Print_Area" localSheetId="13">'②-2勤務時間数入力'!$A$1:$F$106</definedName>
    <definedName name="_xlnm.Print_Area" localSheetId="14">'③児童数及び職員定数 (2)-(1)'!$A$1:$U$39</definedName>
    <definedName name="_xlnm.Print_Area" localSheetId="15">'④-1月別配置内訳書(2)-(2)-(A)'!$A$1:$AI$24</definedName>
    <definedName name="_xlnm.Print_Area" localSheetId="16">'④-2月別配置内訳書(2)-(2)-(B)'!$A$1:$AH$21</definedName>
    <definedName name="_xlnm.Print_Area" localSheetId="17">'④-3月別配置内訳書(2)-(2)-(C)・(D)'!$A$1:$AT$20</definedName>
    <definedName name="_xlnm.Print_Area" localSheetId="18">'④-４月別配置内訳書(2)-(2)-(E)'!$A$1:$V$20</definedName>
    <definedName name="_xlnm.Print_Area" localSheetId="20">⑤基本加算１!$A$1:$K$30</definedName>
    <definedName name="_xlnm.Print_Area" localSheetId="21">⑥基本加算２!$A$1:$J$30</definedName>
    <definedName name="_xlnm.Print_Area" localSheetId="22">⑦基本加算３!$A$1:$J$30</definedName>
    <definedName name="_xlnm.Print_Area" localSheetId="23">⑧一般加算１!$A$1:$N$78</definedName>
    <definedName name="_xlnm.Print_Area" localSheetId="24">⑨一般加算２!$A$1:$N$78</definedName>
    <definedName name="_xlnm.Print_Area" localSheetId="25">⑩特定加算１!$A$1:$J$138</definedName>
    <definedName name="_xlnm.Print_Area" localSheetId="26">⑪特定加算２!$A$1:$J$66</definedName>
    <definedName name="_xlnm.Print_Area" localSheetId="28">⑫公定価格加算分!$A$1:$K$16</definedName>
    <definedName name="_xlnm.Print_Area" localSheetId="4">修正等箇所!$A$1:$P$39</definedName>
    <definedName name="_xlnm.Print_Area" localSheetId="35">精算書!$A$1:$D$23</definedName>
    <definedName name="_xlnm.Print_Area" localSheetId="2">補助金用基本データ!$C$2:$S$58</definedName>
    <definedName name="_xlnm.Print_Area" localSheetId="5">補助転記!$A$1:$AE$22</definedName>
    <definedName name="_xlnm.Print_Area" localSheetId="7">'補助転記（ボツ）'!$A$1:$AC$21</definedName>
    <definedName name="_xlnm.Print_Area" localSheetId="29">様式１!$A$1:$L$36</definedName>
    <definedName name="_xlnm.Print_Area" localSheetId="27">'様式１（第二期当初交付）'!$A$1:$L$34</definedName>
    <definedName name="_xlnm.Print_Area" localSheetId="31">様式３!$A$1:$H$39</definedName>
    <definedName name="_xlnm.Print_Area" localSheetId="30">'様式３（第二期）'!$A$1:$U$36</definedName>
    <definedName name="_xlnm.Print_Area" localSheetId="32">様式４!$A$1:$H$45</definedName>
    <definedName name="_xlnm.Print_Area" localSheetId="33">様式６!$A$1:$H$38</definedName>
    <definedName name="_xlnm.Print_Area" localSheetId="34">様式８!$A$1:$H$57</definedName>
    <definedName name="_xlnm.Print_Titles" localSheetId="12">'②-1職員名簿'!$1:$6</definedName>
    <definedName name="_xlnm.Print_Titles" localSheetId="13">'②-2勤務時間数入力'!$A:$B,'②-2勤務時間数入力'!$1:$6</definedName>
    <definedName name="_xlnm.Print_Titles" localSheetId="14">'③児童数及び職員定数 (2)-(1)'!$1:$9</definedName>
    <definedName name="q" localSheetId="6" hidden="1">{"'フローチャート'!$A$1:$AO$191"}</definedName>
    <definedName name="q" localSheetId="10" hidden="1">{"'フローチャート'!$A$1:$AO$191"}</definedName>
    <definedName name="q" localSheetId="8" hidden="1">{"'フローチャート'!$A$1:$AO$191"}</definedName>
    <definedName name="q" localSheetId="9" hidden="1">{"'フローチャート'!$A$1:$AO$191"}</definedName>
    <definedName name="q" localSheetId="28" hidden="1">{"'フローチャート'!$A$1:$AO$191"}</definedName>
    <definedName name="q" localSheetId="0" hidden="1">{"'フローチャート'!$A$1:$AO$191"}</definedName>
    <definedName name="q" localSheetId="4" hidden="1">{"'フローチャート'!$A$1:$AO$191"}</definedName>
    <definedName name="q" localSheetId="5" hidden="1">{"'フローチャート'!$A$1:$AO$191"}</definedName>
    <definedName name="q" localSheetId="7" hidden="1">{"'フローチャート'!$A$1:$AO$191"}</definedName>
    <definedName name="q" localSheetId="30" hidden="1">{"'フローチャート'!$A$1:$AO$191"}</definedName>
    <definedName name="q" hidden="1">{"'フローチャート'!$A$1:$AO$191"}</definedName>
    <definedName name="t" localSheetId="6" hidden="1">{"'フローチャート'!$A$1:$AO$191"}</definedName>
    <definedName name="t" localSheetId="10" hidden="1">{"'フローチャート'!$A$1:$AO$191"}</definedName>
    <definedName name="t" localSheetId="8" hidden="1">{"'フローチャート'!$A$1:$AO$191"}</definedName>
    <definedName name="t" localSheetId="9" hidden="1">{"'フローチャート'!$A$1:$AO$191"}</definedName>
    <definedName name="t" localSheetId="28" hidden="1">{"'フローチャート'!$A$1:$AO$191"}</definedName>
    <definedName name="t" localSheetId="0" hidden="1">{"'フローチャート'!$A$1:$AO$191"}</definedName>
    <definedName name="t" localSheetId="4" hidden="1">{"'フローチャート'!$A$1:$AO$191"}</definedName>
    <definedName name="t" localSheetId="5" hidden="1">{"'フローチャート'!$A$1:$AO$191"}</definedName>
    <definedName name="t" localSheetId="7" hidden="1">{"'フローチャート'!$A$1:$AO$191"}</definedName>
    <definedName name="t" localSheetId="30" hidden="1">{"'フローチャート'!$A$1:$AO$191"}</definedName>
    <definedName name="t" hidden="1">{"'フローチャート'!$A$1:$AO$191"}</definedName>
    <definedName name="wrn.世田谷ＤＢ設計書."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2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2" hidden="1">補助金用基本データ!$B$4:$C$4</definedName>
    <definedName name="Z_0855E9E5_5778_4DA3_8566_1EDF1D49F0DC_.wvu.PrintArea" localSheetId="2" hidden="1">補助金用基本データ!$C$2:$C$58</definedName>
    <definedName name="Z_1AC469FC_9911_4D59_8A70_26B86DEBD0C8_.wvu.FilterData" localSheetId="2" hidden="1">補助金用基本データ!$B$4:$C$4</definedName>
    <definedName name="Z_1AC469FC_9911_4D59_8A70_26B86DEBD0C8_.wvu.PrintArea" localSheetId="2" hidden="1">補助金用基本データ!$C$2:$C$58</definedName>
    <definedName name="Z_20A5C208_2D77_47AC_9276_2908DF1B4BC3_.wvu.PrintArea" localSheetId="30" hidden="1">'様式３（第二期）'!$A$1:$U$36</definedName>
    <definedName name="Z_2CD430B6_E22E_4837_A532_DC027AC8837B_.wvu.PrintArea" localSheetId="30" hidden="1">'様式３（第二期）'!$A$1:$U$36</definedName>
    <definedName name="Z_43EEB976_53CC_4F7E_88D7_7B815759E49E_.wvu.FilterData" localSheetId="2" hidden="1">補助金用基本データ!$B$4:$C$4</definedName>
    <definedName name="Z_43EEB976_53CC_4F7E_88D7_7B815759E49E_.wvu.PrintArea" localSheetId="2" hidden="1">補助金用基本データ!$C$2:$C$58</definedName>
    <definedName name="Z_58C72277_C7C4_4202_8712_90341B53DFB6_.wvu.PrintArea" localSheetId="30" hidden="1">'様式３（第二期）'!$A$1:$U$36</definedName>
    <definedName name="Z_81DDB82F_42B8_430D_91D8_AC37557CDF48_.wvu.FilterData" localSheetId="2" hidden="1">補助金用基本データ!$B$4:$C$4</definedName>
    <definedName name="Z_81DDB82F_42B8_430D_91D8_AC37557CDF48_.wvu.PrintArea" localSheetId="2" hidden="1">補助金用基本データ!$C$2:$C$58</definedName>
    <definedName name="Z_825A9524_861D_4AB1_9F7E_61473484221F_.wvu.PrintArea" localSheetId="30" hidden="1">'様式３（第二期）'!$A$1:$U$36</definedName>
    <definedName name="Z_907E403C_CDB0_408C_B470_42BC5E5AFE95_.wvu.PrintArea" localSheetId="30" hidden="1">'様式３（第二期）'!$A$1:$U$36</definedName>
    <definedName name="Z_96158F24_E9CE_4918_A803_4B267D7B4D8A_.wvu.PrintArea" localSheetId="30" hidden="1">'様式３（第二期）'!$A$1:$U$36</definedName>
    <definedName name="Z_A0AAABD4_331B_40F3_BE8F_DCC38A21B5C3_.wvu.PrintArea" localSheetId="30" hidden="1">'様式３（第二期）'!$A$1:$U$36</definedName>
    <definedName name="Z_A8DC9BAF_BC94_472C_8562_FBE78806F0B8_.wvu.PrintArea" localSheetId="30" hidden="1">'様式３（第二期）'!$A$1:$U$36</definedName>
    <definedName name="Z_B09833BA_020A_4C8A_8D09_409E35D68285_.wvu.PrintArea" localSheetId="30" hidden="1">'様式３（第二期）'!$A$1:$U$36</definedName>
    <definedName name="Z_D2DE1783_6368_46E1_8460_C58C18F78F35_.wvu.PrintArea" localSheetId="30" hidden="1">'様式３（第二期）'!$A$1:$U$36</definedName>
    <definedName name="Z_D408A1D9_F3F4_4258_B04E_542B89053B8F_.wvu.PrintArea" localSheetId="30" hidden="1">'様式３（第二期）'!$A$1:$U$36</definedName>
    <definedName name="Z_F10740C2_9C68_4E0A_BFCA_380B4455C684_.wvu.PrintArea" localSheetId="30" hidden="1">'様式３（第二期）'!$A$1:$U$36</definedName>
    <definedName name="Z_FA3D7650_7D67_4568_BB02_AD662D732217_.wvu.PrintArea" localSheetId="30" hidden="1">'様式３（第二期）'!$A$1:$U$36</definedName>
    <definedName name="ｚｚ" localSheetId="6" hidden="1">{"'Sheet1'!$A$1:$I$163"}</definedName>
    <definedName name="ｚｚ" localSheetId="10" hidden="1">{"'Sheet1'!$A$1:$I$163"}</definedName>
    <definedName name="ｚｚ" localSheetId="8" hidden="1">{"'Sheet1'!$A$1:$I$163"}</definedName>
    <definedName name="ｚｚ" localSheetId="9" hidden="1">{"'Sheet1'!$A$1:$I$163"}</definedName>
    <definedName name="ｚｚ" localSheetId="28" hidden="1">{"'Sheet1'!$A$1:$I$163"}</definedName>
    <definedName name="ｚｚ" localSheetId="0" hidden="1">{"'Sheet1'!$A$1:$I$163"}</definedName>
    <definedName name="ｚｚ" localSheetId="4" hidden="1">{"'Sheet1'!$A$1:$I$163"}</definedName>
    <definedName name="ｚｚ" localSheetId="5" hidden="1">{"'Sheet1'!$A$1:$I$163"}</definedName>
    <definedName name="ｚｚ" localSheetId="7" hidden="1">{"'Sheet1'!$A$1:$I$163"}</definedName>
    <definedName name="ｚｚ" localSheetId="30" hidden="1">{"'Sheet1'!$A$1:$I$163"}</definedName>
    <definedName name="ｚｚ" hidden="1">{"'Sheet1'!$A$1:$I$163"}</definedName>
    <definedName name="あ" localSheetId="10">#REF!</definedName>
    <definedName name="あ" localSheetId="8">#REF!</definedName>
    <definedName name="あ" localSheetId="9">#REF!</definedName>
    <definedName name="あ" localSheetId="4">#REF!</definedName>
    <definedName name="あ" localSheetId="27">#REF!</definedName>
    <definedName name="あ">#REF!</definedName>
    <definedName name="あああ"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28"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3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 localSheetId="10">#REF!</definedName>
    <definedName name="あり" localSheetId="8">#REF!</definedName>
    <definedName name="あり" localSheetId="9">#REF!</definedName>
    <definedName name="あり" localSheetId="4">#REF!</definedName>
    <definedName name="あり" localSheetId="27">#REF!</definedName>
    <definedName name="あり">#REF!</definedName>
    <definedName name="あり・なし">'[1]１～３号・対応表'!$I$3:$I$4</definedName>
    <definedName name="う" localSheetId="6">#REF!</definedName>
    <definedName name="う" localSheetId="10">#REF!</definedName>
    <definedName name="う" localSheetId="8">#REF!</definedName>
    <definedName name="う" localSheetId="9">#REF!</definedName>
    <definedName name="う" localSheetId="4">#REF!</definedName>
    <definedName name="う" localSheetId="5">#REF!</definedName>
    <definedName name="う" localSheetId="27">#REF!</definedName>
    <definedName name="う" localSheetId="30">#REF!</definedName>
    <definedName name="う">#REF!</definedName>
    <definedName name="うち" localSheetId="6">#REF!</definedName>
    <definedName name="うち" localSheetId="10">#REF!</definedName>
    <definedName name="うち" localSheetId="8">#REF!</definedName>
    <definedName name="うち" localSheetId="9">#REF!</definedName>
    <definedName name="うち" localSheetId="27">#REF!</definedName>
    <definedName name="うち" localSheetId="30">#REF!</definedName>
    <definedName name="うち">#REF!</definedName>
    <definedName name="え" localSheetId="6" hidden="1">{"'フローチャート'!$A$1:$AO$191"}</definedName>
    <definedName name="え" localSheetId="10" hidden="1">{"'フローチャート'!$A$1:$AO$191"}</definedName>
    <definedName name="え" localSheetId="8" hidden="1">{"'フローチャート'!$A$1:$AO$191"}</definedName>
    <definedName name="え" localSheetId="9" hidden="1">{"'フローチャート'!$A$1:$AO$191"}</definedName>
    <definedName name="え" localSheetId="28" hidden="1">{"'フローチャート'!$A$1:$AO$191"}</definedName>
    <definedName name="え" localSheetId="0" hidden="1">{"'フローチャート'!$A$1:$AO$191"}</definedName>
    <definedName name="え" localSheetId="4" hidden="1">{"'フローチャート'!$A$1:$AO$191"}</definedName>
    <definedName name="え" localSheetId="5" hidden="1">{"'フローチャート'!$A$1:$AO$191"}</definedName>
    <definedName name="え" localSheetId="7" hidden="1">{"'フローチャート'!$A$1:$AO$191"}</definedName>
    <definedName name="え" localSheetId="30" hidden="1">{"'フローチャート'!$A$1:$AO$191"}</definedName>
    <definedName name="え" hidden="1">{"'フローチャート'!$A$1:$AO$191"}</definedName>
    <definedName name="えっｄ" localSheetId="6" hidden="1">{"'Sheet1'!$A$1:$I$163"}</definedName>
    <definedName name="えっｄ" localSheetId="10" hidden="1">{"'Sheet1'!$A$1:$I$163"}</definedName>
    <definedName name="えっｄ" localSheetId="8" hidden="1">{"'Sheet1'!$A$1:$I$163"}</definedName>
    <definedName name="えっｄ" localSheetId="9" hidden="1">{"'Sheet1'!$A$1:$I$163"}</definedName>
    <definedName name="えっｄ" localSheetId="28" hidden="1">{"'Sheet1'!$A$1:$I$163"}</definedName>
    <definedName name="えっｄ" localSheetId="0" hidden="1">{"'Sheet1'!$A$1:$I$163"}</definedName>
    <definedName name="えっｄ" localSheetId="4" hidden="1">{"'Sheet1'!$A$1:$I$163"}</definedName>
    <definedName name="えっｄ" localSheetId="5" hidden="1">{"'Sheet1'!$A$1:$I$163"}</definedName>
    <definedName name="えっｄ" localSheetId="7" hidden="1">{"'Sheet1'!$A$1:$I$163"}</definedName>
    <definedName name="えっｄ" localSheetId="30" hidden="1">{"'Sheet1'!$A$1:$I$163"}</definedName>
    <definedName name="えっｄ" hidden="1">{"'Sheet1'!$A$1:$I$163"}</definedName>
    <definedName name="カテゴリ">[2]リスト!$C$4:$C$15</definedName>
    <definedName name="チーム保育人数">'[3]１～３号・対応表'!$N$3:$N$7</definedName>
    <definedName name="なし" localSheetId="6">#REF!</definedName>
    <definedName name="なし" localSheetId="10">#REF!</definedName>
    <definedName name="なし" localSheetId="8">#REF!</definedName>
    <definedName name="なし" localSheetId="9">#REF!</definedName>
    <definedName name="なし" localSheetId="4">#REF!</definedName>
    <definedName name="なし" localSheetId="5">#REF!</definedName>
    <definedName name="なし" localSheetId="27">#REF!</definedName>
    <definedName name="なし" localSheetId="30">#REF!</definedName>
    <definedName name="なし">#REF!</definedName>
    <definedName name="一般" localSheetId="6">#REF!</definedName>
    <definedName name="一般" localSheetId="10">#REF!</definedName>
    <definedName name="一般" localSheetId="8">#REF!</definedName>
    <definedName name="一般" localSheetId="9">#REF!</definedName>
    <definedName name="一般" localSheetId="27">#REF!</definedName>
    <definedName name="一般" localSheetId="30">#REF!</definedName>
    <definedName name="一般">#REF!</definedName>
    <definedName name="一般1" localSheetId="6">#REF!</definedName>
    <definedName name="一般1" localSheetId="10">#REF!</definedName>
    <definedName name="一般1" localSheetId="8">#REF!</definedName>
    <definedName name="一般1" localSheetId="9">#REF!</definedName>
    <definedName name="一般1" localSheetId="27">#REF!</definedName>
    <definedName name="一般1" localSheetId="30">#REF!</definedName>
    <definedName name="一般1">#REF!</definedName>
    <definedName name="一般10" localSheetId="27">#REF!</definedName>
    <definedName name="一般10">#REF!</definedName>
    <definedName name="一般11" localSheetId="27">#REF!</definedName>
    <definedName name="一般11">#REF!</definedName>
    <definedName name="一般12" localSheetId="27">#REF!</definedName>
    <definedName name="一般12">#REF!</definedName>
    <definedName name="一般2" localSheetId="27">#REF!</definedName>
    <definedName name="一般2">#REF!</definedName>
    <definedName name="一般3" localSheetId="27">#REF!</definedName>
    <definedName name="一般3">#REF!</definedName>
    <definedName name="一般4" localSheetId="27">#REF!</definedName>
    <definedName name="一般4">#REF!</definedName>
    <definedName name="一般5" localSheetId="27">#REF!</definedName>
    <definedName name="一般5">#REF!</definedName>
    <definedName name="一般6" localSheetId="27">#REF!</definedName>
    <definedName name="一般6">#REF!</definedName>
    <definedName name="一般7" localSheetId="27">#REF!</definedName>
    <definedName name="一般7">#REF!</definedName>
    <definedName name="一般8" localSheetId="27">#REF!</definedName>
    <definedName name="一般8">#REF!</definedName>
    <definedName name="一般9" localSheetId="27">#REF!</definedName>
    <definedName name="一般9">#REF!</definedName>
    <definedName name="稲毛区">リスト!$M$5:$Q$5</definedName>
    <definedName name="稲毛区企業主導型" localSheetId="6">[4]リスト!#REF!</definedName>
    <definedName name="稲毛区企業主導型" localSheetId="10">[5]リスト!#REF!</definedName>
    <definedName name="稲毛区企業主導型" localSheetId="8">[5]リスト!#REF!</definedName>
    <definedName name="稲毛区企業主導型" localSheetId="9">[6]リスト!#REF!</definedName>
    <definedName name="稲毛区企業主導型" localSheetId="28">[5]リスト!#REF!</definedName>
    <definedName name="稲毛区企業主導型" localSheetId="0">[5]リスト!#REF!</definedName>
    <definedName name="稲毛区企業主導型" localSheetId="4">[6]リスト!#REF!</definedName>
    <definedName name="稲毛区企業主導型" localSheetId="5">[6]リスト!#REF!</definedName>
    <definedName name="稲毛区企業主導型" localSheetId="7">[6]リスト!#REF!</definedName>
    <definedName name="稲毛区企業主導型" localSheetId="27">[7]リスト!#REF!</definedName>
    <definedName name="稲毛区企業主導型">[7]リスト!#REF!</definedName>
    <definedName name="稲毛区事業所内保育事業" localSheetId="6">[4]リスト!#REF!</definedName>
    <definedName name="稲毛区事業所内保育事業" localSheetId="10">[5]リスト!#REF!</definedName>
    <definedName name="稲毛区事業所内保育事業" localSheetId="8">[5]リスト!#REF!</definedName>
    <definedName name="稲毛区事業所内保育事業" localSheetId="9">[6]リスト!#REF!</definedName>
    <definedName name="稲毛区事業所内保育事業" localSheetId="28">[5]リスト!#REF!</definedName>
    <definedName name="稲毛区事業所内保育事業" localSheetId="0">[5]リスト!#REF!</definedName>
    <definedName name="稲毛区事業所内保育事業" localSheetId="4">[6]リスト!#REF!</definedName>
    <definedName name="稲毛区事業所内保育事業" localSheetId="5">[6]リスト!#REF!</definedName>
    <definedName name="稲毛区事業所内保育事業" localSheetId="7">[6]リスト!#REF!</definedName>
    <definedName name="稲毛区事業所内保育事業" localSheetId="27">[7]リスト!#REF!</definedName>
    <definedName name="稲毛区事業所内保育事業">[7]リスト!#REF!</definedName>
    <definedName name="稲毛区小規模保育事業" localSheetId="6">[4]リスト!#REF!</definedName>
    <definedName name="稲毛区小規模保育事業" localSheetId="10">[5]リスト!#REF!</definedName>
    <definedName name="稲毛区小規模保育事業" localSheetId="8">[5]リスト!#REF!</definedName>
    <definedName name="稲毛区小規模保育事業" localSheetId="9">[6]リスト!#REF!</definedName>
    <definedName name="稲毛区小規模保育事業" localSheetId="28">[5]リスト!#REF!</definedName>
    <definedName name="稲毛区小規模保育事業" localSheetId="0">[5]リスト!#REF!</definedName>
    <definedName name="稲毛区小規模保育事業" localSheetId="4">[6]リスト!#REF!</definedName>
    <definedName name="稲毛区小規模保育事業" localSheetId="5">[6]リスト!#REF!</definedName>
    <definedName name="稲毛区小規模保育事業" localSheetId="7">[6]リスト!#REF!</definedName>
    <definedName name="稲毛区小規模保育事業" localSheetId="27">[7]リスト!#REF!</definedName>
    <definedName name="稲毛区小規模保育事業">[7]リスト!#REF!</definedName>
    <definedName name="稲毛区保育ルーム" localSheetId="6">[4]リスト!#REF!</definedName>
    <definedName name="稲毛区保育ルーム" localSheetId="10">[5]リスト!#REF!</definedName>
    <definedName name="稲毛区保育ルーム" localSheetId="8">[5]リスト!#REF!</definedName>
    <definedName name="稲毛区保育ルーム" localSheetId="9">[6]リスト!#REF!</definedName>
    <definedName name="稲毛区保育ルーム" localSheetId="28">[5]リスト!#REF!</definedName>
    <definedName name="稲毛区保育ルーム" localSheetId="0">[5]リスト!#REF!</definedName>
    <definedName name="稲毛区保育ルーム" localSheetId="4">[6]リスト!#REF!</definedName>
    <definedName name="稲毛区保育ルーム" localSheetId="5">[6]リスト!#REF!</definedName>
    <definedName name="稲毛区保育ルーム" localSheetId="7">[6]リスト!#REF!</definedName>
    <definedName name="稲毛区保育ルーム" localSheetId="27">[7]リスト!#REF!</definedName>
    <definedName name="稲毛区保育ルーム">[7]リスト!#REF!</definedName>
    <definedName name="稲毛区保育園">リスト!$M$6:$M$33</definedName>
    <definedName name="稲毛区役所" localSheetId="6" hidden="1">{"'Sheet1'!$A$1:$I$163"}</definedName>
    <definedName name="稲毛区役所" localSheetId="10" hidden="1">{"'Sheet1'!$A$1:$I$163"}</definedName>
    <definedName name="稲毛区役所" localSheetId="8" hidden="1">{"'Sheet1'!$A$1:$I$163"}</definedName>
    <definedName name="稲毛区役所" localSheetId="9" hidden="1">{"'Sheet1'!$A$1:$I$163"}</definedName>
    <definedName name="稲毛区役所" localSheetId="28" hidden="1">{"'Sheet1'!$A$1:$I$163"}</definedName>
    <definedName name="稲毛区役所" localSheetId="0" hidden="1">{"'Sheet1'!$A$1:$I$163"}</definedName>
    <definedName name="稲毛区役所" localSheetId="4" hidden="1">{"'Sheet1'!$A$1:$I$163"}</definedName>
    <definedName name="稲毛区役所" localSheetId="5" hidden="1">{"'Sheet1'!$A$1:$I$163"}</definedName>
    <definedName name="稲毛区役所" localSheetId="7" hidden="1">{"'Sheet1'!$A$1:$I$163"}</definedName>
    <definedName name="稲毛区役所" localSheetId="30" hidden="1">{"'Sheet1'!$A$1:$I$163"}</definedName>
    <definedName name="稲毛区役所" hidden="1">{"'Sheet1'!$A$1:$I$163"}</definedName>
    <definedName name="稲毛区幼稚園型認定こども園">リスト!$O$6:$O$12</definedName>
    <definedName name="稲毛区幼保連携型認定こども園">リスト!$N$6</definedName>
    <definedName name="引上率">[8]単価引上率!$B$2</definedName>
    <definedName name="花見川区">リスト!$G$5:$K$5</definedName>
    <definedName name="花見川区企業主導型" localSheetId="6">[4]リスト!#REF!</definedName>
    <definedName name="花見川区企業主導型" localSheetId="10">[5]リスト!#REF!</definedName>
    <definedName name="花見川区企業主導型" localSheetId="8">[5]リスト!#REF!</definedName>
    <definedName name="花見川区企業主導型" localSheetId="9">[6]リスト!#REF!</definedName>
    <definedName name="花見川区企業主導型" localSheetId="28">[5]リスト!#REF!</definedName>
    <definedName name="花見川区企業主導型" localSheetId="0">[5]リスト!#REF!</definedName>
    <definedName name="花見川区企業主導型" localSheetId="4">[6]リスト!#REF!</definedName>
    <definedName name="花見川区企業主導型" localSheetId="5">[6]リスト!#REF!</definedName>
    <definedName name="花見川区企業主導型" localSheetId="7">[6]リスト!#REF!</definedName>
    <definedName name="花見川区企業主導型" localSheetId="27">[7]リスト!#REF!</definedName>
    <definedName name="花見川区企業主導型">[7]リスト!#REF!</definedName>
    <definedName name="花見川区給付型幼稚園" localSheetId="6">[4]リスト!#REF!</definedName>
    <definedName name="花見川区給付型幼稚園" localSheetId="10">[5]リスト!#REF!</definedName>
    <definedName name="花見川区給付型幼稚園" localSheetId="8">[5]リスト!#REF!</definedName>
    <definedName name="花見川区給付型幼稚園" localSheetId="9">[6]リスト!#REF!</definedName>
    <definedName name="花見川区給付型幼稚園" localSheetId="28">[5]リスト!#REF!</definedName>
    <definedName name="花見川区給付型幼稚園" localSheetId="0">[5]リスト!#REF!</definedName>
    <definedName name="花見川区給付型幼稚園" localSheetId="4">[6]リスト!#REF!</definedName>
    <definedName name="花見川区給付型幼稚園" localSheetId="5">[6]リスト!#REF!</definedName>
    <definedName name="花見川区給付型幼稚園" localSheetId="7">[6]リスト!#REF!</definedName>
    <definedName name="花見川区給付型幼稚園" localSheetId="27">[7]リスト!#REF!</definedName>
    <definedName name="花見川区給付型幼稚園">[7]リスト!#REF!</definedName>
    <definedName name="花見川区小規模保育事業" localSheetId="6">[4]リスト!#REF!</definedName>
    <definedName name="花見川区小規模保育事業" localSheetId="10">[5]リスト!#REF!</definedName>
    <definedName name="花見川区小規模保育事業" localSheetId="8">[5]リスト!#REF!</definedName>
    <definedName name="花見川区小規模保育事業" localSheetId="9">[6]リスト!#REF!</definedName>
    <definedName name="花見川区小規模保育事業" localSheetId="28">[5]リスト!#REF!</definedName>
    <definedName name="花見川区小規模保育事業" localSheetId="0">[5]リスト!#REF!</definedName>
    <definedName name="花見川区小規模保育事業" localSheetId="4">[6]リスト!#REF!</definedName>
    <definedName name="花見川区小規模保育事業" localSheetId="5">[6]リスト!#REF!</definedName>
    <definedName name="花見川区小規模保育事業" localSheetId="7">[6]リスト!#REF!</definedName>
    <definedName name="花見川区小規模保育事業" localSheetId="27">[7]リスト!#REF!</definedName>
    <definedName name="花見川区小規模保育事業">[7]リスト!#REF!</definedName>
    <definedName name="花見川区保育ルーム" localSheetId="6">[4]リスト!#REF!</definedName>
    <definedName name="花見川区保育ルーム" localSheetId="10">[5]リスト!#REF!</definedName>
    <definedName name="花見川区保育ルーム" localSheetId="8">[5]リスト!#REF!</definedName>
    <definedName name="花見川区保育ルーム" localSheetId="9">[6]リスト!#REF!</definedName>
    <definedName name="花見川区保育ルーム" localSheetId="28">[5]リスト!#REF!</definedName>
    <definedName name="花見川区保育ルーム" localSheetId="0">[5]リスト!#REF!</definedName>
    <definedName name="花見川区保育ルーム" localSheetId="4">[6]リスト!#REF!</definedName>
    <definedName name="花見川区保育ルーム" localSheetId="5">[6]リスト!#REF!</definedName>
    <definedName name="花見川区保育ルーム" localSheetId="7">[6]リスト!#REF!</definedName>
    <definedName name="花見川区保育ルーム" localSheetId="27">[7]リスト!#REF!</definedName>
    <definedName name="花見川区保育ルーム">[7]リスト!#REF!</definedName>
    <definedName name="花見川区保育園">リスト!$G$6:$G$34</definedName>
    <definedName name="花見川区幼稚園型認定こども園">リスト!$I$6:$I$10</definedName>
    <definedName name="花見川区幼保連携型認定こども園">リスト!$H$6</definedName>
    <definedName name="管外" localSheetId="6">#REF!</definedName>
    <definedName name="管外" localSheetId="10">#REF!</definedName>
    <definedName name="管外" localSheetId="8">#REF!</definedName>
    <definedName name="管外" localSheetId="9">#REF!</definedName>
    <definedName name="管外" localSheetId="4">#REF!</definedName>
    <definedName name="管外" localSheetId="5">#REF!</definedName>
    <definedName name="管外" localSheetId="27">#REF!</definedName>
    <definedName name="管外" localSheetId="30">#REF!</definedName>
    <definedName name="管外">#REF!</definedName>
    <definedName name="管外5" localSheetId="6">#REF!</definedName>
    <definedName name="管外5" localSheetId="10">#REF!</definedName>
    <definedName name="管外5" localSheetId="8">#REF!</definedName>
    <definedName name="管外5" localSheetId="9">#REF!</definedName>
    <definedName name="管外5" localSheetId="27">#REF!</definedName>
    <definedName name="管外5" localSheetId="30">#REF!</definedName>
    <definedName name="管外5">#REF!</definedName>
    <definedName name="基本データ">[9]最新基本データ!$A$5:$AM$60</definedName>
    <definedName name="既交付額・精算額" localSheetId="6">[10]支払い一覧!$A$166:$P$220</definedName>
    <definedName name="既交付額・精算額" localSheetId="10">[10]支払い一覧!$A$166:$P$220</definedName>
    <definedName name="既交付額・精算額" localSheetId="8">[10]支払い一覧!$A$166:$P$220</definedName>
    <definedName name="既交付額・精算額" localSheetId="30">[10]支払い一覧!$A$166:$P$220</definedName>
    <definedName name="既交付額・精算額">[10]支払い一覧!$A$166:$P$220</definedName>
    <definedName name="技">[2]リスト!$F$4:$F$8</definedName>
    <definedName name="技用途">[2]リスト!$G$4:$G$8</definedName>
    <definedName name="給食週当たり実施日数">'[1]１～３号・対応表'!$L$3:$L$8</definedName>
    <definedName name="給食日数">'[3]１～３号・対応表'!$L$3:$L$8</definedName>
    <definedName name="業務">[2]リスト!$B$4:$B$31</definedName>
    <definedName name="区">[11]編集!$F$160:$F$165</definedName>
    <definedName name="区リスト">[2]リスト!$F$15:$F$20</definedName>
    <definedName name="月" localSheetId="6">#REF!</definedName>
    <definedName name="月" localSheetId="10">#REF!</definedName>
    <definedName name="月" localSheetId="8">#REF!</definedName>
    <definedName name="月" localSheetId="9">#REF!</definedName>
    <definedName name="月" localSheetId="4">#REF!</definedName>
    <definedName name="月" localSheetId="5">#REF!</definedName>
    <definedName name="月" localSheetId="27">#REF!</definedName>
    <definedName name="月" localSheetId="30">#REF!</definedName>
    <definedName name="月">#REF!</definedName>
    <definedName name="研修サーバ" localSheetId="6" hidden="1">{"'フローチャート'!$A$1:$AO$191"}</definedName>
    <definedName name="研修サーバ" localSheetId="10" hidden="1">{"'フローチャート'!$A$1:$AO$191"}</definedName>
    <definedName name="研修サーバ" localSheetId="8" hidden="1">{"'フローチャート'!$A$1:$AO$191"}</definedName>
    <definedName name="研修サーバ" localSheetId="9" hidden="1">{"'フローチャート'!$A$1:$AO$191"}</definedName>
    <definedName name="研修サーバ" localSheetId="28" hidden="1">{"'フローチャート'!$A$1:$AO$191"}</definedName>
    <definedName name="研修サーバ" localSheetId="0" hidden="1">{"'フローチャート'!$A$1:$AO$191"}</definedName>
    <definedName name="研修サーバ" localSheetId="4" hidden="1">{"'フローチャート'!$A$1:$AO$191"}</definedName>
    <definedName name="研修サーバ" localSheetId="5" hidden="1">{"'フローチャート'!$A$1:$AO$191"}</definedName>
    <definedName name="研修サーバ" localSheetId="7" hidden="1">{"'フローチャート'!$A$1:$AO$191"}</definedName>
    <definedName name="研修サーバ" localSheetId="30" hidden="1">{"'フローチャート'!$A$1:$AO$191"}</definedName>
    <definedName name="研修サーバ" hidden="1">{"'フローチャート'!$A$1:$AO$191"}</definedName>
    <definedName name="減価償却費地域区分">[12]対応表!$P$3:$P$6</definedName>
    <definedName name="交付" localSheetId="6">[10]交付決定内訳一覧!$A$4:$I$35+[10]交付決定内訳一覧!$A$4:$I$42</definedName>
    <definedName name="交付" localSheetId="10">[10]交付決定内訳一覧!$A$4:$I$35+[10]交付決定内訳一覧!$A$4:$I$42</definedName>
    <definedName name="交付" localSheetId="8">[10]交付決定内訳一覧!$A$4:$I$35+[10]交付決定内訳一覧!$A$4:$I$42</definedName>
    <definedName name="交付" localSheetId="30">[10]交付決定内訳一覧!$A$4:$I$35+[10]交付決定内訳一覧!$A$4:$I$42</definedName>
    <definedName name="交付">[10]交付決定内訳一覧!$A$4:$I$35+[10]交付決定内訳一覧!$A$4:$I$42</definedName>
    <definedName name="交付決定額" localSheetId="6">[10]交付決定内訳一覧!$A$4:$I$55</definedName>
    <definedName name="交付決定額" localSheetId="10">[10]交付決定内訳一覧!$A$4:$I$55</definedName>
    <definedName name="交付決定額" localSheetId="8">[10]交付決定内訳一覧!$A$4:$I$55</definedName>
    <definedName name="交付決定額" localSheetId="30">[10]交付決定内訳一覧!$A$4:$I$55</definedName>
    <definedName name="交付決定額">[10]交付決定内訳一覧!$A$4:$I$55</definedName>
    <definedName name="高齢者者等の年間総雇用時間数">[13]対応表!$S$3:$S$6</definedName>
    <definedName name="合計4" localSheetId="6">#REF!</definedName>
    <definedName name="合計4" localSheetId="10">#REF!</definedName>
    <definedName name="合計4" localSheetId="8">#REF!</definedName>
    <definedName name="合計4" localSheetId="9">#REF!</definedName>
    <definedName name="合計4" localSheetId="27">#REF!</definedName>
    <definedName name="合計4" localSheetId="30">#REF!</definedName>
    <definedName name="合計4">#REF!</definedName>
    <definedName name="合計5" localSheetId="27">#REF!</definedName>
    <definedName name="合計5" localSheetId="30">#REF!</definedName>
    <definedName name="合計5">#REF!</definedName>
    <definedName name="合計6" localSheetId="27">#REF!</definedName>
    <definedName name="合計6" localSheetId="30">#REF!</definedName>
    <definedName name="合計6">#REF!</definedName>
    <definedName name="合番" localSheetId="27">#REF!</definedName>
    <definedName name="合番">#REF!</definedName>
    <definedName name="合番5" localSheetId="27">#REF!</definedName>
    <definedName name="合番5">#REF!</definedName>
    <definedName name="質改善">[13]対応表!$J$3:$J$4</definedName>
    <definedName name="質改善前後">[12]対応表!$J$3:$J$4</definedName>
    <definedName name="若葉区">リスト!$S$5:$W$5</definedName>
    <definedName name="若葉区家庭的保育事業" localSheetId="6">[4]リスト!#REF!</definedName>
    <definedName name="若葉区家庭的保育事業" localSheetId="10">[5]リスト!#REF!</definedName>
    <definedName name="若葉区家庭的保育事業" localSheetId="8">[5]リスト!#REF!</definedName>
    <definedName name="若葉区家庭的保育事業" localSheetId="9">[6]リスト!#REF!</definedName>
    <definedName name="若葉区家庭的保育事業" localSheetId="28">[5]リスト!#REF!</definedName>
    <definedName name="若葉区家庭的保育事業" localSheetId="0">[5]リスト!#REF!</definedName>
    <definedName name="若葉区家庭的保育事業" localSheetId="4">[6]リスト!#REF!</definedName>
    <definedName name="若葉区家庭的保育事業" localSheetId="5">[6]リスト!#REF!</definedName>
    <definedName name="若葉区家庭的保育事業" localSheetId="7">[6]リスト!#REF!</definedName>
    <definedName name="若葉区家庭的保育事業" localSheetId="27">[7]リスト!#REF!</definedName>
    <definedName name="若葉区家庭的保育事業">[7]リスト!#REF!</definedName>
    <definedName name="若葉区小規模保育事業" localSheetId="6">[4]リスト!#REF!</definedName>
    <definedName name="若葉区小規模保育事業" localSheetId="10">[5]リスト!#REF!</definedName>
    <definedName name="若葉区小規模保育事業" localSheetId="8">[5]リスト!#REF!</definedName>
    <definedName name="若葉区小規模保育事業" localSheetId="9">[6]リスト!#REF!</definedName>
    <definedName name="若葉区小規模保育事業" localSheetId="28">[5]リスト!#REF!</definedName>
    <definedName name="若葉区小規模保育事業" localSheetId="0">[5]リスト!#REF!</definedName>
    <definedName name="若葉区小規模保育事業" localSheetId="4">[6]リスト!#REF!</definedName>
    <definedName name="若葉区小規模保育事業" localSheetId="5">[6]リスト!#REF!</definedName>
    <definedName name="若葉区小規模保育事業" localSheetId="7">[6]リスト!#REF!</definedName>
    <definedName name="若葉区小規模保育事業" localSheetId="27">[7]リスト!#REF!</definedName>
    <definedName name="若葉区小規模保育事業">[7]リスト!#REF!</definedName>
    <definedName name="若葉区保育園">リスト!$S$6:$S$25</definedName>
    <definedName name="若葉区幼稚園型認定こども園">リスト!$U$6:$U$8</definedName>
    <definedName name="若葉区幼保連携型認定こども園">リスト!$T$6</definedName>
    <definedName name="第１四半期" localSheetId="6">[10]支払い一覧!$A$4:$P$55</definedName>
    <definedName name="第１四半期" localSheetId="10">[10]支払い一覧!$A$4:$P$55</definedName>
    <definedName name="第１四半期" localSheetId="8">[10]支払い一覧!$A$4:$P$55</definedName>
    <definedName name="第１四半期" localSheetId="30">[10]支払い一覧!$A$4:$P$55</definedName>
    <definedName name="第１四半期">[10]支払い一覧!$A$4:$P$55</definedName>
    <definedName name="第２四半期" localSheetId="6">[10]支払い一覧!$A$59:$P$110</definedName>
    <definedName name="第２四半期" localSheetId="10">[10]支払い一覧!$A$59:$P$110</definedName>
    <definedName name="第２四半期" localSheetId="8">[10]支払い一覧!$A$59:$P$110</definedName>
    <definedName name="第２四半期" localSheetId="30">[10]支払い一覧!$A$59:$P$110</definedName>
    <definedName name="第２四半期">[10]支払い一覧!$A$59:$P$110</definedName>
    <definedName name="第３四半期" localSheetId="6">[10]支払い一覧!$A$114:$P$165</definedName>
    <definedName name="第３四半期" localSheetId="10">[10]支払い一覧!$A$114:$P$165</definedName>
    <definedName name="第３四半期" localSheetId="8">[10]支払い一覧!$A$114:$P$165</definedName>
    <definedName name="第３四半期" localSheetId="30">[10]支払い一覧!$A$114:$P$165</definedName>
    <definedName name="第３四半期">[10]支払い一覧!$A$114:$P$165</definedName>
    <definedName name="単131" localSheetId="6">#REF!</definedName>
    <definedName name="単131" localSheetId="10">#REF!</definedName>
    <definedName name="単131" localSheetId="8">#REF!</definedName>
    <definedName name="単131" localSheetId="9">#REF!</definedName>
    <definedName name="単131" localSheetId="27">#REF!</definedName>
    <definedName name="単131" localSheetId="30">#REF!</definedName>
    <definedName name="単131">#REF!</definedName>
    <definedName name="単132" localSheetId="27">#REF!</definedName>
    <definedName name="単132" localSheetId="30">#REF!</definedName>
    <definedName name="単132">#REF!</definedName>
    <definedName name="単133" localSheetId="27">#REF!</definedName>
    <definedName name="単133" localSheetId="30">#REF!</definedName>
    <definedName name="単133">#REF!</definedName>
    <definedName name="単134" localSheetId="27">#REF!</definedName>
    <definedName name="単134">#REF!</definedName>
    <definedName name="単135" localSheetId="27">#REF!</definedName>
    <definedName name="単135">#REF!</definedName>
    <definedName name="地域区分">[13]対応表!$C$3:$C$9</definedName>
    <definedName name="地域区分_減価償却費加算">[13]対応表!$P$3:$P$6</definedName>
    <definedName name="地域区分_賃借料加算">[13]対応表!$Q$3:$Q$6</definedName>
    <definedName name="中央区">リスト!$A$5:$E$5</definedName>
    <definedName name="中央区家庭的保育事業" localSheetId="6">[4]リスト!#REF!</definedName>
    <definedName name="中央区家庭的保育事業" localSheetId="10">[5]リスト!#REF!</definedName>
    <definedName name="中央区家庭的保育事業" localSheetId="8">[5]リスト!#REF!</definedName>
    <definedName name="中央区家庭的保育事業" localSheetId="9">[6]リスト!#REF!</definedName>
    <definedName name="中央区家庭的保育事業" localSheetId="28">[5]リスト!#REF!</definedName>
    <definedName name="中央区家庭的保育事業" localSheetId="0">[5]リスト!#REF!</definedName>
    <definedName name="中央区家庭的保育事業" localSheetId="4">[6]リスト!#REF!</definedName>
    <definedName name="中央区家庭的保育事業" localSheetId="5">[6]リスト!#REF!</definedName>
    <definedName name="中央区家庭的保育事業" localSheetId="7">[6]リスト!#REF!</definedName>
    <definedName name="中央区家庭的保育事業" localSheetId="27">[7]リスト!#REF!</definedName>
    <definedName name="中央区家庭的保育事業">[7]リスト!#REF!</definedName>
    <definedName name="中央区企業主導型" localSheetId="6">[4]リスト!#REF!</definedName>
    <definedName name="中央区企業主導型" localSheetId="10">[5]リスト!#REF!</definedName>
    <definedName name="中央区企業主導型" localSheetId="8">[5]リスト!#REF!</definedName>
    <definedName name="中央区企業主導型" localSheetId="9">[6]リスト!#REF!</definedName>
    <definedName name="中央区企業主導型" localSheetId="28">[5]リスト!#REF!</definedName>
    <definedName name="中央区企業主導型" localSheetId="0">[5]リスト!#REF!</definedName>
    <definedName name="中央区企業主導型" localSheetId="4">[6]リスト!#REF!</definedName>
    <definedName name="中央区企業主導型" localSheetId="5">[6]リスト!#REF!</definedName>
    <definedName name="中央区企業主導型" localSheetId="7">[6]リスト!#REF!</definedName>
    <definedName name="中央区企業主導型" localSheetId="27">[7]リスト!#REF!</definedName>
    <definedName name="中央区企業主導型">[7]リスト!#REF!</definedName>
    <definedName name="中央区給付型幼稚園" localSheetId="6">[4]リスト!#REF!</definedName>
    <definedName name="中央区給付型幼稚園" localSheetId="10">[5]リスト!#REF!</definedName>
    <definedName name="中央区給付型幼稚園" localSheetId="8">[5]リスト!#REF!</definedName>
    <definedName name="中央区給付型幼稚園" localSheetId="9">[6]リスト!#REF!</definedName>
    <definedName name="中央区給付型幼稚園" localSheetId="28">[5]リスト!#REF!</definedName>
    <definedName name="中央区給付型幼稚園" localSheetId="0">[5]リスト!#REF!</definedName>
    <definedName name="中央区給付型幼稚園" localSheetId="4">[6]リスト!#REF!</definedName>
    <definedName name="中央区給付型幼稚園" localSheetId="5">[6]リスト!#REF!</definedName>
    <definedName name="中央区給付型幼稚園" localSheetId="7">[6]リスト!#REF!</definedName>
    <definedName name="中央区給付型幼稚園" localSheetId="27">[7]リスト!#REF!</definedName>
    <definedName name="中央区給付型幼稚園">[7]リスト!#REF!</definedName>
    <definedName name="中央区事業所内保育事業" localSheetId="6">[4]リスト!#REF!</definedName>
    <definedName name="中央区事業所内保育事業" localSheetId="10">[5]リスト!#REF!</definedName>
    <definedName name="中央区事業所内保育事業" localSheetId="8">[5]リスト!#REF!</definedName>
    <definedName name="中央区事業所内保育事業" localSheetId="9">[6]リスト!#REF!</definedName>
    <definedName name="中央区事業所内保育事業" localSheetId="28">[5]リスト!#REF!</definedName>
    <definedName name="中央区事業所内保育事業" localSheetId="0">[5]リスト!#REF!</definedName>
    <definedName name="中央区事業所内保育事業" localSheetId="4">[6]リスト!#REF!</definedName>
    <definedName name="中央区事業所内保育事業" localSheetId="5">[6]リスト!#REF!</definedName>
    <definedName name="中央区事業所内保育事業" localSheetId="7">[6]リスト!#REF!</definedName>
    <definedName name="中央区事業所内保育事業" localSheetId="27">[7]リスト!#REF!</definedName>
    <definedName name="中央区事業所内保育事業">[7]リスト!#REF!</definedName>
    <definedName name="中央区小規模保育事業" localSheetId="6">[4]リスト!#REF!</definedName>
    <definedName name="中央区小規模保育事業" localSheetId="10">[5]リスト!#REF!</definedName>
    <definedName name="中央区小規模保育事業" localSheetId="8">[5]リスト!#REF!</definedName>
    <definedName name="中央区小規模保育事業" localSheetId="9">[6]リスト!#REF!</definedName>
    <definedName name="中央区小規模保育事業" localSheetId="28">[5]リスト!#REF!</definedName>
    <definedName name="中央区小規模保育事業" localSheetId="0">[5]リスト!#REF!</definedName>
    <definedName name="中央区小規模保育事業" localSheetId="4">[6]リスト!#REF!</definedName>
    <definedName name="中央区小規模保育事業" localSheetId="5">[6]リスト!#REF!</definedName>
    <definedName name="中央区小規模保育事業" localSheetId="7">[6]リスト!#REF!</definedName>
    <definedName name="中央区小規模保育事業" localSheetId="27">[7]リスト!#REF!</definedName>
    <definedName name="中央区小規模保育事業">[7]リスト!#REF!</definedName>
    <definedName name="中央区保育ルーム" localSheetId="6">[4]リスト!#REF!</definedName>
    <definedName name="中央区保育ルーム" localSheetId="10">[5]リスト!#REF!</definedName>
    <definedName name="中央区保育ルーム" localSheetId="8">[5]リスト!#REF!</definedName>
    <definedName name="中央区保育ルーム" localSheetId="9">[6]リスト!#REF!</definedName>
    <definedName name="中央区保育ルーム" localSheetId="28">[5]リスト!#REF!</definedName>
    <definedName name="中央区保育ルーム" localSheetId="0">[5]リスト!#REF!</definedName>
    <definedName name="中央区保育ルーム" localSheetId="4">[6]リスト!#REF!</definedName>
    <definedName name="中央区保育ルーム" localSheetId="5">[6]リスト!#REF!</definedName>
    <definedName name="中央区保育ルーム" localSheetId="7">[6]リスト!#REF!</definedName>
    <definedName name="中央区保育ルーム" localSheetId="27">[7]リスト!#REF!</definedName>
    <definedName name="中央区保育ルーム">[7]リスト!#REF!</definedName>
    <definedName name="中央区保育園">リスト!$A$6:$A$44</definedName>
    <definedName name="中央区幼稚園型認定こども園">リスト!$C$6:$C$15</definedName>
    <definedName name="中央区幼保連携型認定こども園">リスト!$B$6:$B$7</definedName>
    <definedName name="賃借料地域区分">[12]対応表!$Q$3:$Q$6</definedName>
    <definedName name="当初" localSheetId="6">[10]交付決定内訳一覧!$A$4:$I$55</definedName>
    <definedName name="当初" localSheetId="10">[10]交付決定内訳一覧!$A$4:$I$55</definedName>
    <definedName name="当初" localSheetId="8">[10]交付決定内訳一覧!$A$4:$I$55</definedName>
    <definedName name="当初" localSheetId="30">[10]交付決定内訳一覧!$A$4:$I$55</definedName>
    <definedName name="当初">[10]交付決定内訳一覧!$A$4:$I$55</definedName>
    <definedName name="当単">[14]保育単価!$A$4:$T$51</definedName>
    <definedName name="内番１" localSheetId="6">#REF!</definedName>
    <definedName name="内番１" localSheetId="10">#REF!</definedName>
    <definedName name="内番１" localSheetId="8">#REF!</definedName>
    <definedName name="内番１" localSheetId="9">#REF!</definedName>
    <definedName name="内番１" localSheetId="27">#REF!</definedName>
    <definedName name="内番１" localSheetId="30">#REF!</definedName>
    <definedName name="内番１">#REF!</definedName>
    <definedName name="内番2" localSheetId="27">#REF!</definedName>
    <definedName name="内番2" localSheetId="30">#REF!</definedName>
    <definedName name="内番2">#REF!</definedName>
    <definedName name="入所児童処遇特別時間数">[12]対応表!$S$3:$S$6</definedName>
    <definedName name="認可機能">'[3]１～３号・対応表'!$O$3:$O$4</definedName>
    <definedName name="認可施設_機能部分">'[1]１～３号・対応表'!$P$3:$P$4</definedName>
    <definedName name="美浜区">リスト!$AE$5:$AI$5</definedName>
    <definedName name="美浜区家庭的保育事業" localSheetId="6">[4]リスト!#REF!</definedName>
    <definedName name="美浜区家庭的保育事業" localSheetId="10">[5]リスト!#REF!</definedName>
    <definedName name="美浜区家庭的保育事業" localSheetId="8">[5]リスト!#REF!</definedName>
    <definedName name="美浜区家庭的保育事業" localSheetId="9">[6]リスト!#REF!</definedName>
    <definedName name="美浜区家庭的保育事業" localSheetId="28">[5]リスト!#REF!</definedName>
    <definedName name="美浜区家庭的保育事業" localSheetId="0">[5]リスト!#REF!</definedName>
    <definedName name="美浜区家庭的保育事業" localSheetId="4">[6]リスト!#REF!</definedName>
    <definedName name="美浜区家庭的保育事業" localSheetId="5">[6]リスト!#REF!</definedName>
    <definedName name="美浜区家庭的保育事業" localSheetId="7">[6]リスト!#REF!</definedName>
    <definedName name="美浜区家庭的保育事業" localSheetId="27">[7]リスト!#REF!</definedName>
    <definedName name="美浜区家庭的保育事業">[7]リスト!#REF!</definedName>
    <definedName name="美浜区企業主導型" localSheetId="6">[4]リスト!#REF!</definedName>
    <definedName name="美浜区企業主導型" localSheetId="10">[5]リスト!#REF!</definedName>
    <definedName name="美浜区企業主導型" localSheetId="8">[5]リスト!#REF!</definedName>
    <definedName name="美浜区企業主導型" localSheetId="9">[6]リスト!#REF!</definedName>
    <definedName name="美浜区企業主導型" localSheetId="28">[5]リスト!#REF!</definedName>
    <definedName name="美浜区企業主導型" localSheetId="0">[5]リスト!#REF!</definedName>
    <definedName name="美浜区企業主導型" localSheetId="4">[6]リスト!#REF!</definedName>
    <definedName name="美浜区企業主導型" localSheetId="5">[6]リスト!#REF!</definedName>
    <definedName name="美浜区企業主導型" localSheetId="7">[6]リスト!#REF!</definedName>
    <definedName name="美浜区企業主導型" localSheetId="27">[7]リスト!#REF!</definedName>
    <definedName name="美浜区企業主導型">[7]リスト!#REF!</definedName>
    <definedName name="美浜区事業所内保育事業" localSheetId="6">[4]リスト!#REF!</definedName>
    <definedName name="美浜区事業所内保育事業" localSheetId="10">[5]リスト!#REF!</definedName>
    <definedName name="美浜区事業所内保育事業" localSheetId="8">[5]リスト!#REF!</definedName>
    <definedName name="美浜区事業所内保育事業" localSheetId="9">[6]リスト!#REF!</definedName>
    <definedName name="美浜区事業所内保育事業" localSheetId="28">[5]リスト!#REF!</definedName>
    <definedName name="美浜区事業所内保育事業" localSheetId="0">[5]リスト!#REF!</definedName>
    <definedName name="美浜区事業所内保育事業" localSheetId="4">[6]リスト!#REF!</definedName>
    <definedName name="美浜区事業所内保育事業" localSheetId="5">[6]リスト!#REF!</definedName>
    <definedName name="美浜区事業所内保育事業" localSheetId="7">[6]リスト!#REF!</definedName>
    <definedName name="美浜区事業所内保育事業" localSheetId="27">[7]リスト!#REF!</definedName>
    <definedName name="美浜区事業所内保育事業">[7]リスト!#REF!</definedName>
    <definedName name="美浜区小規模保育事業" localSheetId="6">[4]リスト!#REF!</definedName>
    <definedName name="美浜区小規模保育事業" localSheetId="10">[5]リスト!#REF!</definedName>
    <definedName name="美浜区小規模保育事業" localSheetId="8">[5]リスト!#REF!</definedName>
    <definedName name="美浜区小規模保育事業" localSheetId="9">[6]リスト!#REF!</definedName>
    <definedName name="美浜区小規模保育事業" localSheetId="28">[5]リスト!#REF!</definedName>
    <definedName name="美浜区小規模保育事業" localSheetId="0">[5]リスト!#REF!</definedName>
    <definedName name="美浜区小規模保育事業" localSheetId="4">[6]リスト!#REF!</definedName>
    <definedName name="美浜区小規模保育事業" localSheetId="5">[6]リスト!#REF!</definedName>
    <definedName name="美浜区小規模保育事業" localSheetId="7">[6]リスト!#REF!</definedName>
    <definedName name="美浜区小規模保育事業" localSheetId="27">[7]リスト!#REF!</definedName>
    <definedName name="美浜区小規模保育事業">[7]リスト!#REF!</definedName>
    <definedName name="美浜区保育ルーム" localSheetId="6">[4]リスト!#REF!</definedName>
    <definedName name="美浜区保育ルーム" localSheetId="10">[5]リスト!#REF!</definedName>
    <definedName name="美浜区保育ルーム" localSheetId="8">[5]リスト!#REF!</definedName>
    <definedName name="美浜区保育ルーム" localSheetId="9">[6]リスト!#REF!</definedName>
    <definedName name="美浜区保育ルーム" localSheetId="28">[5]リスト!#REF!</definedName>
    <definedName name="美浜区保育ルーム" localSheetId="0">[5]リスト!#REF!</definedName>
    <definedName name="美浜区保育ルーム" localSheetId="4">[6]リスト!#REF!</definedName>
    <definedName name="美浜区保育ルーム" localSheetId="5">[6]リスト!#REF!</definedName>
    <definedName name="美浜区保育ルーム" localSheetId="7">[6]リスト!#REF!</definedName>
    <definedName name="美浜区保育ルーム" localSheetId="27">[7]リスト!#REF!</definedName>
    <definedName name="美浜区保育ルーム">[7]リスト!#REF!</definedName>
    <definedName name="美浜区保育園">リスト!$AE$6:$AE$25</definedName>
    <definedName name="美浜区幼稚園型認定こども園">リスト!$AG$6:$AG$12</definedName>
    <definedName name="美浜区幼保連携型認定こども園">リスト!$AF$6:$AF$12</definedName>
    <definedName name="標準_都市部">[13]対応表!$R$3:$R$4</definedName>
    <definedName name="標準都市部">[12]対応表!$R$3:$R$4</definedName>
    <definedName name="変更決" localSheetId="6">[10]変更決定一覧!$A$4:$L$54</definedName>
    <definedName name="変更決" localSheetId="10">[10]変更決定一覧!$A$4:$L$54</definedName>
    <definedName name="変更決" localSheetId="8">[10]変更決定一覧!$A$4:$L$54</definedName>
    <definedName name="変更決" localSheetId="30">[10]変更決定一覧!$A$4:$L$54</definedName>
    <definedName name="変更決">[10]変更決定一覧!$A$4:$L$54</definedName>
    <definedName name="保育単価表４月" localSheetId="6">#REF!</definedName>
    <definedName name="保育単価表４月" localSheetId="10">#REF!</definedName>
    <definedName name="保育単価表４月" localSheetId="8">#REF!</definedName>
    <definedName name="保育単価表４月" localSheetId="9">#REF!</definedName>
    <definedName name="保育単価表４月" localSheetId="27">#REF!</definedName>
    <definedName name="保育単価表４月" localSheetId="30">#REF!</definedName>
    <definedName name="保育単価表４月">#REF!</definedName>
    <definedName name="民単">[14]単価民改!$A$4:$T$51</definedName>
    <definedName name="有無">[13]対応表!$I$3:$I$4</definedName>
    <definedName name="緑区">リスト!$Y$5:$AC$5</definedName>
    <definedName name="緑区家庭的保育事業" localSheetId="6">[4]リスト!#REF!</definedName>
    <definedName name="緑区家庭的保育事業" localSheetId="10">[5]リスト!#REF!</definedName>
    <definedName name="緑区家庭的保育事業" localSheetId="8">[5]リスト!#REF!</definedName>
    <definedName name="緑区家庭的保育事業" localSheetId="9">[6]リスト!#REF!</definedName>
    <definedName name="緑区家庭的保育事業" localSheetId="28">[5]リスト!#REF!</definedName>
    <definedName name="緑区家庭的保育事業" localSheetId="0">[5]リスト!#REF!</definedName>
    <definedName name="緑区家庭的保育事業" localSheetId="4">[6]リスト!#REF!</definedName>
    <definedName name="緑区家庭的保育事業" localSheetId="5">[6]リスト!#REF!</definedName>
    <definedName name="緑区家庭的保育事業" localSheetId="7">[6]リスト!#REF!</definedName>
    <definedName name="緑区家庭的保育事業" localSheetId="27">[7]リスト!#REF!</definedName>
    <definedName name="緑区家庭的保育事業">[7]リスト!#REF!</definedName>
    <definedName name="緑区企業主導型" localSheetId="6">[4]リスト!#REF!</definedName>
    <definedName name="緑区企業主導型" localSheetId="10">[5]リスト!#REF!</definedName>
    <definedName name="緑区企業主導型" localSheetId="8">[5]リスト!#REF!</definedName>
    <definedName name="緑区企業主導型" localSheetId="9">[6]リスト!#REF!</definedName>
    <definedName name="緑区企業主導型" localSheetId="28">[5]リスト!#REF!</definedName>
    <definedName name="緑区企業主導型" localSheetId="0">[5]リスト!#REF!</definedName>
    <definedName name="緑区企業主導型" localSheetId="4">[6]リスト!#REF!</definedName>
    <definedName name="緑区企業主導型" localSheetId="5">[6]リスト!#REF!</definedName>
    <definedName name="緑区企業主導型" localSheetId="7">[6]リスト!#REF!</definedName>
    <definedName name="緑区企業主導型" localSheetId="27">[7]リスト!#REF!</definedName>
    <definedName name="緑区企業主導型">[7]リスト!#REF!</definedName>
    <definedName name="緑区事業所内保育事業" localSheetId="6">[4]リスト!#REF!</definedName>
    <definedName name="緑区事業所内保育事業" localSheetId="10">[5]リスト!#REF!</definedName>
    <definedName name="緑区事業所内保育事業" localSheetId="8">[5]リスト!#REF!</definedName>
    <definedName name="緑区事業所内保育事業" localSheetId="9">[6]リスト!#REF!</definedName>
    <definedName name="緑区事業所内保育事業" localSheetId="28">[5]リスト!#REF!</definedName>
    <definedName name="緑区事業所内保育事業" localSheetId="0">[5]リスト!#REF!</definedName>
    <definedName name="緑区事業所内保育事業" localSheetId="4">[6]リスト!#REF!</definedName>
    <definedName name="緑区事業所内保育事業" localSheetId="5">[6]リスト!#REF!</definedName>
    <definedName name="緑区事業所内保育事業" localSheetId="7">[6]リスト!#REF!</definedName>
    <definedName name="緑区事業所内保育事業" localSheetId="27">[7]リスト!#REF!</definedName>
    <definedName name="緑区事業所内保育事業">[7]リスト!#REF!</definedName>
    <definedName name="緑区小規模保育事業" localSheetId="6">[4]リスト!#REF!</definedName>
    <definedName name="緑区小規模保育事業" localSheetId="10">[5]リスト!#REF!</definedName>
    <definedName name="緑区小規模保育事業" localSheetId="8">[5]リスト!#REF!</definedName>
    <definedName name="緑区小規模保育事業" localSheetId="9">[6]リスト!#REF!</definedName>
    <definedName name="緑区小規模保育事業" localSheetId="28">[5]リスト!#REF!</definedName>
    <definedName name="緑区小規模保育事業" localSheetId="0">[5]リスト!#REF!</definedName>
    <definedName name="緑区小規模保育事業" localSheetId="4">[6]リスト!#REF!</definedName>
    <definedName name="緑区小規模保育事業" localSheetId="5">[6]リスト!#REF!</definedName>
    <definedName name="緑区小規模保育事業" localSheetId="7">[6]リスト!#REF!</definedName>
    <definedName name="緑区小規模保育事業" localSheetId="27">[7]リスト!#REF!</definedName>
    <definedName name="緑区小規模保育事業">[7]リスト!#REF!</definedName>
    <definedName name="緑区地方裁量型認定こども園">リスト!$AC$6</definedName>
    <definedName name="緑区保育ルーム" localSheetId="6">[4]リスト!#REF!</definedName>
    <definedName name="緑区保育ルーム" localSheetId="10">[5]リスト!#REF!</definedName>
    <definedName name="緑区保育ルーム" localSheetId="8">[5]リスト!#REF!</definedName>
    <definedName name="緑区保育ルーム" localSheetId="9">[6]リスト!#REF!</definedName>
    <definedName name="緑区保育ルーム" localSheetId="28">[5]リスト!#REF!</definedName>
    <definedName name="緑区保育ルーム" localSheetId="0">[5]リスト!#REF!</definedName>
    <definedName name="緑区保育ルーム" localSheetId="4">[6]リスト!#REF!</definedName>
    <definedName name="緑区保育ルーム" localSheetId="5">[6]リスト!#REF!</definedName>
    <definedName name="緑区保育ルーム" localSheetId="7">[6]リスト!#REF!</definedName>
    <definedName name="緑区保育ルーム" localSheetId="27">[7]リスト!#REF!</definedName>
    <definedName name="緑区保育ルーム">[7]リスト!#REF!</definedName>
    <definedName name="緑区保育園">リスト!$Y$6:$Y$36</definedName>
    <definedName name="緑区保育所型認定こども園">リスト!$AB$6</definedName>
    <definedName name="緑区幼稚園型認定こども園">リスト!$AA$6:$AA$10</definedName>
    <definedName name="緑区幼保連携型認定こども園">リスト!$Z$6:$Z$9</definedName>
    <definedName name="冷暖房費加算用地域区分">[13]対応表!$M$3:$M$7</definedName>
    <definedName name="冷暖房費地域区分">[12]対応表!$M$3:$M$7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5" l="1"/>
  <c r="J29" i="34" l="1"/>
  <c r="C13" i="62"/>
  <c r="C14" i="62" s="1"/>
  <c r="C15" i="62" s="1"/>
  <c r="C16" i="62" s="1"/>
  <c r="C17" i="62" s="1"/>
  <c r="C18" i="62" s="1"/>
  <c r="C19" i="62" s="1"/>
  <c r="C20" i="62" s="1"/>
  <c r="C21" i="62" s="1"/>
  <c r="C22" i="62" s="1"/>
  <c r="C12" i="62"/>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7" i="4"/>
  <c r="Q6" i="2"/>
  <c r="E17" i="4"/>
  <c r="E18" i="4"/>
  <c r="E19" i="4"/>
  <c r="E20" i="4"/>
  <c r="E21" i="4"/>
  <c r="E22" i="4"/>
  <c r="E23" i="4"/>
  <c r="E24" i="4"/>
  <c r="E25" i="4"/>
  <c r="AA8" i="53"/>
  <c r="AA9" i="53" s="1"/>
  <c r="AA10" i="53" s="1"/>
  <c r="AA11" i="53" s="1"/>
  <c r="AA12" i="53" s="1"/>
  <c r="AA13" i="53" s="1"/>
  <c r="AA14" i="53" s="1"/>
  <c r="AA15" i="53" s="1"/>
  <c r="AA16" i="53" s="1"/>
  <c r="AA17" i="53" s="1"/>
  <c r="AA18" i="53" s="1"/>
  <c r="S8" i="53"/>
  <c r="S9" i="53" s="1"/>
  <c r="S10" i="53" s="1"/>
  <c r="S11" i="53" s="1"/>
  <c r="S12" i="53" s="1"/>
  <c r="S13" i="53" s="1"/>
  <c r="S14" i="53" s="1"/>
  <c r="S15" i="53" s="1"/>
  <c r="S16" i="53" s="1"/>
  <c r="S17" i="53" s="1"/>
  <c r="S18" i="53" s="1"/>
  <c r="T8" i="53"/>
  <c r="T9" i="53" s="1"/>
  <c r="T10" i="53" s="1"/>
  <c r="T11" i="53" s="1"/>
  <c r="T12" i="53" s="1"/>
  <c r="T13" i="53" s="1"/>
  <c r="T14" i="53" s="1"/>
  <c r="T15" i="53" s="1"/>
  <c r="T16" i="53" s="1"/>
  <c r="T17" i="53" s="1"/>
  <c r="T18" i="53" s="1"/>
  <c r="U8" i="53"/>
  <c r="U9" i="53" s="1"/>
  <c r="U10" i="53" s="1"/>
  <c r="U11" i="53" s="1"/>
  <c r="U12" i="53" s="1"/>
  <c r="U13" i="53" s="1"/>
  <c r="U14" i="53" s="1"/>
  <c r="U15" i="53" s="1"/>
  <c r="U16" i="53" s="1"/>
  <c r="U17" i="53" s="1"/>
  <c r="U18" i="53" s="1"/>
  <c r="V8" i="53"/>
  <c r="V9" i="53" s="1"/>
  <c r="V10" i="53" s="1"/>
  <c r="V11" i="53" s="1"/>
  <c r="V12" i="53" s="1"/>
  <c r="V13" i="53" s="1"/>
  <c r="V14" i="53" s="1"/>
  <c r="V15" i="53" s="1"/>
  <c r="V16" i="53" s="1"/>
  <c r="V17" i="53" s="1"/>
  <c r="V18" i="53" s="1"/>
  <c r="W8" i="53"/>
  <c r="W9" i="53" s="1"/>
  <c r="W10" i="53" s="1"/>
  <c r="W11" i="53" s="1"/>
  <c r="W12" i="53" s="1"/>
  <c r="W13" i="53" s="1"/>
  <c r="W14" i="53" s="1"/>
  <c r="W15" i="53" s="1"/>
  <c r="W16" i="53" s="1"/>
  <c r="W17" i="53" s="1"/>
  <c r="W18" i="53" s="1"/>
  <c r="X8" i="53"/>
  <c r="X9" i="53" s="1"/>
  <c r="X10" i="53" s="1"/>
  <c r="X11" i="53" s="1"/>
  <c r="X12" i="53" s="1"/>
  <c r="X13" i="53" s="1"/>
  <c r="X14" i="53" s="1"/>
  <c r="X15" i="53" s="1"/>
  <c r="X16" i="53" s="1"/>
  <c r="X17" i="53" s="1"/>
  <c r="X18" i="53" s="1"/>
  <c r="Y8" i="53"/>
  <c r="Y9" i="53" s="1"/>
  <c r="Y10" i="53" s="1"/>
  <c r="Y11" i="53" s="1"/>
  <c r="Y12" i="53" s="1"/>
  <c r="Y13" i="53" s="1"/>
  <c r="Y14" i="53" s="1"/>
  <c r="Y15" i="53" s="1"/>
  <c r="Y16" i="53" s="1"/>
  <c r="Y17" i="53" s="1"/>
  <c r="Y18" i="53" s="1"/>
  <c r="R8" i="53"/>
  <c r="R9" i="53" s="1"/>
  <c r="R10" i="53" s="1"/>
  <c r="R11" i="53" s="1"/>
  <c r="R12" i="53" s="1"/>
  <c r="R13" i="53" s="1"/>
  <c r="R14" i="53" s="1"/>
  <c r="R15" i="53" s="1"/>
  <c r="R16" i="53" s="1"/>
  <c r="R17" i="53" s="1"/>
  <c r="R18" i="53" s="1"/>
  <c r="J13" i="34"/>
  <c r="I12" i="62"/>
  <c r="I13" i="62" s="1"/>
  <c r="I14" i="62" s="1"/>
  <c r="I15" i="62" s="1"/>
  <c r="I16" i="62" s="1"/>
  <c r="I17" i="62" s="1"/>
  <c r="I18" i="62" s="1"/>
  <c r="I19" i="62" s="1"/>
  <c r="I20" i="62" s="1"/>
  <c r="I21" i="62" s="1"/>
  <c r="I22" i="62" s="1"/>
  <c r="F12" i="62"/>
  <c r="F13" i="62" s="1"/>
  <c r="F14" i="62" s="1"/>
  <c r="F15" i="62" s="1"/>
  <c r="F16" i="62" s="1"/>
  <c r="F17" i="62" s="1"/>
  <c r="F18" i="62" s="1"/>
  <c r="F19" i="62" s="1"/>
  <c r="F20" i="62" s="1"/>
  <c r="F21" i="62" s="1"/>
  <c r="F22" i="62" s="1"/>
  <c r="I6" i="39"/>
  <c r="AA29" i="53" l="1"/>
  <c r="X29" i="53"/>
  <c r="W29" i="53"/>
  <c r="T29" i="53"/>
  <c r="V29" i="53"/>
  <c r="U29" i="53"/>
  <c r="Y29" i="53"/>
  <c r="R29" i="53"/>
  <c r="C11" i="5"/>
  <c r="C12" i="5" s="1"/>
  <c r="C13" i="5" s="1"/>
  <c r="C14" i="5" s="1"/>
  <c r="C15" i="5" s="1"/>
  <c r="C16" i="5" s="1"/>
  <c r="C17" i="5" s="1"/>
  <c r="C18" i="5" s="1"/>
  <c r="C19" i="5" s="1"/>
  <c r="C20" i="5" s="1"/>
  <c r="C21" i="5" s="1"/>
  <c r="D11" i="5"/>
  <c r="D12" i="5" s="1"/>
  <c r="D13" i="5" s="1"/>
  <c r="D14" i="5" s="1"/>
  <c r="D15" i="5" s="1"/>
  <c r="D16" i="5" s="1"/>
  <c r="D17" i="5" s="1"/>
  <c r="D18" i="5" s="1"/>
  <c r="D19" i="5" s="1"/>
  <c r="D20" i="5" s="1"/>
  <c r="D21" i="5" s="1"/>
  <c r="E11" i="5"/>
  <c r="E12" i="5" s="1"/>
  <c r="E13" i="5" s="1"/>
  <c r="E14" i="5" s="1"/>
  <c r="E15" i="5" s="1"/>
  <c r="E16" i="5" s="1"/>
  <c r="E17" i="5" s="1"/>
  <c r="E18" i="5" s="1"/>
  <c r="E19" i="5" s="1"/>
  <c r="E20" i="5" s="1"/>
  <c r="E21" i="5" s="1"/>
  <c r="F11" i="5"/>
  <c r="F12" i="5" s="1"/>
  <c r="F13" i="5" s="1"/>
  <c r="F14" i="5" s="1"/>
  <c r="F15" i="5" s="1"/>
  <c r="F16" i="5" s="1"/>
  <c r="F17" i="5" s="1"/>
  <c r="F18" i="5" s="1"/>
  <c r="F19" i="5" s="1"/>
  <c r="F20" i="5" s="1"/>
  <c r="F21" i="5" s="1"/>
  <c r="G11" i="5"/>
  <c r="G12" i="5" s="1"/>
  <c r="G13" i="5" s="1"/>
  <c r="G14" i="5" s="1"/>
  <c r="G15" i="5" s="1"/>
  <c r="G16" i="5" s="1"/>
  <c r="G17" i="5" s="1"/>
  <c r="G18" i="5" s="1"/>
  <c r="G19" i="5" s="1"/>
  <c r="G20" i="5" s="1"/>
  <c r="G21" i="5" s="1"/>
  <c r="H11" i="5"/>
  <c r="H12" i="5" s="1"/>
  <c r="H13" i="5" s="1"/>
  <c r="H14" i="5" s="1"/>
  <c r="H15" i="5" s="1"/>
  <c r="H16" i="5" s="1"/>
  <c r="H17" i="5" s="1"/>
  <c r="H18" i="5" s="1"/>
  <c r="H19" i="5" s="1"/>
  <c r="H20" i="5" s="1"/>
  <c r="H21" i="5" s="1"/>
  <c r="B11" i="5"/>
  <c r="B12" i="5" s="1"/>
  <c r="B13" i="5" s="1"/>
  <c r="B14" i="5" s="1"/>
  <c r="B15" i="5" s="1"/>
  <c r="B16" i="5" s="1"/>
  <c r="B17" i="5" s="1"/>
  <c r="B18" i="5" s="1"/>
  <c r="B19" i="5" s="1"/>
  <c r="B20" i="5" s="1"/>
  <c r="B21" i="5" s="1"/>
  <c r="S29" i="53" l="1"/>
  <c r="GO48" i="21"/>
  <c r="GP48" i="21"/>
  <c r="GQ48" i="21"/>
  <c r="GR48" i="21"/>
  <c r="GS48" i="21"/>
  <c r="GT48" i="21"/>
  <c r="GU48" i="21"/>
  <c r="GV48" i="21"/>
  <c r="GW48" i="21"/>
  <c r="GX48" i="21"/>
  <c r="GY48" i="21"/>
  <c r="GZ48" i="21"/>
  <c r="GO49" i="21"/>
  <c r="GP49" i="21"/>
  <c r="GQ49" i="21"/>
  <c r="GR49" i="21"/>
  <c r="GS49" i="21"/>
  <c r="GT49" i="21"/>
  <c r="GU49" i="21"/>
  <c r="GV49" i="21"/>
  <c r="GW49" i="21"/>
  <c r="GX49" i="21"/>
  <c r="GY49" i="21"/>
  <c r="GZ49" i="21"/>
  <c r="GO50" i="21"/>
  <c r="GP50" i="21"/>
  <c r="GQ50" i="21"/>
  <c r="GR50" i="21"/>
  <c r="GS50" i="21"/>
  <c r="GT50" i="21"/>
  <c r="GU50" i="21"/>
  <c r="GV50" i="21"/>
  <c r="GW50" i="21"/>
  <c r="GX50" i="21"/>
  <c r="GY50" i="21"/>
  <c r="GZ50" i="21"/>
  <c r="GO51" i="21"/>
  <c r="GP51" i="21"/>
  <c r="GQ51" i="21"/>
  <c r="GR51" i="21"/>
  <c r="GS51" i="21"/>
  <c r="GT51" i="21"/>
  <c r="GU51" i="21"/>
  <c r="GV51" i="21"/>
  <c r="GW51" i="21"/>
  <c r="GX51" i="21"/>
  <c r="GY51" i="21"/>
  <c r="GZ51" i="21"/>
  <c r="GO52" i="21"/>
  <c r="GP52" i="21"/>
  <c r="GQ52" i="21"/>
  <c r="GR52" i="21"/>
  <c r="GS52" i="21"/>
  <c r="GT52" i="21"/>
  <c r="GU52" i="21"/>
  <c r="GV52" i="21"/>
  <c r="GW52" i="21"/>
  <c r="GX52" i="21"/>
  <c r="GY52" i="21"/>
  <c r="GZ52" i="21"/>
  <c r="GO53" i="21"/>
  <c r="GP53" i="21"/>
  <c r="GQ53" i="21"/>
  <c r="GR53" i="21"/>
  <c r="GS53" i="21"/>
  <c r="GT53" i="21"/>
  <c r="GU53" i="21"/>
  <c r="GV53" i="21"/>
  <c r="GW53" i="21"/>
  <c r="GX53" i="21"/>
  <c r="GY53" i="21"/>
  <c r="GZ53" i="21"/>
  <c r="GO54" i="21"/>
  <c r="GP54" i="21"/>
  <c r="GQ54" i="21"/>
  <c r="GR54" i="21"/>
  <c r="GS54" i="21"/>
  <c r="GT54" i="21"/>
  <c r="GU54" i="21"/>
  <c r="GV54" i="21"/>
  <c r="GW54" i="21"/>
  <c r="GX54" i="21"/>
  <c r="GY54" i="21"/>
  <c r="GZ54" i="21"/>
  <c r="GO55" i="21"/>
  <c r="GP55" i="21"/>
  <c r="GQ55" i="21"/>
  <c r="GR55" i="21"/>
  <c r="GS55" i="21"/>
  <c r="GT55" i="21"/>
  <c r="GU55" i="21"/>
  <c r="GV55" i="21"/>
  <c r="GW55" i="21"/>
  <c r="GX55" i="21"/>
  <c r="GY55" i="21"/>
  <c r="GZ55" i="21"/>
  <c r="GO56" i="21"/>
  <c r="GP56" i="21"/>
  <c r="GQ56" i="21"/>
  <c r="GR56" i="21"/>
  <c r="GS56" i="21"/>
  <c r="GT56" i="21"/>
  <c r="GU56" i="21"/>
  <c r="GV56" i="21"/>
  <c r="GW56" i="21"/>
  <c r="GX56" i="21"/>
  <c r="GY56" i="21"/>
  <c r="GZ56" i="21"/>
  <c r="GO57" i="21"/>
  <c r="GP57" i="21"/>
  <c r="GQ57" i="21"/>
  <c r="GR57" i="21"/>
  <c r="GS57" i="21"/>
  <c r="GT57" i="21"/>
  <c r="GU57" i="21"/>
  <c r="GV57" i="21"/>
  <c r="GW57" i="21"/>
  <c r="GX57" i="21"/>
  <c r="GY57" i="21"/>
  <c r="GZ57" i="21"/>
  <c r="GO58" i="21"/>
  <c r="GP58" i="21"/>
  <c r="GQ58" i="21"/>
  <c r="GR58" i="21"/>
  <c r="GS58" i="21"/>
  <c r="GT58" i="21"/>
  <c r="GU58" i="21"/>
  <c r="GV58" i="21"/>
  <c r="GW58" i="21"/>
  <c r="GX58" i="21"/>
  <c r="GY58" i="21"/>
  <c r="GZ58" i="21"/>
  <c r="GO59" i="21"/>
  <c r="GP59" i="21"/>
  <c r="GQ59" i="21"/>
  <c r="GR59" i="21"/>
  <c r="GS59" i="21"/>
  <c r="GT59" i="21"/>
  <c r="GU59" i="21"/>
  <c r="GV59" i="21"/>
  <c r="GW59" i="21"/>
  <c r="GX59" i="21"/>
  <c r="GY59" i="21"/>
  <c r="GZ59" i="21"/>
  <c r="GZ47" i="21"/>
  <c r="GY47" i="21"/>
  <c r="GX47" i="21"/>
  <c r="GW47" i="21"/>
  <c r="GV47" i="21"/>
  <c r="GU47" i="21"/>
  <c r="GT47" i="21"/>
  <c r="GS47" i="21"/>
  <c r="GR47" i="21"/>
  <c r="GQ47" i="21"/>
  <c r="GP47" i="21"/>
  <c r="GO47" i="21"/>
  <c r="GZ46" i="21"/>
  <c r="GY46" i="21"/>
  <c r="GX46" i="21"/>
  <c r="GW46" i="21"/>
  <c r="GV46" i="21"/>
  <c r="GU46" i="21"/>
  <c r="GT46" i="21"/>
  <c r="GS46" i="21"/>
  <c r="GR46" i="21"/>
  <c r="GQ46" i="21"/>
  <c r="GP46" i="21"/>
  <c r="GO46" i="21"/>
  <c r="GZ45" i="21"/>
  <c r="GY45" i="21"/>
  <c r="GX45" i="21"/>
  <c r="GW45" i="21"/>
  <c r="GV45" i="21"/>
  <c r="GU45" i="21"/>
  <c r="GT45" i="21"/>
  <c r="GS45" i="21"/>
  <c r="GR45" i="21"/>
  <c r="GQ45" i="21"/>
  <c r="GP45" i="21"/>
  <c r="GO45" i="21"/>
  <c r="GZ44" i="21"/>
  <c r="GY44" i="21"/>
  <c r="GX44" i="21"/>
  <c r="GW44" i="21"/>
  <c r="GV44" i="21"/>
  <c r="GU44" i="21"/>
  <c r="GT44" i="21"/>
  <c r="GS44" i="21"/>
  <c r="GR44" i="21"/>
  <c r="GQ44" i="21"/>
  <c r="GP44" i="21"/>
  <c r="GO44" i="21"/>
  <c r="GZ43" i="21"/>
  <c r="GY43" i="21"/>
  <c r="GX43" i="21"/>
  <c r="GW43" i="21"/>
  <c r="GV43" i="21"/>
  <c r="GU43" i="21"/>
  <c r="GT43" i="21"/>
  <c r="GS43" i="21"/>
  <c r="GR43" i="21"/>
  <c r="GQ43" i="21"/>
  <c r="GP43" i="21"/>
  <c r="GO43" i="21"/>
  <c r="GZ42" i="21"/>
  <c r="GY42" i="21"/>
  <c r="GX42" i="21"/>
  <c r="GW42" i="21"/>
  <c r="GV42" i="21"/>
  <c r="GU42" i="21"/>
  <c r="GT42" i="21"/>
  <c r="GS42" i="21"/>
  <c r="GR42" i="21"/>
  <c r="GQ42" i="21"/>
  <c r="GP42" i="21"/>
  <c r="GO42" i="21"/>
  <c r="GZ41" i="21"/>
  <c r="GY41" i="21"/>
  <c r="GX41" i="21"/>
  <c r="GW41" i="21"/>
  <c r="GV41" i="21"/>
  <c r="GU41" i="21"/>
  <c r="GT41" i="21"/>
  <c r="GS41" i="21"/>
  <c r="GR41" i="21"/>
  <c r="GQ41" i="21"/>
  <c r="GP41" i="21"/>
  <c r="GO41" i="21"/>
  <c r="GZ40" i="21"/>
  <c r="GY40" i="21"/>
  <c r="GX40" i="21"/>
  <c r="GW40" i="21"/>
  <c r="GV40" i="21"/>
  <c r="GU40" i="21"/>
  <c r="GT40" i="21"/>
  <c r="GS40" i="21"/>
  <c r="GR40" i="21"/>
  <c r="GQ40" i="21"/>
  <c r="GP40" i="21"/>
  <c r="GO40" i="21"/>
  <c r="GZ39" i="21"/>
  <c r="GY39" i="21"/>
  <c r="GX39" i="21"/>
  <c r="GW39" i="21"/>
  <c r="GV39" i="21"/>
  <c r="GU39" i="21"/>
  <c r="GT39" i="21"/>
  <c r="GS39" i="21"/>
  <c r="GR39" i="21"/>
  <c r="GQ39" i="21"/>
  <c r="GP39" i="21"/>
  <c r="GO39" i="21"/>
  <c r="GZ38" i="21"/>
  <c r="GY38" i="21"/>
  <c r="GX38" i="21"/>
  <c r="GW38" i="21"/>
  <c r="GV38" i="21"/>
  <c r="GU38" i="21"/>
  <c r="GT38" i="21"/>
  <c r="GS38" i="21"/>
  <c r="GR38" i="21"/>
  <c r="GQ38" i="21"/>
  <c r="GP38" i="21"/>
  <c r="GO38" i="21"/>
  <c r="GZ37" i="21"/>
  <c r="GY37" i="21"/>
  <c r="GX37" i="21"/>
  <c r="GW37" i="21"/>
  <c r="GV37" i="21"/>
  <c r="GU37" i="21"/>
  <c r="GT37" i="21"/>
  <c r="GS37" i="21"/>
  <c r="GR37" i="21"/>
  <c r="GQ37" i="21"/>
  <c r="GP37" i="21"/>
  <c r="GO37" i="21"/>
  <c r="GZ36" i="21"/>
  <c r="GY36" i="21"/>
  <c r="GX36" i="21"/>
  <c r="GW36" i="21"/>
  <c r="GV36" i="21"/>
  <c r="GU36" i="21"/>
  <c r="GT36" i="21"/>
  <c r="GS36" i="21"/>
  <c r="GR36" i="21"/>
  <c r="GQ36" i="21"/>
  <c r="GP36" i="21"/>
  <c r="GO36" i="21"/>
  <c r="AC6" i="22" l="1"/>
  <c r="AD6" i="22"/>
  <c r="AE6" i="22"/>
  <c r="AF6" i="22"/>
  <c r="AC7" i="22"/>
  <c r="AD7" i="22"/>
  <c r="AE7" i="22"/>
  <c r="AF7" i="22"/>
  <c r="AC8" i="22"/>
  <c r="AD8" i="22"/>
  <c r="AE8" i="22"/>
  <c r="AF8" i="22"/>
  <c r="AF5" i="22"/>
  <c r="AE5" i="22"/>
  <c r="AD5" i="22"/>
  <c r="AC5" i="22"/>
  <c r="AC10" i="22"/>
  <c r="AD10" i="22"/>
  <c r="AE10" i="22"/>
  <c r="AF10" i="22"/>
  <c r="AC11" i="22"/>
  <c r="AD11" i="22"/>
  <c r="AE11" i="22"/>
  <c r="AF11" i="22"/>
  <c r="AC12" i="22"/>
  <c r="AD12" i="22"/>
  <c r="AE12" i="22"/>
  <c r="AF12" i="22"/>
  <c r="AC13" i="22"/>
  <c r="AD13" i="22"/>
  <c r="AE13" i="22"/>
  <c r="AF13" i="22"/>
  <c r="AC14" i="22"/>
  <c r="AD14" i="22"/>
  <c r="AE14" i="22"/>
  <c r="AF14" i="22"/>
  <c r="AC15" i="22"/>
  <c r="AD15" i="22"/>
  <c r="AE15" i="22"/>
  <c r="AF15" i="22"/>
  <c r="AC16" i="22"/>
  <c r="AD16" i="22"/>
  <c r="AE16" i="22"/>
  <c r="AF16" i="22"/>
  <c r="AC17" i="22"/>
  <c r="AD17" i="22"/>
  <c r="AE17" i="22"/>
  <c r="AF17" i="22"/>
  <c r="AC18" i="22"/>
  <c r="AD18" i="22"/>
  <c r="AE18" i="22"/>
  <c r="AF18" i="22"/>
  <c r="AC19" i="22"/>
  <c r="AD19" i="22"/>
  <c r="AE19" i="22"/>
  <c r="AF19" i="22"/>
  <c r="AC20" i="22"/>
  <c r="AD20" i="22"/>
  <c r="AE20" i="22"/>
  <c r="AF20" i="22"/>
  <c r="AC21" i="22"/>
  <c r="AD21" i="22"/>
  <c r="AE21" i="22"/>
  <c r="AF21" i="22"/>
  <c r="AC22" i="22"/>
  <c r="AD22" i="22"/>
  <c r="AE22" i="22"/>
  <c r="AF22" i="22"/>
  <c r="AC23" i="22"/>
  <c r="AD23" i="22"/>
  <c r="AE23" i="22"/>
  <c r="AF23" i="22"/>
  <c r="AC24" i="22"/>
  <c r="AD24" i="22"/>
  <c r="AE24" i="22"/>
  <c r="AF24" i="22"/>
  <c r="AC25" i="22"/>
  <c r="AD25" i="22"/>
  <c r="AE25" i="22"/>
  <c r="AF25" i="22"/>
  <c r="AC26" i="22"/>
  <c r="AD26" i="22"/>
  <c r="AE26" i="22"/>
  <c r="AF26" i="22"/>
  <c r="AC27" i="22"/>
  <c r="AD27" i="22"/>
  <c r="AE27" i="22"/>
  <c r="AF27" i="22"/>
  <c r="AC28" i="22"/>
  <c r="AD28" i="22"/>
  <c r="AE28" i="22"/>
  <c r="AF28" i="22"/>
  <c r="AC29" i="22"/>
  <c r="AD29" i="22"/>
  <c r="AE29" i="22"/>
  <c r="AF29" i="22"/>
  <c r="AC30" i="22"/>
  <c r="AD30" i="22"/>
  <c r="AE30" i="22"/>
  <c r="AF30" i="22"/>
  <c r="AC31" i="22"/>
  <c r="AD31" i="22"/>
  <c r="AE31" i="22"/>
  <c r="AF31" i="22"/>
  <c r="AC32" i="22"/>
  <c r="AD32" i="22"/>
  <c r="AE32" i="22"/>
  <c r="AF32" i="22"/>
  <c r="AC33" i="22"/>
  <c r="AD33" i="22"/>
  <c r="AE33" i="22"/>
  <c r="AF33" i="22"/>
  <c r="AC34" i="22"/>
  <c r="AD34" i="22"/>
  <c r="AE34" i="22"/>
  <c r="AF34" i="22"/>
  <c r="AC35" i="22"/>
  <c r="AD35" i="22"/>
  <c r="AE35" i="22"/>
  <c r="AF35" i="22"/>
  <c r="AC36" i="22"/>
  <c r="AD36" i="22"/>
  <c r="AE36" i="22"/>
  <c r="AF36" i="22"/>
  <c r="AC37" i="22"/>
  <c r="AD37" i="22"/>
  <c r="AE37" i="22"/>
  <c r="AF37" i="22"/>
  <c r="AC38" i="22"/>
  <c r="AD38" i="22"/>
  <c r="AE38" i="22"/>
  <c r="AF38" i="22"/>
  <c r="AC39" i="22"/>
  <c r="AD39" i="22"/>
  <c r="AE39" i="22"/>
  <c r="AF39" i="22"/>
  <c r="AC40" i="22"/>
  <c r="AD40" i="22"/>
  <c r="AE40" i="22"/>
  <c r="AF40" i="22"/>
  <c r="AC41" i="22"/>
  <c r="AD41" i="22"/>
  <c r="AE41" i="22"/>
  <c r="AF41" i="22"/>
  <c r="AC42" i="22"/>
  <c r="AD42" i="22"/>
  <c r="AE42" i="22"/>
  <c r="AF42" i="22"/>
  <c r="AC43" i="22"/>
  <c r="AD43" i="22"/>
  <c r="AE43" i="22"/>
  <c r="AF43" i="22"/>
  <c r="AC44" i="22"/>
  <c r="AD44" i="22"/>
  <c r="AE44" i="22"/>
  <c r="AF44" i="22"/>
  <c r="AC45" i="22"/>
  <c r="AD45" i="22"/>
  <c r="AE45" i="22"/>
  <c r="AF45" i="22"/>
  <c r="AC46" i="22"/>
  <c r="AD46" i="22"/>
  <c r="AE46" i="22"/>
  <c r="AF46" i="22"/>
  <c r="AC47" i="22"/>
  <c r="AD47" i="22"/>
  <c r="AE47" i="22"/>
  <c r="AF47" i="22"/>
  <c r="AC48" i="22"/>
  <c r="AD48" i="22"/>
  <c r="AE48" i="22"/>
  <c r="AF48" i="22"/>
  <c r="AC49" i="22"/>
  <c r="AD49" i="22"/>
  <c r="AE49" i="22"/>
  <c r="AF49" i="22"/>
  <c r="AC50" i="22"/>
  <c r="AD50" i="22"/>
  <c r="AE50" i="22"/>
  <c r="AF50" i="22"/>
  <c r="AC51" i="22"/>
  <c r="AD51" i="22"/>
  <c r="AE51" i="22"/>
  <c r="AF51" i="22"/>
  <c r="AC52" i="22"/>
  <c r="AD52" i="22"/>
  <c r="AE52" i="22"/>
  <c r="AF52" i="22"/>
  <c r="AC53" i="22"/>
  <c r="AD53" i="22"/>
  <c r="AE53" i="22"/>
  <c r="AF53" i="22"/>
  <c r="AC54" i="22"/>
  <c r="AD54" i="22"/>
  <c r="AE54" i="22"/>
  <c r="AF54" i="22"/>
  <c r="AC55" i="22"/>
  <c r="AD55" i="22"/>
  <c r="AE55" i="22"/>
  <c r="AF55" i="22"/>
  <c r="AC56" i="22"/>
  <c r="AD56" i="22"/>
  <c r="AE56" i="22"/>
  <c r="AF56" i="22"/>
  <c r="AC57" i="22"/>
  <c r="AD57" i="22"/>
  <c r="AE57" i="22"/>
  <c r="AF57" i="22"/>
  <c r="AC58" i="22"/>
  <c r="AD58" i="22"/>
  <c r="AE58" i="22"/>
  <c r="AF58" i="22"/>
  <c r="AF9" i="22"/>
  <c r="AE9" i="22"/>
  <c r="AD9" i="22"/>
  <c r="AC9" i="22"/>
  <c r="AB58" i="22"/>
  <c r="AB43" i="22"/>
  <c r="AB44" i="22"/>
  <c r="AB45" i="22"/>
  <c r="AB46" i="22"/>
  <c r="AB47" i="22"/>
  <c r="AB48" i="22"/>
  <c r="AB49" i="22"/>
  <c r="AB50" i="22"/>
  <c r="AB51" i="22"/>
  <c r="AB52" i="22"/>
  <c r="AB53" i="22"/>
  <c r="AB54" i="22"/>
  <c r="AB55" i="22"/>
  <c r="AB56" i="22"/>
  <c r="AB57" i="22"/>
  <c r="A3" i="24" l="1"/>
  <c r="B3" i="24"/>
  <c r="C3" i="24"/>
  <c r="D3" i="24"/>
  <c r="E3" i="24"/>
  <c r="G3" i="24"/>
  <c r="H3" i="24"/>
  <c r="I3" i="24"/>
  <c r="J3" i="24"/>
  <c r="K3" i="24"/>
  <c r="M3" i="24"/>
  <c r="N3" i="24"/>
  <c r="O3" i="24"/>
  <c r="P3" i="24"/>
  <c r="Q3" i="24"/>
  <c r="J35" i="62" l="1"/>
  <c r="I35" i="62"/>
  <c r="I36" i="62" s="1"/>
  <c r="I37" i="62" s="1"/>
  <c r="I38" i="62" s="1"/>
  <c r="I39" i="62" s="1"/>
  <c r="I40" i="62" s="1"/>
  <c r="I41" i="62" s="1"/>
  <c r="I42" i="62" s="1"/>
  <c r="I43" i="62" s="1"/>
  <c r="I44" i="62" s="1"/>
  <c r="G35" i="62" l="1"/>
  <c r="F35" i="62"/>
  <c r="F36" i="62" s="1"/>
  <c r="F37" i="62" s="1"/>
  <c r="F38" i="62" s="1"/>
  <c r="F39" i="62" s="1"/>
  <c r="F40" i="62" s="1"/>
  <c r="F41" i="62" s="1"/>
  <c r="F42" i="62" s="1"/>
  <c r="F43" i="62" s="1"/>
  <c r="F44" i="62" s="1"/>
  <c r="S39" i="2"/>
  <c r="T39" i="2" s="1"/>
  <c r="U39" i="2" s="1"/>
  <c r="V39" i="2" s="1"/>
  <c r="W39" i="2" s="1"/>
  <c r="X39" i="2" s="1"/>
  <c r="Y39" i="2" s="1"/>
  <c r="Z39" i="2" s="1"/>
  <c r="AA39" i="2" s="1"/>
  <c r="AB39" i="2" s="1"/>
  <c r="AC39" i="2" s="1"/>
  <c r="AD39" i="2" s="1"/>
  <c r="H2" i="62"/>
  <c r="N12" i="62"/>
  <c r="N13" i="62"/>
  <c r="N14" i="62"/>
  <c r="N15" i="62"/>
  <c r="N16" i="62"/>
  <c r="N17" i="62"/>
  <c r="N18" i="62"/>
  <c r="N19" i="62"/>
  <c r="N20" i="62"/>
  <c r="N21" i="62"/>
  <c r="N22" i="62"/>
  <c r="N11" i="62"/>
  <c r="E53" i="47"/>
  <c r="F13" i="45"/>
  <c r="F13" i="47" s="1"/>
  <c r="C16" i="48" s="1"/>
  <c r="F13" i="46" l="1"/>
  <c r="GO6" i="21"/>
  <c r="GP6" i="21"/>
  <c r="GQ6" i="21"/>
  <c r="GR6" i="21"/>
  <c r="GS6" i="21"/>
  <c r="GT6" i="21"/>
  <c r="GU6" i="21"/>
  <c r="GV6" i="21"/>
  <c r="GW6" i="21"/>
  <c r="GX6" i="21"/>
  <c r="GY6" i="21"/>
  <c r="GZ6" i="21"/>
  <c r="GO7" i="21"/>
  <c r="GP7" i="21"/>
  <c r="GQ7" i="21"/>
  <c r="GR7" i="21"/>
  <c r="GS7" i="21"/>
  <c r="GT7" i="21"/>
  <c r="GU7" i="21"/>
  <c r="GV7" i="21"/>
  <c r="GW7" i="21"/>
  <c r="GX7" i="21"/>
  <c r="GY7" i="21"/>
  <c r="GZ7" i="21"/>
  <c r="GO8" i="21"/>
  <c r="GP8" i="21"/>
  <c r="GQ8" i="21"/>
  <c r="GR8" i="21"/>
  <c r="GS8" i="21"/>
  <c r="GT8" i="21"/>
  <c r="GU8" i="21"/>
  <c r="GV8" i="21"/>
  <c r="GW8" i="21"/>
  <c r="GX8" i="21"/>
  <c r="GY8" i="21"/>
  <c r="GZ8" i="21"/>
  <c r="GO9" i="21"/>
  <c r="GP9" i="21"/>
  <c r="GQ9" i="21"/>
  <c r="GR9" i="21"/>
  <c r="GS9" i="21"/>
  <c r="GT9" i="21"/>
  <c r="GU9" i="21"/>
  <c r="GV9" i="21"/>
  <c r="GW9" i="21"/>
  <c r="GX9" i="21"/>
  <c r="GY9" i="21"/>
  <c r="GZ9" i="21"/>
  <c r="GO10" i="21"/>
  <c r="GP10" i="21"/>
  <c r="GQ10" i="21"/>
  <c r="GR10" i="21"/>
  <c r="GS10" i="21"/>
  <c r="GT10" i="21"/>
  <c r="GU10" i="21"/>
  <c r="GV10" i="21"/>
  <c r="GW10" i="21"/>
  <c r="GX10" i="21"/>
  <c r="GY10" i="21"/>
  <c r="GZ10" i="21"/>
  <c r="GO11" i="21"/>
  <c r="GP11" i="21"/>
  <c r="GQ11" i="21"/>
  <c r="GR11" i="21"/>
  <c r="GS11" i="21"/>
  <c r="GT11" i="21"/>
  <c r="GU11" i="21"/>
  <c r="GV11" i="21"/>
  <c r="GW11" i="21"/>
  <c r="GX11" i="21"/>
  <c r="GY11" i="21"/>
  <c r="GZ11" i="21"/>
  <c r="GO12" i="21"/>
  <c r="GP12" i="21"/>
  <c r="GQ12" i="21"/>
  <c r="GR12" i="21"/>
  <c r="GS12" i="21"/>
  <c r="GT12" i="21"/>
  <c r="GU12" i="21"/>
  <c r="GV12" i="21"/>
  <c r="GW12" i="21"/>
  <c r="GX12" i="21"/>
  <c r="GY12" i="21"/>
  <c r="GZ12" i="21"/>
  <c r="GO13" i="21"/>
  <c r="GP13" i="21"/>
  <c r="GQ13" i="21"/>
  <c r="GR13" i="21"/>
  <c r="GS13" i="21"/>
  <c r="GT13" i="21"/>
  <c r="GU13" i="21"/>
  <c r="GV13" i="21"/>
  <c r="GW13" i="21"/>
  <c r="GX13" i="21"/>
  <c r="GY13" i="21"/>
  <c r="GZ13" i="21"/>
  <c r="GO14" i="21"/>
  <c r="GP14" i="21"/>
  <c r="GQ14" i="21"/>
  <c r="GR14" i="21"/>
  <c r="GS14" i="21"/>
  <c r="GT14" i="21"/>
  <c r="GU14" i="21"/>
  <c r="GV14" i="21"/>
  <c r="GW14" i="21"/>
  <c r="GX14" i="21"/>
  <c r="GY14" i="21"/>
  <c r="GZ14" i="21"/>
  <c r="GO15" i="21"/>
  <c r="GP15" i="21"/>
  <c r="GQ15" i="21"/>
  <c r="GR15" i="21"/>
  <c r="GS15" i="21"/>
  <c r="GT15" i="21"/>
  <c r="GU15" i="21"/>
  <c r="GV15" i="21"/>
  <c r="GW15" i="21"/>
  <c r="GX15" i="21"/>
  <c r="GY15" i="21"/>
  <c r="GZ15" i="21"/>
  <c r="GO16" i="21"/>
  <c r="GP16" i="21"/>
  <c r="GQ16" i="21"/>
  <c r="GR16" i="21"/>
  <c r="GS16" i="21"/>
  <c r="GT16" i="21"/>
  <c r="GU16" i="21"/>
  <c r="GV16" i="21"/>
  <c r="GW16" i="21"/>
  <c r="GX16" i="21"/>
  <c r="GY16" i="21"/>
  <c r="GZ16" i="21"/>
  <c r="GO17" i="21"/>
  <c r="GP17" i="21"/>
  <c r="GQ17" i="21"/>
  <c r="GR17" i="21"/>
  <c r="GS17" i="21"/>
  <c r="GT17" i="21"/>
  <c r="GU17" i="21"/>
  <c r="GV17" i="21"/>
  <c r="GW17" i="21"/>
  <c r="GX17" i="21"/>
  <c r="GY17" i="21"/>
  <c r="GZ17" i="21"/>
  <c r="GO18" i="21"/>
  <c r="GP18" i="21"/>
  <c r="GQ18" i="21"/>
  <c r="GR18" i="21"/>
  <c r="GS18" i="21"/>
  <c r="GT18" i="21"/>
  <c r="GU18" i="21"/>
  <c r="GV18" i="21"/>
  <c r="GW18" i="21"/>
  <c r="GX18" i="21"/>
  <c r="GY18" i="21"/>
  <c r="GZ18" i="21"/>
  <c r="GO19" i="21"/>
  <c r="GP19" i="21"/>
  <c r="GQ19" i="21"/>
  <c r="GR19" i="21"/>
  <c r="GS19" i="21"/>
  <c r="GT19" i="21"/>
  <c r="GU19" i="21"/>
  <c r="GV19" i="21"/>
  <c r="GW19" i="21"/>
  <c r="GX19" i="21"/>
  <c r="GY19" i="21"/>
  <c r="GZ19" i="21"/>
  <c r="GO20" i="21"/>
  <c r="GP20" i="21"/>
  <c r="GQ20" i="21"/>
  <c r="GR20" i="21"/>
  <c r="GS20" i="21"/>
  <c r="GT20" i="21"/>
  <c r="GU20" i="21"/>
  <c r="GV20" i="21"/>
  <c r="GW20" i="21"/>
  <c r="GX20" i="21"/>
  <c r="GY20" i="21"/>
  <c r="GZ20" i="21"/>
  <c r="GO21" i="21"/>
  <c r="GP21" i="21"/>
  <c r="GQ21" i="21"/>
  <c r="GR21" i="21"/>
  <c r="GS21" i="21"/>
  <c r="GT21" i="21"/>
  <c r="GU21" i="21"/>
  <c r="GV21" i="21"/>
  <c r="GW21" i="21"/>
  <c r="GX21" i="21"/>
  <c r="GY21" i="21"/>
  <c r="GZ21" i="21"/>
  <c r="GO22" i="21"/>
  <c r="GP22" i="21"/>
  <c r="GQ22" i="21"/>
  <c r="GR22" i="21"/>
  <c r="GS22" i="21"/>
  <c r="GT22" i="21"/>
  <c r="GU22" i="21"/>
  <c r="GV22" i="21"/>
  <c r="GW22" i="21"/>
  <c r="GX22" i="21"/>
  <c r="GY22" i="21"/>
  <c r="GZ22" i="21"/>
  <c r="GO23" i="21"/>
  <c r="GP23" i="21"/>
  <c r="GQ23" i="21"/>
  <c r="GR23" i="21"/>
  <c r="GS23" i="21"/>
  <c r="GT23" i="21"/>
  <c r="GU23" i="21"/>
  <c r="GV23" i="21"/>
  <c r="GW23" i="21"/>
  <c r="GX23" i="21"/>
  <c r="GY23" i="21"/>
  <c r="GZ23" i="21"/>
  <c r="GO24" i="21"/>
  <c r="GP24" i="21"/>
  <c r="GQ24" i="21"/>
  <c r="GR24" i="21"/>
  <c r="GS24" i="21"/>
  <c r="GT24" i="21"/>
  <c r="GU24" i="21"/>
  <c r="GV24" i="21"/>
  <c r="GW24" i="21"/>
  <c r="GX24" i="21"/>
  <c r="GY24" i="21"/>
  <c r="GZ24" i="21"/>
  <c r="GO25" i="21"/>
  <c r="GP25" i="21"/>
  <c r="GQ25" i="21"/>
  <c r="GR25" i="21"/>
  <c r="GS25" i="21"/>
  <c r="GT25" i="21"/>
  <c r="GU25" i="21"/>
  <c r="GV25" i="21"/>
  <c r="GW25" i="21"/>
  <c r="GX25" i="21"/>
  <c r="GY25" i="21"/>
  <c r="GZ25" i="21"/>
  <c r="GO26" i="21"/>
  <c r="GP26" i="21"/>
  <c r="GQ26" i="21"/>
  <c r="GR26" i="21"/>
  <c r="GS26" i="21"/>
  <c r="GT26" i="21"/>
  <c r="GU26" i="21"/>
  <c r="GV26" i="21"/>
  <c r="GW26" i="21"/>
  <c r="GX26" i="21"/>
  <c r="GY26" i="21"/>
  <c r="GZ26" i="21"/>
  <c r="GO27" i="21"/>
  <c r="GP27" i="21"/>
  <c r="GQ27" i="21"/>
  <c r="GR27" i="21"/>
  <c r="GS27" i="21"/>
  <c r="GT27" i="21"/>
  <c r="GU27" i="21"/>
  <c r="GV27" i="21"/>
  <c r="GW27" i="21"/>
  <c r="GX27" i="21"/>
  <c r="GY27" i="21"/>
  <c r="GZ27" i="21"/>
  <c r="GO28" i="21"/>
  <c r="GP28" i="21"/>
  <c r="GQ28" i="21"/>
  <c r="GR28" i="21"/>
  <c r="GS28" i="21"/>
  <c r="GT28" i="21"/>
  <c r="GU28" i="21"/>
  <c r="GV28" i="21"/>
  <c r="GW28" i="21"/>
  <c r="GX28" i="21"/>
  <c r="GY28" i="21"/>
  <c r="GZ28" i="21"/>
  <c r="GO29" i="21"/>
  <c r="GP29" i="21"/>
  <c r="GQ29" i="21"/>
  <c r="GR29" i="21"/>
  <c r="GS29" i="21"/>
  <c r="GT29" i="21"/>
  <c r="GU29" i="21"/>
  <c r="GV29" i="21"/>
  <c r="GW29" i="21"/>
  <c r="GX29" i="21"/>
  <c r="GY29" i="21"/>
  <c r="GZ29" i="21"/>
  <c r="GO30" i="21"/>
  <c r="GP30" i="21"/>
  <c r="GQ30" i="21"/>
  <c r="GR30" i="21"/>
  <c r="GS30" i="21"/>
  <c r="GT30" i="21"/>
  <c r="GU30" i="21"/>
  <c r="GV30" i="21"/>
  <c r="GW30" i="21"/>
  <c r="GX30" i="21"/>
  <c r="GY30" i="21"/>
  <c r="GZ30" i="21"/>
  <c r="GO31" i="21"/>
  <c r="GP31" i="21"/>
  <c r="GQ31" i="21"/>
  <c r="GR31" i="21"/>
  <c r="GS31" i="21"/>
  <c r="GT31" i="21"/>
  <c r="GU31" i="21"/>
  <c r="GV31" i="21"/>
  <c r="GW31" i="21"/>
  <c r="GX31" i="21"/>
  <c r="GY31" i="21"/>
  <c r="GZ31" i="21"/>
  <c r="GO32" i="21"/>
  <c r="GP32" i="21"/>
  <c r="GQ32" i="21"/>
  <c r="GR32" i="21"/>
  <c r="GS32" i="21"/>
  <c r="GT32" i="21"/>
  <c r="GU32" i="21"/>
  <c r="GV32" i="21"/>
  <c r="GW32" i="21"/>
  <c r="GX32" i="21"/>
  <c r="GY32" i="21"/>
  <c r="GZ32" i="21"/>
  <c r="GO33" i="21"/>
  <c r="GP33" i="21"/>
  <c r="GQ33" i="21"/>
  <c r="GR33" i="21"/>
  <c r="GS33" i="21"/>
  <c r="GT33" i="21"/>
  <c r="GU33" i="21"/>
  <c r="GV33" i="21"/>
  <c r="GW33" i="21"/>
  <c r="GX33" i="21"/>
  <c r="GY33" i="21"/>
  <c r="GZ33" i="21"/>
  <c r="GO34" i="21"/>
  <c r="GP34" i="21"/>
  <c r="GQ34" i="21"/>
  <c r="GR34" i="21"/>
  <c r="GS34" i="21"/>
  <c r="GT34" i="21"/>
  <c r="GU34" i="21"/>
  <c r="GV34" i="21"/>
  <c r="GW34" i="21"/>
  <c r="GX34" i="21"/>
  <c r="GY34" i="21"/>
  <c r="GZ34" i="21"/>
  <c r="GO35" i="21"/>
  <c r="GP35" i="21"/>
  <c r="GQ35" i="21"/>
  <c r="GR35" i="21"/>
  <c r="GS35" i="21"/>
  <c r="GT35" i="21"/>
  <c r="GU35" i="21"/>
  <c r="GV35" i="21"/>
  <c r="GW35" i="21"/>
  <c r="GX35" i="21"/>
  <c r="GY35" i="21"/>
  <c r="GZ35" i="21"/>
  <c r="GP5" i="21"/>
  <c r="GQ5" i="21"/>
  <c r="GR5" i="21"/>
  <c r="GS5" i="21"/>
  <c r="GT5" i="21"/>
  <c r="GU5" i="21"/>
  <c r="GV5" i="21"/>
  <c r="GW5" i="21"/>
  <c r="GX5" i="21"/>
  <c r="GY5" i="21"/>
  <c r="GZ5" i="21"/>
  <c r="GO5" i="21"/>
  <c r="Q1" i="43" l="1"/>
  <c r="AI3" i="24" l="1"/>
  <c r="AH3" i="24"/>
  <c r="AG3" i="24"/>
  <c r="AF3" i="24"/>
  <c r="AE3" i="24"/>
  <c r="AD3" i="24"/>
  <c r="AC3" i="24"/>
  <c r="AB3" i="24"/>
  <c r="AA3" i="24"/>
  <c r="Z3" i="24"/>
  <c r="Y3" i="24"/>
  <c r="X3" i="24"/>
  <c r="W3" i="24"/>
  <c r="V3" i="24"/>
  <c r="U3" i="24"/>
  <c r="T3" i="24"/>
  <c r="S3" i="24"/>
  <c r="R3" i="24"/>
  <c r="L3" i="24"/>
  <c r="F3" i="24"/>
  <c r="J1" i="24" l="1"/>
  <c r="L1" i="24"/>
  <c r="N1" i="24"/>
  <c r="P1" i="24"/>
  <c r="R1" i="24"/>
  <c r="F1" i="24" l="1"/>
  <c r="D1" i="24" s="1"/>
  <c r="G38" i="2"/>
  <c r="H38" i="2" s="1"/>
  <c r="I38" i="2" s="1"/>
  <c r="J38" i="2" s="1"/>
  <c r="K38" i="2" s="1"/>
  <c r="L38" i="2" s="1"/>
  <c r="M38" i="2" s="1"/>
  <c r="N38" i="2" s="1"/>
  <c r="O38" i="2" s="1"/>
  <c r="P38" i="2" s="1"/>
  <c r="Q38" i="2" s="1"/>
  <c r="AR7" i="53" l="1"/>
  <c r="AE7" i="53" s="1"/>
  <c r="AR8" i="53"/>
  <c r="AE8" i="53" s="1"/>
  <c r="AR9" i="53"/>
  <c r="AE9" i="53" s="1"/>
  <c r="AR10" i="53"/>
  <c r="AE10" i="53" s="1"/>
  <c r="AR11" i="53"/>
  <c r="AE11" i="53" s="1"/>
  <c r="AR12" i="53"/>
  <c r="AE12" i="53" s="1"/>
  <c r="AR13" i="53"/>
  <c r="AE13" i="53" s="1"/>
  <c r="AR14" i="53"/>
  <c r="AE14" i="53" s="1"/>
  <c r="AR15" i="53"/>
  <c r="AE15" i="53" s="1"/>
  <c r="AR16" i="53"/>
  <c r="AE16" i="53" s="1"/>
  <c r="AR17" i="53"/>
  <c r="AE17" i="53" s="1"/>
  <c r="AR18" i="53"/>
  <c r="AE18" i="53" s="1"/>
  <c r="G23" i="2" l="1"/>
  <c r="AB9" i="22"/>
  <c r="S30" i="53" l="1"/>
  <c r="R30" i="53"/>
  <c r="AA30" i="53"/>
  <c r="Y30" i="53"/>
  <c r="X30" i="53"/>
  <c r="W30" i="53"/>
  <c r="V30" i="53"/>
  <c r="U30" i="53"/>
  <c r="T30" i="53"/>
  <c r="AO18" i="53"/>
  <c r="AL18" i="53"/>
  <c r="AK18" i="53"/>
  <c r="AO17" i="53"/>
  <c r="AL17" i="53"/>
  <c r="AK17" i="53"/>
  <c r="AO16" i="53"/>
  <c r="AL16" i="53"/>
  <c r="AK16" i="53"/>
  <c r="AO15" i="53"/>
  <c r="AL15" i="53"/>
  <c r="AK15" i="53"/>
  <c r="AO14" i="53"/>
  <c r="AL14" i="53"/>
  <c r="AK14" i="53"/>
  <c r="AO13" i="53"/>
  <c r="AL13" i="53"/>
  <c r="AK13" i="53"/>
  <c r="AO12" i="53"/>
  <c r="AL12" i="53"/>
  <c r="AK12" i="53"/>
  <c r="AO11" i="53"/>
  <c r="AL11" i="53"/>
  <c r="AK11" i="53"/>
  <c r="AO10" i="53"/>
  <c r="AL10" i="53"/>
  <c r="AK10" i="53"/>
  <c r="AO9" i="53"/>
  <c r="AL9" i="53"/>
  <c r="AK9" i="53"/>
  <c r="AO8" i="53"/>
  <c r="AL8" i="53"/>
  <c r="AK8" i="53"/>
  <c r="AO7" i="53"/>
  <c r="AL7" i="53"/>
  <c r="AK7" i="53"/>
  <c r="W5" i="53"/>
  <c r="U5" i="53"/>
  <c r="S5" i="53"/>
  <c r="R5" i="53"/>
  <c r="Z8" i="59"/>
  <c r="AF8" i="59" s="1"/>
  <c r="Z9" i="59"/>
  <c r="AF9" i="59" s="1"/>
  <c r="Z10" i="59"/>
  <c r="Z11" i="59"/>
  <c r="AF11" i="59" s="1"/>
  <c r="Z12" i="59"/>
  <c r="Z13" i="59"/>
  <c r="AF13" i="59" s="1"/>
  <c r="Z14" i="59"/>
  <c r="AF14" i="59" s="1"/>
  <c r="Z15" i="59"/>
  <c r="AF15" i="59" s="1"/>
  <c r="Z16" i="59"/>
  <c r="AF16" i="59" s="1"/>
  <c r="Z17" i="59"/>
  <c r="AF17" i="59" s="1"/>
  <c r="Z18" i="59"/>
  <c r="AF18" i="59" s="1"/>
  <c r="Z7" i="59"/>
  <c r="Z30" i="59" s="1"/>
  <c r="U5" i="59"/>
  <c r="S5" i="59"/>
  <c r="T5" i="59" s="1"/>
  <c r="Q5" i="59"/>
  <c r="P5" i="59"/>
  <c r="P6" i="59" s="1"/>
  <c r="Y30" i="59"/>
  <c r="W30" i="59"/>
  <c r="V30" i="59"/>
  <c r="U30" i="59"/>
  <c r="T30" i="59"/>
  <c r="S30" i="59"/>
  <c r="R30" i="59"/>
  <c r="Q30" i="59"/>
  <c r="P30" i="59"/>
  <c r="Y29" i="59"/>
  <c r="W29" i="59"/>
  <c r="V29" i="59"/>
  <c r="U29" i="59"/>
  <c r="T29" i="59"/>
  <c r="S29" i="59"/>
  <c r="R29" i="59"/>
  <c r="Q29" i="59"/>
  <c r="P29" i="59"/>
  <c r="AM18" i="59"/>
  <c r="AJ18" i="59"/>
  <c r="AI18" i="59"/>
  <c r="AA18" i="59"/>
  <c r="AM17" i="59"/>
  <c r="AJ17" i="59"/>
  <c r="AI17" i="59"/>
  <c r="AA17" i="59"/>
  <c r="AM16" i="59"/>
  <c r="AJ16" i="59"/>
  <c r="AI16" i="59"/>
  <c r="AA16" i="59"/>
  <c r="AM15" i="59"/>
  <c r="AJ15" i="59"/>
  <c r="AI15" i="59"/>
  <c r="AA15" i="59"/>
  <c r="AM14" i="59"/>
  <c r="AJ14" i="59"/>
  <c r="AI14" i="59"/>
  <c r="AA14" i="59"/>
  <c r="AM13" i="59"/>
  <c r="AJ13" i="59"/>
  <c r="AI13" i="59"/>
  <c r="AA13" i="59"/>
  <c r="AM12" i="59"/>
  <c r="AJ12" i="59"/>
  <c r="AI12" i="59"/>
  <c r="AA12" i="59"/>
  <c r="AF12" i="59"/>
  <c r="AM11" i="59"/>
  <c r="AJ11" i="59"/>
  <c r="AI11" i="59"/>
  <c r="AA11" i="59"/>
  <c r="AM10" i="59"/>
  <c r="AJ10" i="59"/>
  <c r="AI10" i="59"/>
  <c r="AA10" i="59"/>
  <c r="AM9" i="59"/>
  <c r="AJ9" i="59"/>
  <c r="AI9" i="59"/>
  <c r="AA9" i="59"/>
  <c r="AM8" i="59"/>
  <c r="AJ8" i="59"/>
  <c r="AI8" i="59"/>
  <c r="AA8" i="59"/>
  <c r="AM7" i="59"/>
  <c r="AJ7" i="59"/>
  <c r="AI7" i="59"/>
  <c r="AA7" i="59"/>
  <c r="R6" i="53" l="1"/>
  <c r="R19" i="53"/>
  <c r="U19" i="53"/>
  <c r="U6" i="53"/>
  <c r="W19" i="53"/>
  <c r="S19" i="53"/>
  <c r="T5" i="53"/>
  <c r="T19" i="53" s="1"/>
  <c r="Q19" i="59"/>
  <c r="T19" i="59"/>
  <c r="U19" i="59"/>
  <c r="V5" i="53"/>
  <c r="Y5" i="53"/>
  <c r="Y19" i="53" s="1"/>
  <c r="S19" i="59"/>
  <c r="P19" i="59"/>
  <c r="Z29" i="59"/>
  <c r="X5" i="53"/>
  <c r="X19" i="53" s="1"/>
  <c r="AF10" i="59"/>
  <c r="R5" i="59"/>
  <c r="R19" i="59" s="1"/>
  <c r="V5" i="59"/>
  <c r="V19" i="59" s="1"/>
  <c r="S6" i="59"/>
  <c r="AF7" i="59"/>
  <c r="W5" i="59"/>
  <c r="T6" i="59"/>
  <c r="Z22" i="3"/>
  <c r="P26" i="57"/>
  <c r="V6" i="53" l="1"/>
  <c r="V19" i="53"/>
  <c r="AA5" i="53"/>
  <c r="AA19" i="53" s="1"/>
  <c r="Y5" i="59"/>
  <c r="Y19" i="59" s="1"/>
  <c r="W19" i="59"/>
  <c r="AC23" i="3"/>
  <c r="AD23" i="3"/>
  <c r="AE23" i="3"/>
  <c r="AF23" i="3"/>
  <c r="AG23" i="3"/>
  <c r="AH23" i="3"/>
  <c r="AI23" i="3"/>
  <c r="AJ23" i="3"/>
  <c r="AK23" i="3"/>
  <c r="AL23" i="3"/>
  <c r="AM23" i="3"/>
  <c r="AN23" i="3"/>
  <c r="AC24" i="3"/>
  <c r="AD24" i="3"/>
  <c r="AE24" i="3"/>
  <c r="AF24" i="3"/>
  <c r="AG24" i="3"/>
  <c r="AH24" i="3"/>
  <c r="AI24" i="3"/>
  <c r="AJ24" i="3"/>
  <c r="AK24" i="3"/>
  <c r="AL24" i="3"/>
  <c r="AM24" i="3"/>
  <c r="AN24" i="3"/>
  <c r="AC25" i="3"/>
  <c r="AD25" i="3"/>
  <c r="AE25" i="3"/>
  <c r="AF25" i="3"/>
  <c r="AG25" i="3"/>
  <c r="AH25" i="3"/>
  <c r="AI25" i="3"/>
  <c r="AJ25" i="3"/>
  <c r="AK25" i="3"/>
  <c r="AL25" i="3"/>
  <c r="AM25" i="3"/>
  <c r="AN25" i="3"/>
  <c r="AC26" i="3"/>
  <c r="AD26" i="3"/>
  <c r="AE26" i="3"/>
  <c r="AF26" i="3"/>
  <c r="AG26" i="3"/>
  <c r="AH26" i="3"/>
  <c r="AI26" i="3"/>
  <c r="AJ26" i="3"/>
  <c r="AK26" i="3"/>
  <c r="AL26" i="3"/>
  <c r="AM26" i="3"/>
  <c r="AN26" i="3"/>
  <c r="AC27" i="3"/>
  <c r="AD27" i="3"/>
  <c r="AE27" i="3"/>
  <c r="AF27" i="3"/>
  <c r="AG27" i="3"/>
  <c r="AH27" i="3"/>
  <c r="AI27" i="3"/>
  <c r="AJ27" i="3"/>
  <c r="AK27" i="3"/>
  <c r="AL27" i="3"/>
  <c r="AM27" i="3"/>
  <c r="AN27" i="3"/>
  <c r="AC28" i="3"/>
  <c r="AD28" i="3"/>
  <c r="AE28" i="3"/>
  <c r="AF28" i="3"/>
  <c r="AG28" i="3"/>
  <c r="AH28" i="3"/>
  <c r="AI28" i="3"/>
  <c r="AJ28" i="3"/>
  <c r="AK28" i="3"/>
  <c r="AL28" i="3"/>
  <c r="AM28" i="3"/>
  <c r="AN28" i="3"/>
  <c r="AC29" i="3"/>
  <c r="AD29" i="3"/>
  <c r="AE29" i="3"/>
  <c r="AF29" i="3"/>
  <c r="AG29" i="3"/>
  <c r="AH29" i="3"/>
  <c r="AI29" i="3"/>
  <c r="AJ29" i="3"/>
  <c r="AK29" i="3"/>
  <c r="AL29" i="3"/>
  <c r="AM29" i="3"/>
  <c r="AN29" i="3"/>
  <c r="AC30" i="3"/>
  <c r="AD30" i="3"/>
  <c r="AE30" i="3"/>
  <c r="AF30" i="3"/>
  <c r="AG30" i="3"/>
  <c r="AH30" i="3"/>
  <c r="AI30" i="3"/>
  <c r="AJ30" i="3"/>
  <c r="AK30" i="3"/>
  <c r="AL30" i="3"/>
  <c r="AM30" i="3"/>
  <c r="AN30" i="3"/>
  <c r="AC31" i="3"/>
  <c r="AD31" i="3"/>
  <c r="AE31" i="3"/>
  <c r="AF31" i="3"/>
  <c r="AG31" i="3"/>
  <c r="AH31" i="3"/>
  <c r="AI31" i="3"/>
  <c r="AJ31" i="3"/>
  <c r="AK31" i="3"/>
  <c r="AL31" i="3"/>
  <c r="AM31" i="3"/>
  <c r="AN31" i="3"/>
  <c r="AC32" i="3"/>
  <c r="AD32" i="3"/>
  <c r="AE32" i="3"/>
  <c r="AF32" i="3"/>
  <c r="AG32" i="3"/>
  <c r="AH32" i="3"/>
  <c r="AI32" i="3"/>
  <c r="AJ32" i="3"/>
  <c r="AK32" i="3"/>
  <c r="AL32" i="3"/>
  <c r="AM32" i="3"/>
  <c r="AN32" i="3"/>
  <c r="AC33" i="3"/>
  <c r="AD33" i="3"/>
  <c r="AE33" i="3"/>
  <c r="AF33" i="3"/>
  <c r="AG33" i="3"/>
  <c r="AH33" i="3"/>
  <c r="AI33" i="3"/>
  <c r="AJ33" i="3"/>
  <c r="AK33" i="3"/>
  <c r="AL33" i="3"/>
  <c r="AM33" i="3"/>
  <c r="AN33" i="3"/>
  <c r="AC34" i="3"/>
  <c r="AD34" i="3"/>
  <c r="AE34" i="3"/>
  <c r="AF34" i="3"/>
  <c r="AG34" i="3"/>
  <c r="AH34" i="3"/>
  <c r="AI34" i="3"/>
  <c r="AJ34" i="3"/>
  <c r="AK34" i="3"/>
  <c r="AL34" i="3"/>
  <c r="AM34" i="3"/>
  <c r="AN34" i="3"/>
  <c r="AC35" i="3"/>
  <c r="AD35" i="3"/>
  <c r="AE35" i="3"/>
  <c r="AF35" i="3"/>
  <c r="AG35" i="3"/>
  <c r="AH35" i="3"/>
  <c r="AI35" i="3"/>
  <c r="AJ35" i="3"/>
  <c r="AK35" i="3"/>
  <c r="AL35" i="3"/>
  <c r="AM35" i="3"/>
  <c r="AN35" i="3"/>
  <c r="AC36" i="3"/>
  <c r="AD36" i="3"/>
  <c r="AE36" i="3"/>
  <c r="AF36" i="3"/>
  <c r="AG36" i="3"/>
  <c r="AH36" i="3"/>
  <c r="AI36" i="3"/>
  <c r="AJ36" i="3"/>
  <c r="AK36" i="3"/>
  <c r="AL36" i="3"/>
  <c r="AM36" i="3"/>
  <c r="AN36" i="3"/>
  <c r="AC37" i="3"/>
  <c r="AD37" i="3"/>
  <c r="AE37" i="3"/>
  <c r="AF37" i="3"/>
  <c r="AG37" i="3"/>
  <c r="AH37" i="3"/>
  <c r="AI37" i="3"/>
  <c r="AJ37" i="3"/>
  <c r="AK37" i="3"/>
  <c r="AL37" i="3"/>
  <c r="AM37" i="3"/>
  <c r="AN37" i="3"/>
  <c r="AC38" i="3"/>
  <c r="AD38" i="3"/>
  <c r="AE38" i="3"/>
  <c r="AF38" i="3"/>
  <c r="AG38" i="3"/>
  <c r="AH38" i="3"/>
  <c r="AI38" i="3"/>
  <c r="AJ38" i="3"/>
  <c r="AK38" i="3"/>
  <c r="AL38" i="3"/>
  <c r="AM38" i="3"/>
  <c r="AN38" i="3"/>
  <c r="AC39" i="3"/>
  <c r="AD39" i="3"/>
  <c r="AE39" i="3"/>
  <c r="AF39" i="3"/>
  <c r="AG39" i="3"/>
  <c r="AH39" i="3"/>
  <c r="AI39" i="3"/>
  <c r="AJ39" i="3"/>
  <c r="AK39" i="3"/>
  <c r="AL39" i="3"/>
  <c r="AM39" i="3"/>
  <c r="AN39" i="3"/>
  <c r="AC40" i="3"/>
  <c r="AD40" i="3"/>
  <c r="AE40" i="3"/>
  <c r="AF40" i="3"/>
  <c r="AG40" i="3"/>
  <c r="AH40" i="3"/>
  <c r="AI40" i="3"/>
  <c r="AJ40" i="3"/>
  <c r="AK40" i="3"/>
  <c r="AL40" i="3"/>
  <c r="AM40" i="3"/>
  <c r="AN40" i="3"/>
  <c r="AC41" i="3"/>
  <c r="AD41" i="3"/>
  <c r="AE41" i="3"/>
  <c r="AF41" i="3"/>
  <c r="AG41" i="3"/>
  <c r="AH41" i="3"/>
  <c r="AI41" i="3"/>
  <c r="AJ41" i="3"/>
  <c r="AK41" i="3"/>
  <c r="AL41" i="3"/>
  <c r="AM41" i="3"/>
  <c r="AN41" i="3"/>
  <c r="AC42" i="3"/>
  <c r="AD42" i="3"/>
  <c r="AE42" i="3"/>
  <c r="AF42" i="3"/>
  <c r="AG42" i="3"/>
  <c r="AH42" i="3"/>
  <c r="AI42" i="3"/>
  <c r="AJ42" i="3"/>
  <c r="AK42" i="3"/>
  <c r="AL42" i="3"/>
  <c r="AM42" i="3"/>
  <c r="AN42" i="3"/>
  <c r="AC43" i="3"/>
  <c r="AD43" i="3"/>
  <c r="AE43" i="3"/>
  <c r="AF43" i="3"/>
  <c r="AG43" i="3"/>
  <c r="AH43" i="3"/>
  <c r="AI43" i="3"/>
  <c r="AJ43" i="3"/>
  <c r="AK43" i="3"/>
  <c r="AL43" i="3"/>
  <c r="AM43" i="3"/>
  <c r="AN43" i="3"/>
  <c r="AC44" i="3"/>
  <c r="AD44" i="3"/>
  <c r="AE44" i="3"/>
  <c r="AF44" i="3"/>
  <c r="AG44" i="3"/>
  <c r="AH44" i="3"/>
  <c r="AI44" i="3"/>
  <c r="AJ44" i="3"/>
  <c r="AK44" i="3"/>
  <c r="AL44" i="3"/>
  <c r="AM44" i="3"/>
  <c r="AN44" i="3"/>
  <c r="AC45" i="3"/>
  <c r="AD45" i="3"/>
  <c r="AE45" i="3"/>
  <c r="AF45" i="3"/>
  <c r="AG45" i="3"/>
  <c r="AH45" i="3"/>
  <c r="AI45" i="3"/>
  <c r="AJ45" i="3"/>
  <c r="AK45" i="3"/>
  <c r="AL45" i="3"/>
  <c r="AM45" i="3"/>
  <c r="AN45" i="3"/>
  <c r="AC46" i="3"/>
  <c r="AD46" i="3"/>
  <c r="AE46" i="3"/>
  <c r="AF46" i="3"/>
  <c r="AG46" i="3"/>
  <c r="AH46" i="3"/>
  <c r="AI46" i="3"/>
  <c r="AJ46" i="3"/>
  <c r="AK46" i="3"/>
  <c r="AL46" i="3"/>
  <c r="AM46" i="3"/>
  <c r="AN46" i="3"/>
  <c r="AC47" i="3"/>
  <c r="AD47" i="3"/>
  <c r="AE47" i="3"/>
  <c r="AF47" i="3"/>
  <c r="AG47" i="3"/>
  <c r="AH47" i="3"/>
  <c r="AI47" i="3"/>
  <c r="AJ47" i="3"/>
  <c r="AK47" i="3"/>
  <c r="AL47" i="3"/>
  <c r="AM47" i="3"/>
  <c r="AN47" i="3"/>
  <c r="AC48" i="3"/>
  <c r="AD48" i="3"/>
  <c r="AE48" i="3"/>
  <c r="AF48" i="3"/>
  <c r="AG48" i="3"/>
  <c r="AH48" i="3"/>
  <c r="AI48" i="3"/>
  <c r="AJ48" i="3"/>
  <c r="AK48" i="3"/>
  <c r="AL48" i="3"/>
  <c r="AM48" i="3"/>
  <c r="AN48" i="3"/>
  <c r="AC49" i="3"/>
  <c r="AD49" i="3"/>
  <c r="AE49" i="3"/>
  <c r="AF49" i="3"/>
  <c r="AG49" i="3"/>
  <c r="AH49" i="3"/>
  <c r="AI49" i="3"/>
  <c r="AJ49" i="3"/>
  <c r="AK49" i="3"/>
  <c r="AL49" i="3"/>
  <c r="AM49" i="3"/>
  <c r="AN49" i="3"/>
  <c r="AC50" i="3"/>
  <c r="AD50" i="3"/>
  <c r="AE50" i="3"/>
  <c r="AF50" i="3"/>
  <c r="AG50" i="3"/>
  <c r="AH50" i="3"/>
  <c r="AI50" i="3"/>
  <c r="AJ50" i="3"/>
  <c r="AK50" i="3"/>
  <c r="AL50" i="3"/>
  <c r="AM50" i="3"/>
  <c r="AN50" i="3"/>
  <c r="AC51" i="3"/>
  <c r="AD51" i="3"/>
  <c r="AE51" i="3"/>
  <c r="AF51" i="3"/>
  <c r="AG51" i="3"/>
  <c r="AH51" i="3"/>
  <c r="AI51" i="3"/>
  <c r="AJ51" i="3"/>
  <c r="AK51" i="3"/>
  <c r="AL51" i="3"/>
  <c r="AM51" i="3"/>
  <c r="AN51" i="3"/>
  <c r="AC52" i="3"/>
  <c r="AD52" i="3"/>
  <c r="AE52" i="3"/>
  <c r="AF52" i="3"/>
  <c r="AG52" i="3"/>
  <c r="AH52" i="3"/>
  <c r="AI52" i="3"/>
  <c r="AJ52" i="3"/>
  <c r="AK52" i="3"/>
  <c r="AL52" i="3"/>
  <c r="AM52" i="3"/>
  <c r="AN52" i="3"/>
  <c r="AC53" i="3"/>
  <c r="AD53" i="3"/>
  <c r="AE53" i="3"/>
  <c r="AF53" i="3"/>
  <c r="AG53" i="3"/>
  <c r="AH53" i="3"/>
  <c r="AI53" i="3"/>
  <c r="AJ53" i="3"/>
  <c r="AK53" i="3"/>
  <c r="AL53" i="3"/>
  <c r="AM53" i="3"/>
  <c r="AN53" i="3"/>
  <c r="AC54" i="3"/>
  <c r="AD54" i="3"/>
  <c r="AE54" i="3"/>
  <c r="AF54" i="3"/>
  <c r="AG54" i="3"/>
  <c r="AH54" i="3"/>
  <c r="AI54" i="3"/>
  <c r="AJ54" i="3"/>
  <c r="AK54" i="3"/>
  <c r="AL54" i="3"/>
  <c r="AM54" i="3"/>
  <c r="AN54" i="3"/>
  <c r="AC55" i="3"/>
  <c r="AD55" i="3"/>
  <c r="AE55" i="3"/>
  <c r="AF55" i="3"/>
  <c r="AG55" i="3"/>
  <c r="AH55" i="3"/>
  <c r="AI55" i="3"/>
  <c r="AJ55" i="3"/>
  <c r="AK55" i="3"/>
  <c r="AL55" i="3"/>
  <c r="AM55" i="3"/>
  <c r="AN55" i="3"/>
  <c r="AC56" i="3"/>
  <c r="AD56" i="3"/>
  <c r="AE56" i="3"/>
  <c r="AF56" i="3"/>
  <c r="AG56" i="3"/>
  <c r="AH56" i="3"/>
  <c r="AI56" i="3"/>
  <c r="AJ56" i="3"/>
  <c r="AK56" i="3"/>
  <c r="AL56" i="3"/>
  <c r="AM56" i="3"/>
  <c r="AN56" i="3"/>
  <c r="AC57" i="3"/>
  <c r="AD57" i="3"/>
  <c r="AE57" i="3"/>
  <c r="AF57" i="3"/>
  <c r="AG57" i="3"/>
  <c r="AH57" i="3"/>
  <c r="AI57" i="3"/>
  <c r="AJ57" i="3"/>
  <c r="AK57" i="3"/>
  <c r="AL57" i="3"/>
  <c r="AM57" i="3"/>
  <c r="AN57" i="3"/>
  <c r="AC58" i="3"/>
  <c r="AD58" i="3"/>
  <c r="AE58" i="3"/>
  <c r="AF58" i="3"/>
  <c r="AG58" i="3"/>
  <c r="AH58" i="3"/>
  <c r="AI58" i="3"/>
  <c r="AJ58" i="3"/>
  <c r="AK58" i="3"/>
  <c r="AL58" i="3"/>
  <c r="AM58" i="3"/>
  <c r="AN58" i="3"/>
  <c r="AC59" i="3"/>
  <c r="AD59" i="3"/>
  <c r="AE59" i="3"/>
  <c r="AF59" i="3"/>
  <c r="AG59" i="3"/>
  <c r="AH59" i="3"/>
  <c r="AI59" i="3"/>
  <c r="AJ59" i="3"/>
  <c r="AK59" i="3"/>
  <c r="AL59" i="3"/>
  <c r="AM59" i="3"/>
  <c r="AN59" i="3"/>
  <c r="AC60" i="3"/>
  <c r="AD60" i="3"/>
  <c r="AE60" i="3"/>
  <c r="AF60" i="3"/>
  <c r="AG60" i="3"/>
  <c r="AH60" i="3"/>
  <c r="AI60" i="3"/>
  <c r="AJ60" i="3"/>
  <c r="AK60" i="3"/>
  <c r="AL60" i="3"/>
  <c r="AM60" i="3"/>
  <c r="AN60" i="3"/>
  <c r="AC61" i="3"/>
  <c r="AD61" i="3"/>
  <c r="AE61" i="3"/>
  <c r="AF61" i="3"/>
  <c r="AG61" i="3"/>
  <c r="AH61" i="3"/>
  <c r="AI61" i="3"/>
  <c r="AJ61" i="3"/>
  <c r="AK61" i="3"/>
  <c r="AL61" i="3"/>
  <c r="AM61" i="3"/>
  <c r="AN61" i="3"/>
  <c r="AC62" i="3"/>
  <c r="AD62" i="3"/>
  <c r="AE62" i="3"/>
  <c r="AF62" i="3"/>
  <c r="AG62" i="3"/>
  <c r="AH62" i="3"/>
  <c r="AI62" i="3"/>
  <c r="AJ62" i="3"/>
  <c r="AK62" i="3"/>
  <c r="AL62" i="3"/>
  <c r="AM62" i="3"/>
  <c r="AN62" i="3"/>
  <c r="AC63" i="3"/>
  <c r="AD63" i="3"/>
  <c r="AE63" i="3"/>
  <c r="AF63" i="3"/>
  <c r="AG63" i="3"/>
  <c r="AH63" i="3"/>
  <c r="AI63" i="3"/>
  <c r="AJ63" i="3"/>
  <c r="AK63" i="3"/>
  <c r="AL63" i="3"/>
  <c r="AM63" i="3"/>
  <c r="AN63" i="3"/>
  <c r="AC64" i="3"/>
  <c r="AD64" i="3"/>
  <c r="AE64" i="3"/>
  <c r="AF64" i="3"/>
  <c r="AG64" i="3"/>
  <c r="AH64" i="3"/>
  <c r="AI64" i="3"/>
  <c r="AJ64" i="3"/>
  <c r="AK64" i="3"/>
  <c r="AL64" i="3"/>
  <c r="AM64" i="3"/>
  <c r="AN64" i="3"/>
  <c r="AC65" i="3"/>
  <c r="AD65" i="3"/>
  <c r="AE65" i="3"/>
  <c r="AF65" i="3"/>
  <c r="AG65" i="3"/>
  <c r="AH65" i="3"/>
  <c r="AI65" i="3"/>
  <c r="AJ65" i="3"/>
  <c r="AK65" i="3"/>
  <c r="AL65" i="3"/>
  <c r="AM65" i="3"/>
  <c r="AN65" i="3"/>
  <c r="AC66" i="3"/>
  <c r="AD66" i="3"/>
  <c r="AE66" i="3"/>
  <c r="AF66" i="3"/>
  <c r="AG66" i="3"/>
  <c r="AH66" i="3"/>
  <c r="AI66" i="3"/>
  <c r="AJ66" i="3"/>
  <c r="AK66" i="3"/>
  <c r="AL66" i="3"/>
  <c r="AM66" i="3"/>
  <c r="AN66" i="3"/>
  <c r="AC67" i="3"/>
  <c r="AD67" i="3"/>
  <c r="AE67" i="3"/>
  <c r="AF67" i="3"/>
  <c r="AG67" i="3"/>
  <c r="AH67" i="3"/>
  <c r="AI67" i="3"/>
  <c r="AJ67" i="3"/>
  <c r="AK67" i="3"/>
  <c r="AL67" i="3"/>
  <c r="AM67" i="3"/>
  <c r="AN67" i="3"/>
  <c r="AC68" i="3"/>
  <c r="AD68" i="3"/>
  <c r="AE68" i="3"/>
  <c r="AF68" i="3"/>
  <c r="AG68" i="3"/>
  <c r="AH68" i="3"/>
  <c r="AI68" i="3"/>
  <c r="AJ68" i="3"/>
  <c r="AK68" i="3"/>
  <c r="AL68" i="3"/>
  <c r="AM68" i="3"/>
  <c r="AN68" i="3"/>
  <c r="AC69" i="3"/>
  <c r="AD69" i="3"/>
  <c r="AE69" i="3"/>
  <c r="AF69" i="3"/>
  <c r="AG69" i="3"/>
  <c r="AH69" i="3"/>
  <c r="AI69" i="3"/>
  <c r="AJ69" i="3"/>
  <c r="AK69" i="3"/>
  <c r="AL69" i="3"/>
  <c r="AM69" i="3"/>
  <c r="AN69" i="3"/>
  <c r="AC70" i="3"/>
  <c r="AD70" i="3"/>
  <c r="AE70" i="3"/>
  <c r="AF70" i="3"/>
  <c r="AG70" i="3"/>
  <c r="AH70" i="3"/>
  <c r="AI70" i="3"/>
  <c r="AJ70" i="3"/>
  <c r="AK70" i="3"/>
  <c r="AL70" i="3"/>
  <c r="AM70" i="3"/>
  <c r="AN70" i="3"/>
  <c r="AC71" i="3"/>
  <c r="AD71" i="3"/>
  <c r="AE71" i="3"/>
  <c r="AF71" i="3"/>
  <c r="AG71" i="3"/>
  <c r="AH71" i="3"/>
  <c r="AI71" i="3"/>
  <c r="AJ71" i="3"/>
  <c r="AK71" i="3"/>
  <c r="AL71" i="3"/>
  <c r="AM71" i="3"/>
  <c r="AN71" i="3"/>
  <c r="AC72" i="3"/>
  <c r="AD72" i="3"/>
  <c r="AE72" i="3"/>
  <c r="AF72" i="3"/>
  <c r="AG72" i="3"/>
  <c r="AH72" i="3"/>
  <c r="AI72" i="3"/>
  <c r="AJ72" i="3"/>
  <c r="AK72" i="3"/>
  <c r="AL72" i="3"/>
  <c r="AM72" i="3"/>
  <c r="AN72" i="3"/>
  <c r="AC73" i="3"/>
  <c r="AD73" i="3"/>
  <c r="AE73" i="3"/>
  <c r="AF73" i="3"/>
  <c r="AG73" i="3"/>
  <c r="AH73" i="3"/>
  <c r="AI73" i="3"/>
  <c r="AJ73" i="3"/>
  <c r="AK73" i="3"/>
  <c r="AL73" i="3"/>
  <c r="AM73" i="3"/>
  <c r="AN73" i="3"/>
  <c r="AC74" i="3"/>
  <c r="AD74" i="3"/>
  <c r="AE74" i="3"/>
  <c r="AF74" i="3"/>
  <c r="AG74" i="3"/>
  <c r="AH74" i="3"/>
  <c r="AI74" i="3"/>
  <c r="AJ74" i="3"/>
  <c r="AK74" i="3"/>
  <c r="AL74" i="3"/>
  <c r="AM74" i="3"/>
  <c r="AN74" i="3"/>
  <c r="AC75" i="3"/>
  <c r="AD75" i="3"/>
  <c r="AE75" i="3"/>
  <c r="AF75" i="3"/>
  <c r="AG75" i="3"/>
  <c r="AH75" i="3"/>
  <c r="AI75" i="3"/>
  <c r="AJ75" i="3"/>
  <c r="AK75" i="3"/>
  <c r="AL75" i="3"/>
  <c r="AM75" i="3"/>
  <c r="AN75" i="3"/>
  <c r="AC76" i="3"/>
  <c r="AD76" i="3"/>
  <c r="AE76" i="3"/>
  <c r="AF76" i="3"/>
  <c r="AG76" i="3"/>
  <c r="AH76" i="3"/>
  <c r="AI76" i="3"/>
  <c r="AJ76" i="3"/>
  <c r="AK76" i="3"/>
  <c r="AL76" i="3"/>
  <c r="AM76" i="3"/>
  <c r="AN76" i="3"/>
  <c r="AC77" i="3"/>
  <c r="AD77" i="3"/>
  <c r="AE77" i="3"/>
  <c r="AF77" i="3"/>
  <c r="AG77" i="3"/>
  <c r="AH77" i="3"/>
  <c r="AI77" i="3"/>
  <c r="AJ77" i="3"/>
  <c r="AK77" i="3"/>
  <c r="AL77" i="3"/>
  <c r="AM77" i="3"/>
  <c r="AN77" i="3"/>
  <c r="AC78" i="3"/>
  <c r="AD78" i="3"/>
  <c r="AE78" i="3"/>
  <c r="AF78" i="3"/>
  <c r="AG78" i="3"/>
  <c r="AH78" i="3"/>
  <c r="AI78" i="3"/>
  <c r="AJ78" i="3"/>
  <c r="AK78" i="3"/>
  <c r="AL78" i="3"/>
  <c r="AM78" i="3"/>
  <c r="AN78" i="3"/>
  <c r="AC79" i="3"/>
  <c r="AD79" i="3"/>
  <c r="AE79" i="3"/>
  <c r="AF79" i="3"/>
  <c r="AG79" i="3"/>
  <c r="AH79" i="3"/>
  <c r="AI79" i="3"/>
  <c r="AJ79" i="3"/>
  <c r="AK79" i="3"/>
  <c r="AL79" i="3"/>
  <c r="AM79" i="3"/>
  <c r="AN79" i="3"/>
  <c r="AC80" i="3"/>
  <c r="AD80" i="3"/>
  <c r="AE80" i="3"/>
  <c r="AF80" i="3"/>
  <c r="AG80" i="3"/>
  <c r="AH80" i="3"/>
  <c r="AI80" i="3"/>
  <c r="AJ80" i="3"/>
  <c r="AK80" i="3"/>
  <c r="AL80" i="3"/>
  <c r="AM80" i="3"/>
  <c r="AN80" i="3"/>
  <c r="AC81" i="3"/>
  <c r="AD81" i="3"/>
  <c r="AE81" i="3"/>
  <c r="AF81" i="3"/>
  <c r="AG81" i="3"/>
  <c r="AH81" i="3"/>
  <c r="AI81" i="3"/>
  <c r="AJ81" i="3"/>
  <c r="AK81" i="3"/>
  <c r="AL81" i="3"/>
  <c r="AM81" i="3"/>
  <c r="AN81" i="3"/>
  <c r="AC82" i="3"/>
  <c r="AD82" i="3"/>
  <c r="AE82" i="3"/>
  <c r="AF82" i="3"/>
  <c r="AG82" i="3"/>
  <c r="AH82" i="3"/>
  <c r="AI82" i="3"/>
  <c r="AJ82" i="3"/>
  <c r="AK82" i="3"/>
  <c r="AL82" i="3"/>
  <c r="AM82" i="3"/>
  <c r="AN82" i="3"/>
  <c r="AC83" i="3"/>
  <c r="AD83" i="3"/>
  <c r="AE83" i="3"/>
  <c r="AF83" i="3"/>
  <c r="AG83" i="3"/>
  <c r="AH83" i="3"/>
  <c r="AI83" i="3"/>
  <c r="AJ83" i="3"/>
  <c r="AK83" i="3"/>
  <c r="AL83" i="3"/>
  <c r="AM83" i="3"/>
  <c r="AN83" i="3"/>
  <c r="AC84" i="3"/>
  <c r="AD84" i="3"/>
  <c r="AE84" i="3"/>
  <c r="AF84" i="3"/>
  <c r="AG84" i="3"/>
  <c r="AH84" i="3"/>
  <c r="AI84" i="3"/>
  <c r="AJ84" i="3"/>
  <c r="AK84" i="3"/>
  <c r="AL84" i="3"/>
  <c r="AM84" i="3"/>
  <c r="AN84" i="3"/>
  <c r="AC85" i="3"/>
  <c r="AD85" i="3"/>
  <c r="AE85" i="3"/>
  <c r="AF85" i="3"/>
  <c r="AG85" i="3"/>
  <c r="AH85" i="3"/>
  <c r="AI85" i="3"/>
  <c r="AJ85" i="3"/>
  <c r="AK85" i="3"/>
  <c r="AL85" i="3"/>
  <c r="AM85" i="3"/>
  <c r="AN85" i="3"/>
  <c r="AC86" i="3"/>
  <c r="AD86" i="3"/>
  <c r="AE86" i="3"/>
  <c r="AF86" i="3"/>
  <c r="AG86" i="3"/>
  <c r="AH86" i="3"/>
  <c r="AI86" i="3"/>
  <c r="AJ86" i="3"/>
  <c r="AK86" i="3"/>
  <c r="AL86" i="3"/>
  <c r="AM86" i="3"/>
  <c r="AN86" i="3"/>
  <c r="AC87" i="3"/>
  <c r="AD87" i="3"/>
  <c r="AE87" i="3"/>
  <c r="AF87" i="3"/>
  <c r="AG87" i="3"/>
  <c r="AH87" i="3"/>
  <c r="AI87" i="3"/>
  <c r="AJ87" i="3"/>
  <c r="AK87" i="3"/>
  <c r="AL87" i="3"/>
  <c r="AM87" i="3"/>
  <c r="AN87" i="3"/>
  <c r="AC88" i="3"/>
  <c r="AD88" i="3"/>
  <c r="AE88" i="3"/>
  <c r="AF88" i="3"/>
  <c r="AG88" i="3"/>
  <c r="AH88" i="3"/>
  <c r="AI88" i="3"/>
  <c r="AJ88" i="3"/>
  <c r="AK88" i="3"/>
  <c r="AL88" i="3"/>
  <c r="AM88" i="3"/>
  <c r="AN88" i="3"/>
  <c r="AC89" i="3"/>
  <c r="AD89" i="3"/>
  <c r="AE89" i="3"/>
  <c r="AF89" i="3"/>
  <c r="AG89" i="3"/>
  <c r="AH89" i="3"/>
  <c r="AI89" i="3"/>
  <c r="AJ89" i="3"/>
  <c r="AK89" i="3"/>
  <c r="AL89" i="3"/>
  <c r="AM89" i="3"/>
  <c r="AN89" i="3"/>
  <c r="AC90" i="3"/>
  <c r="AD90" i="3"/>
  <c r="AE90" i="3"/>
  <c r="AF90" i="3"/>
  <c r="AG90" i="3"/>
  <c r="AH90" i="3"/>
  <c r="AI90" i="3"/>
  <c r="AJ90" i="3"/>
  <c r="AK90" i="3"/>
  <c r="AL90" i="3"/>
  <c r="AM90" i="3"/>
  <c r="AN90" i="3"/>
  <c r="AC91" i="3"/>
  <c r="AD91" i="3"/>
  <c r="AE91" i="3"/>
  <c r="AF91" i="3"/>
  <c r="AG91" i="3"/>
  <c r="AH91" i="3"/>
  <c r="AI91" i="3"/>
  <c r="AJ91" i="3"/>
  <c r="AK91" i="3"/>
  <c r="AL91" i="3"/>
  <c r="AM91" i="3"/>
  <c r="AN91" i="3"/>
  <c r="AC92" i="3"/>
  <c r="AD92" i="3"/>
  <c r="AE92" i="3"/>
  <c r="AF92" i="3"/>
  <c r="AG92" i="3"/>
  <c r="AH92" i="3"/>
  <c r="AI92" i="3"/>
  <c r="AJ92" i="3"/>
  <c r="AK92" i="3"/>
  <c r="AL92" i="3"/>
  <c r="AM92" i="3"/>
  <c r="AN92" i="3"/>
  <c r="AC93" i="3"/>
  <c r="AD93" i="3"/>
  <c r="AE93" i="3"/>
  <c r="AF93" i="3"/>
  <c r="AG93" i="3"/>
  <c r="AH93" i="3"/>
  <c r="AI93" i="3"/>
  <c r="AJ93" i="3"/>
  <c r="AK93" i="3"/>
  <c r="AL93" i="3"/>
  <c r="AM93" i="3"/>
  <c r="AN93" i="3"/>
  <c r="AC94" i="3"/>
  <c r="AD94" i="3"/>
  <c r="AE94" i="3"/>
  <c r="AF94" i="3"/>
  <c r="AG94" i="3"/>
  <c r="AH94" i="3"/>
  <c r="AI94" i="3"/>
  <c r="AJ94" i="3"/>
  <c r="AK94" i="3"/>
  <c r="AL94" i="3"/>
  <c r="AM94" i="3"/>
  <c r="AN94" i="3"/>
  <c r="AC95" i="3"/>
  <c r="AD95" i="3"/>
  <c r="AE95" i="3"/>
  <c r="AF95" i="3"/>
  <c r="AG95" i="3"/>
  <c r="AH95" i="3"/>
  <c r="AI95" i="3"/>
  <c r="AJ95" i="3"/>
  <c r="AK95" i="3"/>
  <c r="AL95" i="3"/>
  <c r="AM95" i="3"/>
  <c r="AN95" i="3"/>
  <c r="AC96" i="3"/>
  <c r="AD96" i="3"/>
  <c r="AE96" i="3"/>
  <c r="AF96" i="3"/>
  <c r="AG96" i="3"/>
  <c r="AH96" i="3"/>
  <c r="AI96" i="3"/>
  <c r="AJ96" i="3"/>
  <c r="AK96" i="3"/>
  <c r="AL96" i="3"/>
  <c r="AM96" i="3"/>
  <c r="AN96" i="3"/>
  <c r="AC97" i="3"/>
  <c r="AD97" i="3"/>
  <c r="AE97" i="3"/>
  <c r="AF97" i="3"/>
  <c r="AG97" i="3"/>
  <c r="AH97" i="3"/>
  <c r="AI97" i="3"/>
  <c r="AJ97" i="3"/>
  <c r="AK97" i="3"/>
  <c r="AL97" i="3"/>
  <c r="AM97" i="3"/>
  <c r="AN97" i="3"/>
  <c r="AC98" i="3"/>
  <c r="AD98" i="3"/>
  <c r="AE98" i="3"/>
  <c r="AF98" i="3"/>
  <c r="AG98" i="3"/>
  <c r="AH98" i="3"/>
  <c r="AI98" i="3"/>
  <c r="AJ98" i="3"/>
  <c r="AK98" i="3"/>
  <c r="AL98" i="3"/>
  <c r="AM98" i="3"/>
  <c r="AN98" i="3"/>
  <c r="AC99" i="3"/>
  <c r="AD99" i="3"/>
  <c r="AE99" i="3"/>
  <c r="AF99" i="3"/>
  <c r="AG99" i="3"/>
  <c r="AH99" i="3"/>
  <c r="AI99" i="3"/>
  <c r="AJ99" i="3"/>
  <c r="AK99" i="3"/>
  <c r="AL99" i="3"/>
  <c r="AM99" i="3"/>
  <c r="AN99" i="3"/>
  <c r="AC100" i="3"/>
  <c r="AD100" i="3"/>
  <c r="AE100" i="3"/>
  <c r="AF100" i="3"/>
  <c r="AG100" i="3"/>
  <c r="AH100" i="3"/>
  <c r="AI100" i="3"/>
  <c r="AJ100" i="3"/>
  <c r="AK100" i="3"/>
  <c r="AL100" i="3"/>
  <c r="AM100" i="3"/>
  <c r="AN100" i="3"/>
  <c r="AC101" i="3"/>
  <c r="AD101" i="3"/>
  <c r="AE101" i="3"/>
  <c r="AF101" i="3"/>
  <c r="AG101" i="3"/>
  <c r="AH101" i="3"/>
  <c r="AI101" i="3"/>
  <c r="AJ101" i="3"/>
  <c r="AK101" i="3"/>
  <c r="AL101" i="3"/>
  <c r="AM101" i="3"/>
  <c r="AN101" i="3"/>
  <c r="AC102" i="3"/>
  <c r="AD102" i="3"/>
  <c r="AE102" i="3"/>
  <c r="AF102" i="3"/>
  <c r="AG102" i="3"/>
  <c r="AH102" i="3"/>
  <c r="AI102" i="3"/>
  <c r="AJ102" i="3"/>
  <c r="AK102" i="3"/>
  <c r="AL102" i="3"/>
  <c r="AM102" i="3"/>
  <c r="AN102" i="3"/>
  <c r="AC103" i="3"/>
  <c r="AD103" i="3"/>
  <c r="AE103" i="3"/>
  <c r="AF103" i="3"/>
  <c r="AG103" i="3"/>
  <c r="AH103" i="3"/>
  <c r="AI103" i="3"/>
  <c r="AJ103" i="3"/>
  <c r="AK103" i="3"/>
  <c r="AL103" i="3"/>
  <c r="AM103" i="3"/>
  <c r="AN103" i="3"/>
  <c r="AC104" i="3"/>
  <c r="AD104" i="3"/>
  <c r="AE104" i="3"/>
  <c r="AF104" i="3"/>
  <c r="AG104" i="3"/>
  <c r="AH104" i="3"/>
  <c r="AI104" i="3"/>
  <c r="AJ104" i="3"/>
  <c r="AK104" i="3"/>
  <c r="AL104" i="3"/>
  <c r="AM104" i="3"/>
  <c r="AN104" i="3"/>
  <c r="AC105" i="3"/>
  <c r="AD105" i="3"/>
  <c r="AE105" i="3"/>
  <c r="AF105" i="3"/>
  <c r="AG105" i="3"/>
  <c r="AH105" i="3"/>
  <c r="AI105" i="3"/>
  <c r="AJ105" i="3"/>
  <c r="AK105" i="3"/>
  <c r="AL105" i="3"/>
  <c r="AM105" i="3"/>
  <c r="AN105" i="3"/>
  <c r="AC106" i="3"/>
  <c r="AD106" i="3"/>
  <c r="AE106" i="3"/>
  <c r="AF106" i="3"/>
  <c r="AG106" i="3"/>
  <c r="AH106" i="3"/>
  <c r="AI106" i="3"/>
  <c r="AJ106" i="3"/>
  <c r="AK106" i="3"/>
  <c r="AL106" i="3"/>
  <c r="AM106" i="3"/>
  <c r="AN106" i="3"/>
  <c r="AB8" i="53" l="1"/>
  <c r="AH8" i="53" s="1"/>
  <c r="AB9" i="53"/>
  <c r="AH9" i="53" s="1"/>
  <c r="AB10" i="53"/>
  <c r="AH10" i="53" s="1"/>
  <c r="AB11" i="53"/>
  <c r="AH11" i="53" s="1"/>
  <c r="AB12" i="53"/>
  <c r="AH12" i="53" s="1"/>
  <c r="AB13" i="53"/>
  <c r="AH13" i="53" s="1"/>
  <c r="AB14" i="53"/>
  <c r="AH14" i="53" s="1"/>
  <c r="AB15" i="53"/>
  <c r="AH15" i="53" s="1"/>
  <c r="AB16" i="53"/>
  <c r="AH16" i="53" s="1"/>
  <c r="AB17" i="53"/>
  <c r="AH17" i="53" s="1"/>
  <c r="AB18" i="53"/>
  <c r="AH18" i="53" s="1"/>
  <c r="AB7" i="53"/>
  <c r="AB29" i="53" s="1"/>
  <c r="AC18" i="53"/>
  <c r="AC17" i="53"/>
  <c r="AC16" i="53"/>
  <c r="AC15" i="53"/>
  <c r="AC14" i="53"/>
  <c r="AC13" i="53"/>
  <c r="AC12" i="53"/>
  <c r="AC11" i="53"/>
  <c r="AC10" i="53"/>
  <c r="AC9" i="53"/>
  <c r="AC8" i="53"/>
  <c r="AC7" i="53"/>
  <c r="AB30" i="53" l="1"/>
  <c r="AH7" i="53"/>
  <c r="M5" i="2"/>
  <c r="Q5" i="2" s="1"/>
  <c r="F11" i="47" l="1"/>
  <c r="E31" i="45"/>
  <c r="F7" i="47"/>
  <c r="E29" i="45"/>
  <c r="E34" i="46"/>
  <c r="E27" i="45"/>
  <c r="E32" i="46"/>
  <c r="E25" i="45"/>
  <c r="E30" i="46"/>
  <c r="E23" i="45"/>
  <c r="E28" i="46"/>
  <c r="I16" i="45"/>
  <c r="E26" i="46"/>
  <c r="I15" i="45"/>
  <c r="E24" i="46"/>
  <c r="E22" i="46"/>
  <c r="E21" i="46"/>
  <c r="E33" i="45"/>
  <c r="E35" i="45"/>
  <c r="G41" i="2"/>
  <c r="H41" i="2"/>
  <c r="I41" i="2"/>
  <c r="J41" i="2"/>
  <c r="O41" i="2"/>
  <c r="K41" i="2"/>
  <c r="M41" i="2"/>
  <c r="L41" i="2"/>
  <c r="N41" i="2"/>
  <c r="P41" i="2"/>
  <c r="Q41" i="2"/>
  <c r="Q40" i="2" s="1"/>
  <c r="P39" i="2"/>
  <c r="Q34" i="2"/>
  <c r="G32" i="2"/>
  <c r="H31" i="2"/>
  <c r="I30" i="2"/>
  <c r="G33" i="2"/>
  <c r="H32" i="2"/>
  <c r="I31" i="2"/>
  <c r="K30" i="2"/>
  <c r="L30" i="2"/>
  <c r="O32" i="2"/>
  <c r="Q31" i="2"/>
  <c r="G30" i="2"/>
  <c r="Q39" i="2"/>
  <c r="J30" i="2"/>
  <c r="P31" i="2"/>
  <c r="P33" i="2"/>
  <c r="H30" i="2"/>
  <c r="G34" i="2"/>
  <c r="H33" i="2"/>
  <c r="I32" i="2"/>
  <c r="J31" i="2"/>
  <c r="L8" i="62"/>
  <c r="G39" i="2"/>
  <c r="H34" i="2"/>
  <c r="I33" i="2"/>
  <c r="J32" i="2"/>
  <c r="K31" i="2"/>
  <c r="O33" i="2"/>
  <c r="O39" i="2"/>
  <c r="H39" i="2"/>
  <c r="I34" i="2"/>
  <c r="J33" i="2"/>
  <c r="K32" i="2"/>
  <c r="L31" i="2"/>
  <c r="M30" i="2"/>
  <c r="K33" i="2"/>
  <c r="M31" i="2"/>
  <c r="K34" i="2"/>
  <c r="M32" i="2"/>
  <c r="N31" i="2"/>
  <c r="M33" i="2"/>
  <c r="N32" i="2"/>
  <c r="P30" i="2"/>
  <c r="M34" i="2"/>
  <c r="N33" i="2"/>
  <c r="M39" i="2"/>
  <c r="P34" i="2"/>
  <c r="I39" i="2"/>
  <c r="J34" i="2"/>
  <c r="L32" i="2"/>
  <c r="N30" i="2"/>
  <c r="L33" i="2"/>
  <c r="O30" i="2"/>
  <c r="L34" i="2"/>
  <c r="O31" i="2"/>
  <c r="L39" i="2"/>
  <c r="Q30" i="2"/>
  <c r="N34" i="2"/>
  <c r="C11" i="62"/>
  <c r="G31" i="2"/>
  <c r="E22" i="45"/>
  <c r="E24" i="45" s="1"/>
  <c r="E26" i="45" s="1"/>
  <c r="E28" i="45" s="1"/>
  <c r="E30" i="45" s="1"/>
  <c r="E32" i="45" s="1"/>
  <c r="E34" i="45" s="1"/>
  <c r="E36" i="45" s="1"/>
  <c r="J39" i="2"/>
  <c r="P32" i="2"/>
  <c r="Q33" i="2"/>
  <c r="K39" i="2"/>
  <c r="N39" i="2"/>
  <c r="O34" i="2"/>
  <c r="Q32" i="2"/>
  <c r="M1" i="57"/>
  <c r="F7" i="45"/>
  <c r="D24" i="36"/>
  <c r="D35" i="36" s="1"/>
  <c r="D46" i="36" s="1"/>
  <c r="D57" i="36" s="1"/>
  <c r="D68" i="36" s="1"/>
  <c r="D79" i="36" s="1"/>
  <c r="D90" i="36" s="1"/>
  <c r="D101" i="36" s="1"/>
  <c r="D112" i="36" s="1"/>
  <c r="D123" i="36" s="1"/>
  <c r="D134" i="36" s="1"/>
  <c r="D19" i="36"/>
  <c r="D30" i="36" s="1"/>
  <c r="D41" i="36" s="1"/>
  <c r="D52" i="36" s="1"/>
  <c r="D63" i="36" s="1"/>
  <c r="D74" i="36" s="1"/>
  <c r="D85" i="36" s="1"/>
  <c r="D96" i="36" s="1"/>
  <c r="D107" i="36" s="1"/>
  <c r="D118" i="36" s="1"/>
  <c r="D129" i="36" s="1"/>
  <c r="D18" i="36"/>
  <c r="D29" i="36" s="1"/>
  <c r="D40" i="36" s="1"/>
  <c r="D51" i="36" s="1"/>
  <c r="D62" i="36" s="1"/>
  <c r="D73" i="36" s="1"/>
  <c r="D84" i="36" s="1"/>
  <c r="D95" i="36" s="1"/>
  <c r="D106" i="36" s="1"/>
  <c r="D117" i="36" s="1"/>
  <c r="D128" i="36" s="1"/>
  <c r="G5" i="4"/>
  <c r="P40" i="2" l="1"/>
  <c r="P42" i="2"/>
  <c r="J13" i="62"/>
  <c r="G13" i="62"/>
  <c r="N40" i="2"/>
  <c r="N42" i="2"/>
  <c r="G20" i="62"/>
  <c r="J20" i="62"/>
  <c r="L40" i="2"/>
  <c r="L42" i="2"/>
  <c r="J15" i="62"/>
  <c r="G15" i="62"/>
  <c r="M42" i="2"/>
  <c r="M40" i="2"/>
  <c r="J19" i="62"/>
  <c r="G19" i="62"/>
  <c r="J16" i="62"/>
  <c r="G16" i="62"/>
  <c r="K40" i="2"/>
  <c r="K42" i="2"/>
  <c r="O40" i="2"/>
  <c r="O42" i="2"/>
  <c r="Q42" i="2"/>
  <c r="G14" i="62"/>
  <c r="J14" i="62"/>
  <c r="J40" i="2"/>
  <c r="J42" i="2"/>
  <c r="J22" i="62"/>
  <c r="G22" i="62"/>
  <c r="I40" i="2"/>
  <c r="I42" i="2"/>
  <c r="P11" i="62"/>
  <c r="A2" i="62" s="1"/>
  <c r="G12" i="62"/>
  <c r="J12" i="62"/>
  <c r="H40" i="2"/>
  <c r="H42" i="2"/>
  <c r="G42" i="2"/>
  <c r="G40" i="2"/>
  <c r="G11" i="62"/>
  <c r="J11" i="62"/>
  <c r="G18" i="62"/>
  <c r="J18" i="62"/>
  <c r="G17" i="62"/>
  <c r="J17" i="62"/>
  <c r="J21" i="62"/>
  <c r="G21" i="62"/>
  <c r="F42" i="2"/>
  <c r="M9" i="57"/>
  <c r="M10" i="57"/>
  <c r="M11" i="57"/>
  <c r="J7" i="34"/>
  <c r="J7" i="57"/>
  <c r="AB5" i="22"/>
  <c r="AB6" i="22"/>
  <c r="AB7" i="22"/>
  <c r="AB8" i="22"/>
  <c r="AB10" i="22"/>
  <c r="AB11" i="22"/>
  <c r="AB12" i="22"/>
  <c r="AB13" i="22"/>
  <c r="AB14" i="22"/>
  <c r="AB15" i="22"/>
  <c r="AB16" i="22"/>
  <c r="AB17" i="22"/>
  <c r="AB18" i="22"/>
  <c r="AB19" i="22"/>
  <c r="AB20" i="22"/>
  <c r="AB21" i="22"/>
  <c r="AB22" i="22"/>
  <c r="AB23" i="22"/>
  <c r="AB24" i="22"/>
  <c r="AB25" i="22"/>
  <c r="AB26" i="22"/>
  <c r="AB27" i="22"/>
  <c r="AB28" i="22"/>
  <c r="AB29" i="22"/>
  <c r="AB30" i="22"/>
  <c r="AB31" i="22"/>
  <c r="AB32" i="22"/>
  <c r="AB33" i="22"/>
  <c r="AB34" i="22"/>
  <c r="AB35" i="22"/>
  <c r="AB36" i="22"/>
  <c r="AB37" i="22"/>
  <c r="AB38" i="22"/>
  <c r="AB39" i="22"/>
  <c r="AB40" i="22"/>
  <c r="AB41" i="22"/>
  <c r="AB42" i="22"/>
  <c r="K14" i="62" l="1"/>
  <c r="K17" i="62"/>
  <c r="K16" i="62"/>
  <c r="K13" i="62"/>
  <c r="K19" i="62"/>
  <c r="D20" i="62"/>
  <c r="M20" i="62" s="1"/>
  <c r="H20" i="62"/>
  <c r="D11" i="62"/>
  <c r="H11" i="62"/>
  <c r="K15" i="62"/>
  <c r="D16" i="62"/>
  <c r="M16" i="62" s="1"/>
  <c r="H16" i="62"/>
  <c r="D19" i="62"/>
  <c r="M19" i="62" s="1"/>
  <c r="H19" i="62"/>
  <c r="K11" i="62"/>
  <c r="D17" i="62"/>
  <c r="M17" i="62" s="1"/>
  <c r="H17" i="62"/>
  <c r="K18" i="62"/>
  <c r="D12" i="62"/>
  <c r="M12" i="62" s="1"/>
  <c r="K12" i="62"/>
  <c r="D13" i="62"/>
  <c r="M13" i="62" s="1"/>
  <c r="H13" i="62"/>
  <c r="K20" i="62"/>
  <c r="D18" i="62"/>
  <c r="M18" i="62" s="1"/>
  <c r="H18" i="62"/>
  <c r="D14" i="62"/>
  <c r="M14" i="62" s="1"/>
  <c r="H14" i="62"/>
  <c r="D15" i="62"/>
  <c r="M15" i="62" s="1"/>
  <c r="H15" i="62"/>
  <c r="H12" i="62"/>
  <c r="N9" i="57"/>
  <c r="E39" i="35"/>
  <c r="E14" i="62" l="1"/>
  <c r="E17" i="62"/>
  <c r="E16" i="62"/>
  <c r="E13" i="62"/>
  <c r="E19" i="62"/>
  <c r="E18" i="62"/>
  <c r="E12" i="62"/>
  <c r="E15" i="62"/>
  <c r="E11" i="62"/>
  <c r="K21" i="62"/>
  <c r="M11" i="62"/>
  <c r="F23" i="62"/>
  <c r="D21" i="62"/>
  <c r="M21" i="62" s="1"/>
  <c r="H21" i="62"/>
  <c r="E20" i="62"/>
  <c r="D8" i="33"/>
  <c r="D10" i="33" s="1"/>
  <c r="D12" i="33" s="1"/>
  <c r="D14" i="33" s="1"/>
  <c r="D16" i="33" s="1"/>
  <c r="D18" i="33" s="1"/>
  <c r="D20" i="33" s="1"/>
  <c r="D22" i="33" s="1"/>
  <c r="D24" i="33" s="1"/>
  <c r="D26" i="33" s="1"/>
  <c r="D28" i="33" s="1"/>
  <c r="D9" i="33"/>
  <c r="D11" i="33" s="1"/>
  <c r="D13" i="33" s="1"/>
  <c r="D15" i="33" s="1"/>
  <c r="D17" i="33" s="1"/>
  <c r="D19" i="33" s="1"/>
  <c r="D21" i="33" s="1"/>
  <c r="D23" i="33" s="1"/>
  <c r="D25" i="33" s="1"/>
  <c r="D27" i="33" s="1"/>
  <c r="D29" i="33" s="1"/>
  <c r="K22" i="62" l="1"/>
  <c r="K23" i="62" s="1"/>
  <c r="I23" i="62"/>
  <c r="E21" i="62"/>
  <c r="D22" i="62"/>
  <c r="H22" i="62"/>
  <c r="A18" i="48"/>
  <c r="G2" i="46"/>
  <c r="D3" i="48" s="1"/>
  <c r="E22" i="62" l="1"/>
  <c r="E23" i="62" s="1"/>
  <c r="H23" i="62"/>
  <c r="M22" i="62"/>
  <c r="D23" i="62"/>
  <c r="G2" i="47"/>
  <c r="H23" i="2"/>
  <c r="I23" i="2" s="1"/>
  <c r="J23" i="2" s="1"/>
  <c r="K23" i="2" s="1"/>
  <c r="L23" i="2" s="1"/>
  <c r="M23" i="2" s="1"/>
  <c r="N23" i="2" s="1"/>
  <c r="O23" i="2" s="1"/>
  <c r="P23" i="2" s="1"/>
  <c r="Q23" i="2" s="1"/>
  <c r="C37" i="45" l="1"/>
  <c r="G37" i="45" s="1"/>
  <c r="C37" i="35"/>
  <c r="G37" i="35" s="1"/>
  <c r="AV20" i="8"/>
  <c r="AV19" i="8"/>
  <c r="AV18" i="8"/>
  <c r="AV17" i="8"/>
  <c r="AV16" i="8"/>
  <c r="AV15" i="8"/>
  <c r="AV14" i="8"/>
  <c r="AV13" i="8"/>
  <c r="AV12" i="8"/>
  <c r="AV11" i="8"/>
  <c r="AV10" i="8"/>
  <c r="AV9" i="8"/>
  <c r="T15" i="30"/>
  <c r="U15" i="30" s="1"/>
  <c r="T16" i="30"/>
  <c r="U16" i="30" s="1"/>
  <c r="T17" i="30"/>
  <c r="U17" i="30" s="1"/>
  <c r="T18" i="30"/>
  <c r="U18" i="30" s="1"/>
  <c r="T19" i="30"/>
  <c r="U19" i="30" s="1"/>
  <c r="T20" i="30"/>
  <c r="U20" i="30" s="1"/>
  <c r="C35" i="46" l="1"/>
  <c r="G36" i="46"/>
  <c r="C52" i="47" s="1"/>
  <c r="G53" i="47" s="1"/>
  <c r="M10" i="8"/>
  <c r="N10" i="8"/>
  <c r="O10" i="8"/>
  <c r="P10" i="8"/>
  <c r="Q10" i="8"/>
  <c r="M11" i="8"/>
  <c r="N11" i="8"/>
  <c r="O11" i="8"/>
  <c r="P11" i="8"/>
  <c r="Q11" i="8"/>
  <c r="M12" i="8"/>
  <c r="N12" i="8"/>
  <c r="O12" i="8"/>
  <c r="P12" i="8"/>
  <c r="Q12" i="8"/>
  <c r="M13" i="8"/>
  <c r="N13" i="8"/>
  <c r="O13" i="8"/>
  <c r="P13" i="8"/>
  <c r="Q13" i="8"/>
  <c r="M14" i="8"/>
  <c r="N14" i="8"/>
  <c r="O14" i="8"/>
  <c r="P14" i="8"/>
  <c r="Q14" i="8"/>
  <c r="M15" i="8"/>
  <c r="N15" i="8"/>
  <c r="O15" i="8"/>
  <c r="P15" i="8"/>
  <c r="Q15" i="8"/>
  <c r="M16" i="8"/>
  <c r="N16" i="8"/>
  <c r="O16" i="8"/>
  <c r="P16" i="8"/>
  <c r="Q16" i="8"/>
  <c r="M17" i="8"/>
  <c r="N17" i="8"/>
  <c r="O17" i="8"/>
  <c r="P17" i="8"/>
  <c r="Q17" i="8"/>
  <c r="M18" i="8"/>
  <c r="N18" i="8"/>
  <c r="O18" i="8"/>
  <c r="P18" i="8"/>
  <c r="Q18" i="8"/>
  <c r="M19" i="8"/>
  <c r="N19" i="8"/>
  <c r="O19" i="8"/>
  <c r="P19" i="8"/>
  <c r="Q19" i="8"/>
  <c r="M20" i="8"/>
  <c r="N20" i="8"/>
  <c r="O20" i="8"/>
  <c r="P20" i="8"/>
  <c r="Q20" i="8"/>
  <c r="D13" i="41" l="1"/>
  <c r="E13" i="41" s="1"/>
  <c r="I129" i="36"/>
  <c r="G129" i="36"/>
  <c r="I128" i="36"/>
  <c r="G128" i="36"/>
  <c r="I132" i="36"/>
  <c r="G132" i="36"/>
  <c r="I131" i="36"/>
  <c r="G131" i="36"/>
  <c r="I130" i="36"/>
  <c r="G130" i="36"/>
  <c r="I119" i="36"/>
  <c r="G119" i="36"/>
  <c r="I118" i="36"/>
  <c r="G118" i="36"/>
  <c r="I121" i="36"/>
  <c r="G121" i="36"/>
  <c r="I120" i="36"/>
  <c r="G120" i="36"/>
  <c r="I117" i="36"/>
  <c r="G117" i="36"/>
  <c r="I107" i="36"/>
  <c r="G107" i="36"/>
  <c r="I106" i="36"/>
  <c r="G106" i="36"/>
  <c r="I110" i="36"/>
  <c r="G110" i="36"/>
  <c r="I109" i="36"/>
  <c r="G109" i="36"/>
  <c r="I108" i="36"/>
  <c r="G108" i="36"/>
  <c r="I98" i="36"/>
  <c r="G98" i="36"/>
  <c r="I97" i="36"/>
  <c r="G97" i="36"/>
  <c r="I99" i="36"/>
  <c r="G99" i="36"/>
  <c r="I96" i="36"/>
  <c r="G96" i="36"/>
  <c r="I95" i="36"/>
  <c r="G95" i="36"/>
  <c r="I87" i="36"/>
  <c r="G87" i="36"/>
  <c r="I86" i="36"/>
  <c r="G86" i="36"/>
  <c r="I88" i="36"/>
  <c r="G88" i="36"/>
  <c r="I85" i="36"/>
  <c r="G85" i="36"/>
  <c r="I84" i="36"/>
  <c r="G84" i="36"/>
  <c r="I75" i="36"/>
  <c r="G75" i="36"/>
  <c r="I74" i="36"/>
  <c r="G74" i="36"/>
  <c r="I77" i="36"/>
  <c r="G77" i="36"/>
  <c r="I76" i="36"/>
  <c r="G76" i="36"/>
  <c r="I73" i="36"/>
  <c r="G73" i="36"/>
  <c r="I64" i="36"/>
  <c r="G64" i="36"/>
  <c r="I63" i="36"/>
  <c r="G63" i="36"/>
  <c r="I66" i="36"/>
  <c r="G66" i="36"/>
  <c r="I65" i="36"/>
  <c r="G65" i="36"/>
  <c r="I62" i="36"/>
  <c r="G62" i="36"/>
  <c r="I54" i="36"/>
  <c r="G54" i="36"/>
  <c r="I53" i="36"/>
  <c r="G53" i="36"/>
  <c r="I55" i="36"/>
  <c r="G55" i="36"/>
  <c r="I52" i="36"/>
  <c r="G52" i="36"/>
  <c r="I51" i="36"/>
  <c r="G51" i="36"/>
  <c r="I41" i="36"/>
  <c r="G41" i="36"/>
  <c r="I40" i="36"/>
  <c r="G40" i="36"/>
  <c r="I44" i="36"/>
  <c r="G44" i="36"/>
  <c r="I43" i="36"/>
  <c r="G43" i="36"/>
  <c r="I42" i="36"/>
  <c r="G42" i="36"/>
  <c r="I31" i="36"/>
  <c r="G31" i="36"/>
  <c r="I30" i="36"/>
  <c r="G30" i="36"/>
  <c r="I33" i="36"/>
  <c r="G33" i="36"/>
  <c r="I32" i="36"/>
  <c r="G32" i="36"/>
  <c r="K29" i="36"/>
  <c r="I29" i="36"/>
  <c r="G29" i="36"/>
  <c r="I20" i="36"/>
  <c r="G20" i="36"/>
  <c r="D20" i="36"/>
  <c r="I19" i="36"/>
  <c r="G19" i="36"/>
  <c r="I23" i="36"/>
  <c r="G23" i="36"/>
  <c r="D23" i="36"/>
  <c r="I22" i="36"/>
  <c r="G22" i="36"/>
  <c r="F22" i="36"/>
  <c r="D22" i="36"/>
  <c r="D33" i="36" s="1"/>
  <c r="D44" i="36" s="1"/>
  <c r="D55" i="36" s="1"/>
  <c r="D66" i="36" s="1"/>
  <c r="D77" i="36" s="1"/>
  <c r="D88" i="36" s="1"/>
  <c r="D99" i="36" s="1"/>
  <c r="D110" i="36" s="1"/>
  <c r="D121" i="36" s="1"/>
  <c r="D132" i="36" s="1"/>
  <c r="I21" i="36"/>
  <c r="G21" i="36"/>
  <c r="D21" i="36"/>
  <c r="D32" i="36" s="1"/>
  <c r="D43" i="36" s="1"/>
  <c r="D54" i="36" s="1"/>
  <c r="D65" i="36" s="1"/>
  <c r="D76" i="36" s="1"/>
  <c r="D87" i="36" s="1"/>
  <c r="D98" i="36" s="1"/>
  <c r="D109" i="36" s="1"/>
  <c r="D120" i="36" s="1"/>
  <c r="D131" i="36" s="1"/>
  <c r="H23" i="36" l="1"/>
  <c r="D34" i="36"/>
  <c r="D45" i="36" s="1"/>
  <c r="D56" i="36" s="1"/>
  <c r="D67" i="36" s="1"/>
  <c r="D78" i="36" s="1"/>
  <c r="D89" i="36" s="1"/>
  <c r="D100" i="36" s="1"/>
  <c r="D111" i="36" s="1"/>
  <c r="D122" i="36" s="1"/>
  <c r="D133" i="36" s="1"/>
  <c r="E23" i="36"/>
  <c r="E32" i="36"/>
  <c r="F32" i="36"/>
  <c r="E21" i="36"/>
  <c r="K32" i="36"/>
  <c r="F21" i="36"/>
  <c r="H20" i="36"/>
  <c r="D31" i="36"/>
  <c r="K31" i="36" s="1"/>
  <c r="K21" i="36"/>
  <c r="E20" i="36"/>
  <c r="F43" i="36"/>
  <c r="K52" i="36"/>
  <c r="H33" i="36"/>
  <c r="F33" i="36"/>
  <c r="E33" i="36"/>
  <c r="F54" i="36"/>
  <c r="K13" i="41"/>
  <c r="H13" i="41"/>
  <c r="J13" i="41"/>
  <c r="F13" i="41"/>
  <c r="K54" i="36"/>
  <c r="K40" i="36"/>
  <c r="K43" i="36"/>
  <c r="H43" i="36"/>
  <c r="E43" i="36"/>
  <c r="H32" i="36"/>
  <c r="K33" i="36"/>
  <c r="K19" i="36"/>
  <c r="F20" i="36"/>
  <c r="K20" i="36"/>
  <c r="H21" i="36"/>
  <c r="K22" i="36"/>
  <c r="F23" i="36"/>
  <c r="H22" i="36"/>
  <c r="K23" i="36"/>
  <c r="E22" i="36"/>
  <c r="F31" i="36" l="1"/>
  <c r="E31" i="36"/>
  <c r="D42" i="36"/>
  <c r="H31" i="36"/>
  <c r="K44" i="36"/>
  <c r="K30" i="36"/>
  <c r="K41" i="36"/>
  <c r="F44" i="36"/>
  <c r="E42" i="36"/>
  <c r="K42" i="36"/>
  <c r="H54" i="36"/>
  <c r="E54" i="36"/>
  <c r="H44" i="36"/>
  <c r="E44" i="36"/>
  <c r="F18" i="40"/>
  <c r="F24" i="40" s="1"/>
  <c r="F30" i="40" s="1"/>
  <c r="F36" i="40" s="1"/>
  <c r="F42" i="40" s="1"/>
  <c r="F48" i="40" s="1"/>
  <c r="F54" i="40" s="1"/>
  <c r="F60" i="40" s="1"/>
  <c r="F66" i="40" s="1"/>
  <c r="F72" i="40" s="1"/>
  <c r="E13" i="40"/>
  <c r="E19" i="40" s="1"/>
  <c r="E25" i="40" s="1"/>
  <c r="E31" i="40" s="1"/>
  <c r="E37" i="40" s="1"/>
  <c r="E43" i="40" s="1"/>
  <c r="E49" i="40" s="1"/>
  <c r="E55" i="40" s="1"/>
  <c r="E61" i="40" s="1"/>
  <c r="E67" i="40" s="1"/>
  <c r="E73" i="40" s="1"/>
  <c r="F13" i="40"/>
  <c r="F19" i="40" s="1"/>
  <c r="F25" i="40" s="1"/>
  <c r="F31" i="40" s="1"/>
  <c r="F37" i="40" s="1"/>
  <c r="F43" i="40" s="1"/>
  <c r="F49" i="40" s="1"/>
  <c r="F55" i="40" s="1"/>
  <c r="F61" i="40" s="1"/>
  <c r="F67" i="40" s="1"/>
  <c r="F73" i="40" s="1"/>
  <c r="E14" i="40"/>
  <c r="E20" i="40" s="1"/>
  <c r="E26" i="40" s="1"/>
  <c r="E32" i="40" s="1"/>
  <c r="E38" i="40" s="1"/>
  <c r="E44" i="40" s="1"/>
  <c r="E50" i="40" s="1"/>
  <c r="E56" i="40" s="1"/>
  <c r="E62" i="40" s="1"/>
  <c r="E68" i="40" s="1"/>
  <c r="E74" i="40" s="1"/>
  <c r="F14" i="40"/>
  <c r="F20" i="40" s="1"/>
  <c r="F26" i="40" s="1"/>
  <c r="F32" i="40" s="1"/>
  <c r="F38" i="40" s="1"/>
  <c r="F44" i="40" s="1"/>
  <c r="F50" i="40" s="1"/>
  <c r="F56" i="40" s="1"/>
  <c r="F62" i="40" s="1"/>
  <c r="F68" i="40" s="1"/>
  <c r="F74" i="40" s="1"/>
  <c r="E15" i="40"/>
  <c r="E21" i="40" s="1"/>
  <c r="E27" i="40" s="1"/>
  <c r="E33" i="40" s="1"/>
  <c r="E39" i="40" s="1"/>
  <c r="E45" i="40" s="1"/>
  <c r="E51" i="40" s="1"/>
  <c r="E57" i="40" s="1"/>
  <c r="E63" i="40" s="1"/>
  <c r="E69" i="40" s="1"/>
  <c r="E75" i="40" s="1"/>
  <c r="F15" i="40"/>
  <c r="F21" i="40" s="1"/>
  <c r="F27" i="40" s="1"/>
  <c r="F33" i="40" s="1"/>
  <c r="F39" i="40" s="1"/>
  <c r="F45" i="40" s="1"/>
  <c r="F51" i="40" s="1"/>
  <c r="F57" i="40" s="1"/>
  <c r="F63" i="40" s="1"/>
  <c r="F69" i="40" s="1"/>
  <c r="F75" i="40" s="1"/>
  <c r="E16" i="40"/>
  <c r="E22" i="40" s="1"/>
  <c r="E28" i="40" s="1"/>
  <c r="E34" i="40" s="1"/>
  <c r="E40" i="40" s="1"/>
  <c r="E46" i="40" s="1"/>
  <c r="E52" i="40" s="1"/>
  <c r="E58" i="40" s="1"/>
  <c r="E64" i="40" s="1"/>
  <c r="E70" i="40" s="1"/>
  <c r="E76" i="40" s="1"/>
  <c r="F16" i="40"/>
  <c r="F22" i="40" s="1"/>
  <c r="F28" i="40" s="1"/>
  <c r="F34" i="40" s="1"/>
  <c r="F40" i="40" s="1"/>
  <c r="F46" i="40" s="1"/>
  <c r="F52" i="40" s="1"/>
  <c r="F58" i="40" s="1"/>
  <c r="F64" i="40" s="1"/>
  <c r="F70" i="40" s="1"/>
  <c r="F76" i="40" s="1"/>
  <c r="F12" i="40"/>
  <c r="F20" i="37"/>
  <c r="F26" i="37" s="1"/>
  <c r="F32" i="37" s="1"/>
  <c r="F38" i="37" s="1"/>
  <c r="F44" i="37" s="1"/>
  <c r="F50" i="37" s="1"/>
  <c r="F56" i="37" s="1"/>
  <c r="F62" i="37" s="1"/>
  <c r="F68" i="37" s="1"/>
  <c r="F74" i="37" s="1"/>
  <c r="E20" i="37"/>
  <c r="E26" i="37" s="1"/>
  <c r="E32" i="37" s="1"/>
  <c r="E38" i="37" s="1"/>
  <c r="E44" i="37" s="1"/>
  <c r="E50" i="37" s="1"/>
  <c r="E56" i="37" s="1"/>
  <c r="E62" i="37" s="1"/>
  <c r="E68" i="37" s="1"/>
  <c r="E74" i="37" s="1"/>
  <c r="F19" i="37"/>
  <c r="F25" i="37" s="1"/>
  <c r="F31" i="37" s="1"/>
  <c r="F37" i="37" s="1"/>
  <c r="F43" i="37" s="1"/>
  <c r="F49" i="37" s="1"/>
  <c r="F55" i="37" s="1"/>
  <c r="F61" i="37" s="1"/>
  <c r="F67" i="37" s="1"/>
  <c r="F73" i="37" s="1"/>
  <c r="E13" i="37"/>
  <c r="E19" i="37" s="1"/>
  <c r="E25" i="37" s="1"/>
  <c r="E31" i="37" s="1"/>
  <c r="E37" i="37" s="1"/>
  <c r="E43" i="37" s="1"/>
  <c r="E49" i="37" s="1"/>
  <c r="E55" i="37" s="1"/>
  <c r="E61" i="37" s="1"/>
  <c r="E67" i="37" s="1"/>
  <c r="E73" i="37" s="1"/>
  <c r="F13" i="37"/>
  <c r="E14" i="37"/>
  <c r="F14" i="37"/>
  <c r="E15" i="37"/>
  <c r="E21" i="37" s="1"/>
  <c r="E27" i="37" s="1"/>
  <c r="E33" i="37" s="1"/>
  <c r="E39" i="37" s="1"/>
  <c r="E45" i="37" s="1"/>
  <c r="E51" i="37" s="1"/>
  <c r="E57" i="37" s="1"/>
  <c r="E63" i="37" s="1"/>
  <c r="E69" i="37" s="1"/>
  <c r="E75" i="37" s="1"/>
  <c r="F15" i="37"/>
  <c r="F21" i="37" s="1"/>
  <c r="F27" i="37" s="1"/>
  <c r="F33" i="37" s="1"/>
  <c r="F39" i="37" s="1"/>
  <c r="F45" i="37" s="1"/>
  <c r="F51" i="37" s="1"/>
  <c r="F57" i="37" s="1"/>
  <c r="F63" i="37" s="1"/>
  <c r="F69" i="37" s="1"/>
  <c r="F75" i="37" s="1"/>
  <c r="E16" i="37"/>
  <c r="E22" i="37" s="1"/>
  <c r="E28" i="37" s="1"/>
  <c r="E34" i="37" s="1"/>
  <c r="E40" i="37" s="1"/>
  <c r="E46" i="37" s="1"/>
  <c r="E52" i="37" s="1"/>
  <c r="E58" i="37" s="1"/>
  <c r="E64" i="37" s="1"/>
  <c r="E70" i="37" s="1"/>
  <c r="E76" i="37" s="1"/>
  <c r="F16" i="37"/>
  <c r="F22" i="37" s="1"/>
  <c r="F28" i="37" s="1"/>
  <c r="F34" i="37" s="1"/>
  <c r="F40" i="37" s="1"/>
  <c r="F46" i="37" s="1"/>
  <c r="F52" i="37" s="1"/>
  <c r="F58" i="37" s="1"/>
  <c r="F64" i="37" s="1"/>
  <c r="F70" i="37" s="1"/>
  <c r="F76" i="37" s="1"/>
  <c r="F12" i="37"/>
  <c r="F18" i="37" s="1"/>
  <c r="F24" i="37" s="1"/>
  <c r="F30" i="37" s="1"/>
  <c r="F36" i="37" s="1"/>
  <c r="F42" i="37" s="1"/>
  <c r="F48" i="37" s="1"/>
  <c r="F54" i="37" s="1"/>
  <c r="F60" i="37" s="1"/>
  <c r="F66" i="37" s="1"/>
  <c r="F72" i="37" s="1"/>
  <c r="E9" i="33"/>
  <c r="E11" i="33"/>
  <c r="E13" i="33" s="1"/>
  <c r="E15" i="33" s="1"/>
  <c r="E17" i="33" s="1"/>
  <c r="E19" i="33" s="1"/>
  <c r="E21" i="33" s="1"/>
  <c r="E23" i="33" s="1"/>
  <c r="E25" i="33" s="1"/>
  <c r="E27" i="33" s="1"/>
  <c r="E29" i="33" s="1"/>
  <c r="E8" i="33"/>
  <c r="E10" i="33" s="1"/>
  <c r="E12" i="33" s="1"/>
  <c r="E14" i="33" s="1"/>
  <c r="E16" i="33" s="1"/>
  <c r="E18" i="33" s="1"/>
  <c r="E20" i="33" s="1"/>
  <c r="E22" i="33" s="1"/>
  <c r="E24" i="33" s="1"/>
  <c r="E26" i="33" s="1"/>
  <c r="E28" i="33" s="1"/>
  <c r="D53" i="36" l="1"/>
  <c r="D64" i="36" s="1"/>
  <c r="D75" i="36" s="1"/>
  <c r="D86" i="36" s="1"/>
  <c r="D97" i="36" s="1"/>
  <c r="D108" i="36" s="1"/>
  <c r="D119" i="36" s="1"/>
  <c r="D130" i="36" s="1"/>
  <c r="H42" i="36"/>
  <c r="F42" i="36"/>
  <c r="K63" i="36"/>
  <c r="H55" i="36"/>
  <c r="E55" i="36"/>
  <c r="F55" i="36"/>
  <c r="K55" i="36"/>
  <c r="F65" i="36"/>
  <c r="H65" i="36"/>
  <c r="K65" i="36"/>
  <c r="E65" i="36"/>
  <c r="F53" i="36"/>
  <c r="H53" i="36"/>
  <c r="K51" i="36"/>
  <c r="T10" i="30"/>
  <c r="U10" i="30" s="1"/>
  <c r="T11" i="30"/>
  <c r="U11" i="30" s="1"/>
  <c r="T12" i="30"/>
  <c r="U12" i="30" s="1"/>
  <c r="T13" i="30"/>
  <c r="U13" i="30" s="1"/>
  <c r="T14" i="30"/>
  <c r="U14" i="30" s="1"/>
  <c r="E53" i="36" l="1"/>
  <c r="K53" i="36"/>
  <c r="K74" i="36"/>
  <c r="K62" i="36"/>
  <c r="F76" i="36"/>
  <c r="K76" i="36"/>
  <c r="H76" i="36"/>
  <c r="E76" i="36"/>
  <c r="H66" i="36"/>
  <c r="E66" i="36"/>
  <c r="F66" i="36"/>
  <c r="K66" i="36"/>
  <c r="H64" i="36"/>
  <c r="E64" i="36"/>
  <c r="K64" i="36"/>
  <c r="F64" i="36"/>
  <c r="H77" i="36" l="1"/>
  <c r="E77" i="36"/>
  <c r="F77" i="36"/>
  <c r="K77" i="36"/>
  <c r="H87" i="36"/>
  <c r="F87" i="36"/>
  <c r="E87" i="36"/>
  <c r="K87" i="36"/>
  <c r="K73" i="36"/>
  <c r="K85" i="36"/>
  <c r="H75" i="36"/>
  <c r="E75" i="36"/>
  <c r="K75" i="36"/>
  <c r="F75" i="36"/>
  <c r="H98" i="36" l="1"/>
  <c r="E98" i="36"/>
  <c r="K98" i="36"/>
  <c r="F98" i="36"/>
  <c r="K96" i="36"/>
  <c r="H88" i="36"/>
  <c r="E88" i="36"/>
  <c r="F88" i="36"/>
  <c r="K88" i="36"/>
  <c r="K84" i="36"/>
  <c r="K86" i="36"/>
  <c r="F86" i="36"/>
  <c r="H86" i="36"/>
  <c r="E86" i="36"/>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K95" i="36" l="1"/>
  <c r="F109" i="36"/>
  <c r="K109" i="36"/>
  <c r="H109" i="36"/>
  <c r="E109" i="36"/>
  <c r="K107" i="36"/>
  <c r="F97" i="36"/>
  <c r="K97" i="36"/>
  <c r="E97" i="36"/>
  <c r="H97" i="36"/>
  <c r="H99" i="36"/>
  <c r="E99" i="36"/>
  <c r="F99" i="36"/>
  <c r="K99" i="36"/>
  <c r="AP105" i="3"/>
  <c r="K118" i="36" l="1"/>
  <c r="K106" i="36"/>
  <c r="F120" i="36"/>
  <c r="K120" i="36"/>
  <c r="E120" i="36"/>
  <c r="H120" i="36"/>
  <c r="H110" i="36"/>
  <c r="F110" i="36"/>
  <c r="E110" i="36"/>
  <c r="K110" i="36"/>
  <c r="K108" i="36"/>
  <c r="H108" i="36"/>
  <c r="F108" i="36"/>
  <c r="E108" i="36"/>
  <c r="I6" i="41"/>
  <c r="M6" i="40"/>
  <c r="H121" i="36" l="1"/>
  <c r="E121" i="36"/>
  <c r="K121" i="36"/>
  <c r="F121" i="36"/>
  <c r="F131" i="36"/>
  <c r="K131" i="36"/>
  <c r="E131" i="36"/>
  <c r="H131" i="36"/>
  <c r="K117" i="36"/>
  <c r="K129" i="36"/>
  <c r="H119" i="36"/>
  <c r="F119" i="36"/>
  <c r="E119" i="36"/>
  <c r="K119" i="36"/>
  <c r="I49" i="41"/>
  <c r="I61" i="41"/>
  <c r="I43" i="41"/>
  <c r="I31" i="41"/>
  <c r="I37" i="41"/>
  <c r="I13" i="41"/>
  <c r="I19" i="41"/>
  <c r="K128" i="36" l="1"/>
  <c r="H132" i="36"/>
  <c r="F132" i="36"/>
  <c r="E132" i="36"/>
  <c r="K132" i="36"/>
  <c r="K130" i="36"/>
  <c r="E130" i="36"/>
  <c r="H130" i="36"/>
  <c r="F130" i="36"/>
  <c r="T9" i="30"/>
  <c r="U9" i="30" s="1"/>
  <c r="M84" i="40" l="1"/>
  <c r="M85" i="40"/>
  <c r="M86" i="40"/>
  <c r="M87" i="40"/>
  <c r="M88" i="40"/>
  <c r="M83" i="40"/>
  <c r="M88" i="37"/>
  <c r="M84" i="37"/>
  <c r="M85" i="37"/>
  <c r="M86" i="37"/>
  <c r="M87" i="37"/>
  <c r="M83" i="37"/>
  <c r="S5" i="2" l="1"/>
  <c r="D6" i="2" s="1"/>
  <c r="G2" i="41" l="1"/>
  <c r="I2" i="37" l="1"/>
  <c r="X2" i="7"/>
  <c r="H2" i="33"/>
  <c r="G2" i="39"/>
  <c r="L2" i="5"/>
  <c r="U3" i="3"/>
  <c r="Z2" i="6"/>
  <c r="AL2" i="8"/>
  <c r="G2" i="36"/>
  <c r="N2" i="32"/>
  <c r="L2" i="4"/>
  <c r="G2" i="38"/>
  <c r="I2" i="40"/>
  <c r="S19" i="2"/>
  <c r="A34" i="57" s="1"/>
  <c r="S11" i="2"/>
  <c r="S10" i="2"/>
  <c r="M1" i="34"/>
  <c r="M12" i="34" l="1"/>
  <c r="M12" i="57"/>
  <c r="V1" i="43"/>
  <c r="M10" i="34"/>
  <c r="M9" i="34"/>
  <c r="M11" i="34"/>
  <c r="A10" i="35"/>
  <c r="A36" i="34"/>
  <c r="A9" i="35"/>
  <c r="A11" i="35"/>
  <c r="E41" i="47"/>
  <c r="E49" i="47"/>
  <c r="E45" i="47"/>
  <c r="F7" i="35"/>
  <c r="E37" i="47"/>
  <c r="E33" i="47"/>
  <c r="F10" i="45"/>
  <c r="H1" i="45"/>
  <c r="E39" i="45"/>
  <c r="F12" i="45"/>
  <c r="F11" i="45"/>
  <c r="S9" i="30"/>
  <c r="E25" i="47" l="1"/>
  <c r="E38" i="46"/>
  <c r="K28" i="43"/>
  <c r="K26" i="43"/>
  <c r="K24" i="43"/>
  <c r="K22" i="43"/>
  <c r="W12" i="43"/>
  <c r="B14" i="43" s="1"/>
  <c r="F34" i="43"/>
  <c r="F32" i="43"/>
  <c r="K30" i="43"/>
  <c r="F30" i="43"/>
  <c r="F28" i="43"/>
  <c r="F26" i="43"/>
  <c r="K34" i="43"/>
  <c r="F24" i="43"/>
  <c r="K32" i="43"/>
  <c r="F22" i="43"/>
  <c r="N8" i="43"/>
  <c r="O12" i="43"/>
  <c r="N11" i="43"/>
  <c r="N10" i="43"/>
  <c r="J11" i="34"/>
  <c r="N11" i="34" s="1"/>
  <c r="J11" i="57"/>
  <c r="N11" i="57" s="1"/>
  <c r="J12" i="34"/>
  <c r="J12" i="57"/>
  <c r="N12" i="57" s="1"/>
  <c r="L1" i="34"/>
  <c r="L1" i="57"/>
  <c r="J10" i="34"/>
  <c r="N10" i="34" s="1"/>
  <c r="J10" i="57"/>
  <c r="N10" i="57" s="1"/>
  <c r="U1" i="43"/>
  <c r="C10" i="48"/>
  <c r="N9" i="34"/>
  <c r="C14" i="48"/>
  <c r="F11" i="35"/>
  <c r="F11" i="46"/>
  <c r="H1" i="46"/>
  <c r="H1" i="47" s="1"/>
  <c r="D1" i="48" s="1"/>
  <c r="F7" i="46"/>
  <c r="F12" i="47"/>
  <c r="F12" i="46"/>
  <c r="F10" i="46"/>
  <c r="F10" i="47"/>
  <c r="E29" i="47"/>
  <c r="F29" i="2"/>
  <c r="X7" i="59" s="1"/>
  <c r="B15" i="45"/>
  <c r="A23" i="48"/>
  <c r="E25" i="46"/>
  <c r="E27" i="46"/>
  <c r="E34" i="47" s="1"/>
  <c r="E37" i="46"/>
  <c r="E46" i="47" s="1"/>
  <c r="E23" i="46"/>
  <c r="E31" i="46"/>
  <c r="E42" i="47" s="1"/>
  <c r="E22" i="47"/>
  <c r="E29" i="46"/>
  <c r="E38" i="47" s="1"/>
  <c r="E54" i="47" s="1"/>
  <c r="E10" i="2"/>
  <c r="S8" i="2"/>
  <c r="E11" i="2"/>
  <c r="E30" i="47" l="1"/>
  <c r="E35" i="46"/>
  <c r="E50" i="47" s="1"/>
  <c r="P34" i="43"/>
  <c r="U34" i="43" s="1"/>
  <c r="K36" i="43"/>
  <c r="F36" i="43"/>
  <c r="AH7" i="59"/>
  <c r="AK7" i="59" s="1"/>
  <c r="AE7" i="59"/>
  <c r="N7" i="59" s="1"/>
  <c r="N12" i="34"/>
  <c r="R9" i="30"/>
  <c r="Z7" i="53"/>
  <c r="P30" i="43"/>
  <c r="U30" i="43" s="1"/>
  <c r="P28" i="43"/>
  <c r="U28" i="43" s="1"/>
  <c r="P32" i="43"/>
  <c r="U32" i="43" s="1"/>
  <c r="C13" i="48"/>
  <c r="F10" i="35"/>
  <c r="C15" i="48"/>
  <c r="F12" i="35"/>
  <c r="P26" i="43"/>
  <c r="U26" i="43" s="1"/>
  <c r="P22" i="43"/>
  <c r="U22" i="43" s="1"/>
  <c r="P24" i="43"/>
  <c r="U24" i="43" s="1"/>
  <c r="E57" i="47"/>
  <c r="B23" i="48"/>
  <c r="E26" i="47"/>
  <c r="E33" i="46"/>
  <c r="Z1" i="5"/>
  <c r="J5" i="2"/>
  <c r="S42" i="2"/>
  <c r="T42" i="2" s="1"/>
  <c r="S41" i="2"/>
  <c r="T41" i="2" s="1"/>
  <c r="S38" i="2"/>
  <c r="T38" i="2" s="1"/>
  <c r="U38" i="2" s="1"/>
  <c r="V38" i="2" s="1"/>
  <c r="W38" i="2" s="1"/>
  <c r="X38" i="2" s="1"/>
  <c r="Y38" i="2" s="1"/>
  <c r="Z38" i="2" s="1"/>
  <c r="AA38" i="2" s="1"/>
  <c r="AB38" i="2" s="1"/>
  <c r="AC38" i="2" s="1"/>
  <c r="AD38" i="2" s="1"/>
  <c r="S37" i="2"/>
  <c r="S35" i="2"/>
  <c r="S34" i="2"/>
  <c r="S33" i="2"/>
  <c r="S32" i="2"/>
  <c r="S31" i="2"/>
  <c r="S30" i="2"/>
  <c r="T30" i="2" s="1"/>
  <c r="S27" i="2"/>
  <c r="S26" i="2"/>
  <c r="F26" i="2" s="1"/>
  <c r="F25" i="2" s="1"/>
  <c r="S23" i="2"/>
  <c r="T35" i="2" l="1"/>
  <c r="F35" i="2"/>
  <c r="G35" i="2" s="1"/>
  <c r="H35" i="2" s="1"/>
  <c r="I35" i="2" s="1"/>
  <c r="J35" i="2" s="1"/>
  <c r="K35" i="2" s="1"/>
  <c r="L35" i="2" s="1"/>
  <c r="M35" i="2" s="1"/>
  <c r="N35" i="2" s="1"/>
  <c r="O35" i="2" s="1"/>
  <c r="P35" i="2" s="1"/>
  <c r="Q35" i="2" s="1"/>
  <c r="T37" i="2"/>
  <c r="U37" i="2" s="1"/>
  <c r="F37" i="2"/>
  <c r="T27" i="2"/>
  <c r="F27" i="2"/>
  <c r="AJ7" i="53"/>
  <c r="AM7" i="53" s="1"/>
  <c r="AG7" i="53"/>
  <c r="O7" i="53" s="1"/>
  <c r="P36" i="43"/>
  <c r="H18" i="43" s="1"/>
  <c r="U35" i="2"/>
  <c r="U42" i="2"/>
  <c r="T31" i="2"/>
  <c r="S10" i="30" s="1"/>
  <c r="U30" i="2"/>
  <c r="U41" i="2"/>
  <c r="T26" i="2"/>
  <c r="T32" i="2"/>
  <c r="C10" i="8"/>
  <c r="D10" i="8"/>
  <c r="E10" i="8"/>
  <c r="F10" i="8"/>
  <c r="G10" i="8"/>
  <c r="C11" i="8"/>
  <c r="D11" i="8"/>
  <c r="E11" i="8"/>
  <c r="F11" i="8"/>
  <c r="G11" i="8"/>
  <c r="C12" i="8"/>
  <c r="D12" i="8"/>
  <c r="E12" i="8"/>
  <c r="F12" i="8"/>
  <c r="G12" i="8"/>
  <c r="C13" i="8"/>
  <c r="D13" i="8"/>
  <c r="E13" i="8"/>
  <c r="F13" i="8"/>
  <c r="G13" i="8"/>
  <c r="C14" i="8"/>
  <c r="D14" i="8"/>
  <c r="E14" i="8"/>
  <c r="F14" i="8"/>
  <c r="G14" i="8"/>
  <c r="C15" i="8"/>
  <c r="D15" i="8"/>
  <c r="E15" i="8"/>
  <c r="F15" i="8"/>
  <c r="G15" i="8"/>
  <c r="C16" i="8"/>
  <c r="D16" i="8"/>
  <c r="E16" i="8"/>
  <c r="F16" i="8"/>
  <c r="G16" i="8"/>
  <c r="C17" i="8"/>
  <c r="D17" i="8"/>
  <c r="E17" i="8"/>
  <c r="F17" i="8"/>
  <c r="G17" i="8"/>
  <c r="C18" i="8"/>
  <c r="D18" i="8"/>
  <c r="E18" i="8"/>
  <c r="F18" i="8"/>
  <c r="G18" i="8"/>
  <c r="C19" i="8"/>
  <c r="D19" i="8"/>
  <c r="E19" i="8"/>
  <c r="F19" i="8"/>
  <c r="G19" i="8"/>
  <c r="C20" i="8"/>
  <c r="D20" i="8"/>
  <c r="E20" i="8"/>
  <c r="F20" i="8"/>
  <c r="G20" i="8"/>
  <c r="U26" i="2" l="1"/>
  <c r="G26" i="2"/>
  <c r="G25" i="2" s="1"/>
  <c r="U27" i="2"/>
  <c r="G27" i="2"/>
  <c r="F36" i="2"/>
  <c r="G36" i="2" s="1"/>
  <c r="H36" i="2" s="1"/>
  <c r="I36" i="2" s="1"/>
  <c r="J36" i="2" s="1"/>
  <c r="K36" i="2" s="1"/>
  <c r="L36" i="2" s="1"/>
  <c r="M36" i="2" s="1"/>
  <c r="N36" i="2" s="1"/>
  <c r="O36" i="2" s="1"/>
  <c r="P36" i="2" s="1"/>
  <c r="Q36" i="2" s="1"/>
  <c r="G37" i="2"/>
  <c r="H37" i="2" s="1"/>
  <c r="I37" i="2" s="1"/>
  <c r="J37" i="2" s="1"/>
  <c r="K37" i="2" s="1"/>
  <c r="L37" i="2" s="1"/>
  <c r="M37" i="2" s="1"/>
  <c r="N37" i="2" s="1"/>
  <c r="O37" i="2" s="1"/>
  <c r="P37" i="2" s="1"/>
  <c r="Q37" i="2" s="1"/>
  <c r="G29" i="2"/>
  <c r="U36" i="43"/>
  <c r="U32" i="2"/>
  <c r="V37" i="2"/>
  <c r="V30" i="2"/>
  <c r="V42" i="2"/>
  <c r="V41" i="2"/>
  <c r="U31" i="2"/>
  <c r="S11" i="30" s="1"/>
  <c r="V35" i="2"/>
  <c r="Z8" i="53" l="1"/>
  <c r="X8" i="59"/>
  <c r="H29" i="2"/>
  <c r="R11" i="30" s="1"/>
  <c r="V27" i="2"/>
  <c r="H27" i="2"/>
  <c r="R10" i="30"/>
  <c r="V26" i="2"/>
  <c r="H26" i="2"/>
  <c r="H25" i="2" s="1"/>
  <c r="W37" i="2"/>
  <c r="V31" i="2"/>
  <c r="S12" i="30" s="1"/>
  <c r="W42" i="2"/>
  <c r="W35" i="2"/>
  <c r="W41" i="2"/>
  <c r="W30" i="2"/>
  <c r="V32" i="2"/>
  <c r="K11" i="5"/>
  <c r="K12" i="5"/>
  <c r="K13" i="5"/>
  <c r="K14" i="5"/>
  <c r="K15" i="5"/>
  <c r="K16" i="5"/>
  <c r="K17" i="5"/>
  <c r="K18" i="5"/>
  <c r="K19" i="5"/>
  <c r="K20" i="5"/>
  <c r="K21" i="5"/>
  <c r="K10" i="5"/>
  <c r="S11" i="5"/>
  <c r="S12" i="5" s="1"/>
  <c r="S13" i="5" s="1"/>
  <c r="S14" i="5" s="1"/>
  <c r="S15" i="5" s="1"/>
  <c r="S16" i="5" s="1"/>
  <c r="S17" i="5" s="1"/>
  <c r="S18" i="5" s="1"/>
  <c r="S19" i="5" s="1"/>
  <c r="S20" i="5" s="1"/>
  <c r="S21" i="5" s="1"/>
  <c r="W26" i="2" l="1"/>
  <c r="I26" i="2"/>
  <c r="I25" i="2" s="1"/>
  <c r="I29" i="2"/>
  <c r="R12" i="30" s="1"/>
  <c r="W27" i="2"/>
  <c r="I27" i="2"/>
  <c r="Z9" i="53"/>
  <c r="X9" i="59"/>
  <c r="AH8" i="59"/>
  <c r="AK8" i="59" s="1"/>
  <c r="AE8" i="59"/>
  <c r="N8" i="59" s="1"/>
  <c r="AG8" i="53"/>
  <c r="O8" i="53" s="1"/>
  <c r="AJ8" i="53"/>
  <c r="AM8" i="53" s="1"/>
  <c r="W32" i="2"/>
  <c r="X41" i="2"/>
  <c r="W31" i="2"/>
  <c r="S13" i="30" s="1"/>
  <c r="X30" i="2"/>
  <c r="X35" i="2"/>
  <c r="X42" i="2"/>
  <c r="X37" i="2"/>
  <c r="T11" i="2"/>
  <c r="T10" i="2"/>
  <c r="J29" i="2" l="1"/>
  <c r="R13" i="30" s="1"/>
  <c r="AH9" i="59"/>
  <c r="AK9" i="59" s="1"/>
  <c r="AE9" i="59"/>
  <c r="N9" i="59" s="1"/>
  <c r="AJ9" i="53"/>
  <c r="AM9" i="53" s="1"/>
  <c r="AG9" i="53"/>
  <c r="O9" i="53" s="1"/>
  <c r="X27" i="2"/>
  <c r="J27" i="2"/>
  <c r="Z10" i="53"/>
  <c r="X10" i="59"/>
  <c r="X26" i="2"/>
  <c r="J26" i="2"/>
  <c r="J25" i="2" s="1"/>
  <c r="Y37" i="2"/>
  <c r="Y35" i="2"/>
  <c r="X31" i="2"/>
  <c r="S14" i="30" s="1"/>
  <c r="Y42" i="2"/>
  <c r="Y30" i="2"/>
  <c r="Y41" i="2"/>
  <c r="X32" i="2"/>
  <c r="U11" i="2"/>
  <c r="F11" i="2"/>
  <c r="U10" i="2"/>
  <c r="F10" i="2"/>
  <c r="J42" i="33"/>
  <c r="J41" i="33"/>
  <c r="J40" i="33"/>
  <c r="J39" i="33"/>
  <c r="J38" i="33"/>
  <c r="J37" i="33"/>
  <c r="I43" i="38"/>
  <c r="I42" i="38"/>
  <c r="I41" i="38"/>
  <c r="I40" i="38"/>
  <c r="I39" i="38"/>
  <c r="I38" i="38"/>
  <c r="I39" i="39"/>
  <c r="I40" i="39"/>
  <c r="I41" i="39"/>
  <c r="I42" i="39"/>
  <c r="I43" i="39"/>
  <c r="I38" i="39"/>
  <c r="G155" i="36"/>
  <c r="G156" i="36"/>
  <c r="G157" i="36"/>
  <c r="G158" i="36"/>
  <c r="G159" i="36"/>
  <c r="G154" i="36"/>
  <c r="G83" i="41"/>
  <c r="G84" i="41"/>
  <c r="G85" i="41"/>
  <c r="G86" i="41"/>
  <c r="G87" i="41"/>
  <c r="G82" i="41"/>
  <c r="Y27" i="2" l="1"/>
  <c r="K27" i="2"/>
  <c r="K29" i="2"/>
  <c r="R14" i="30" s="1"/>
  <c r="Y26" i="2"/>
  <c r="K26" i="2"/>
  <c r="K25" i="2" s="1"/>
  <c r="AH10" i="59"/>
  <c r="AK10" i="59" s="1"/>
  <c r="AE10" i="59"/>
  <c r="N10" i="59" s="1"/>
  <c r="AJ10" i="53"/>
  <c r="AM10" i="53" s="1"/>
  <c r="AG10" i="53"/>
  <c r="O10" i="53" s="1"/>
  <c r="Z11" i="53"/>
  <c r="X11" i="59"/>
  <c r="Y32" i="2"/>
  <c r="Z35" i="2"/>
  <c r="Z41" i="2"/>
  <c r="Z30" i="2"/>
  <c r="Y31" i="2"/>
  <c r="S15" i="30" s="1"/>
  <c r="Z42" i="2"/>
  <c r="Z37" i="2"/>
  <c r="V11" i="2"/>
  <c r="H11" i="2" s="1"/>
  <c r="G11" i="2"/>
  <c r="V10" i="2"/>
  <c r="H10" i="2" s="1"/>
  <c r="G10" i="2"/>
  <c r="BE7" i="3"/>
  <c r="AH11" i="59" l="1"/>
  <c r="AK11" i="59" s="1"/>
  <c r="AE11" i="59"/>
  <c r="N11" i="59" s="1"/>
  <c r="AJ11" i="53"/>
  <c r="AM11" i="53" s="1"/>
  <c r="AG11" i="53"/>
  <c r="O11" i="53" s="1"/>
  <c r="Z26" i="2"/>
  <c r="L26" i="2"/>
  <c r="L25" i="2" s="1"/>
  <c r="L29" i="2"/>
  <c r="Z12" i="53"/>
  <c r="X12" i="59"/>
  <c r="Z27" i="2"/>
  <c r="L27" i="2"/>
  <c r="Z8" i="8"/>
  <c r="Z9" i="8" s="1"/>
  <c r="Z31" i="2"/>
  <c r="S16" i="30" s="1"/>
  <c r="AA41" i="2"/>
  <c r="AA37" i="2"/>
  <c r="AA42" i="2"/>
  <c r="AA30" i="2"/>
  <c r="AA35" i="2"/>
  <c r="Z32" i="2"/>
  <c r="BE8" i="3"/>
  <c r="AA26" i="2" l="1"/>
  <c r="M26" i="2"/>
  <c r="M25" i="2" s="1"/>
  <c r="AA27" i="2"/>
  <c r="M27" i="2"/>
  <c r="M29" i="2"/>
  <c r="AE12" i="59"/>
  <c r="N12" i="59" s="1"/>
  <c r="AH12" i="59"/>
  <c r="AK12" i="59" s="1"/>
  <c r="AJ12" i="53"/>
  <c r="AM12" i="53" s="1"/>
  <c r="AG12" i="53"/>
  <c r="O12" i="53" s="1"/>
  <c r="X13" i="59"/>
  <c r="Z13" i="53"/>
  <c r="R15" i="30"/>
  <c r="J7" i="53"/>
  <c r="I7" i="59"/>
  <c r="AA32" i="2"/>
  <c r="AB30" i="2"/>
  <c r="AB37" i="2"/>
  <c r="AA31" i="2"/>
  <c r="S17" i="30" s="1"/>
  <c r="AB35" i="2"/>
  <c r="AB42" i="2"/>
  <c r="AB41" i="2"/>
  <c r="AJ13" i="53" l="1"/>
  <c r="AM13" i="53" s="1"/>
  <c r="AG13" i="53"/>
  <c r="O13" i="53" s="1"/>
  <c r="X14" i="59"/>
  <c r="Z14" i="53"/>
  <c r="R16" i="30"/>
  <c r="AH13" i="59"/>
  <c r="AK13" i="59" s="1"/>
  <c r="AE13" i="59"/>
  <c r="N13" i="59" s="1"/>
  <c r="AB27" i="2"/>
  <c r="N27" i="2"/>
  <c r="N29" i="2"/>
  <c r="AB26" i="2"/>
  <c r="N26" i="2"/>
  <c r="N25" i="2" s="1"/>
  <c r="AC42" i="2"/>
  <c r="AB31" i="2"/>
  <c r="S18" i="30" s="1"/>
  <c r="AC30" i="2"/>
  <c r="AC41" i="2"/>
  <c r="AC35" i="2"/>
  <c r="AC37" i="2"/>
  <c r="AB32" i="2"/>
  <c r="O6" i="37"/>
  <c r="AG14" i="53" l="1"/>
  <c r="O14" i="53" s="1"/>
  <c r="AJ14" i="53"/>
  <c r="AM14" i="53" s="1"/>
  <c r="AC26" i="2"/>
  <c r="O26" i="2"/>
  <c r="O25" i="2" s="1"/>
  <c r="X15" i="59"/>
  <c r="R17" i="30"/>
  <c r="Z15" i="53"/>
  <c r="AH14" i="59"/>
  <c r="AK14" i="59" s="1"/>
  <c r="AE14" i="59"/>
  <c r="N14" i="59" s="1"/>
  <c r="O29" i="2"/>
  <c r="AC27" i="2"/>
  <c r="O27" i="2"/>
  <c r="AD37" i="2"/>
  <c r="AC31" i="2"/>
  <c r="S19" i="30" s="1"/>
  <c r="AC32" i="2"/>
  <c r="AD41" i="2"/>
  <c r="AD35" i="2"/>
  <c r="AD30" i="2"/>
  <c r="AD42" i="2"/>
  <c r="K9" i="41"/>
  <c r="I64" i="41"/>
  <c r="I63" i="41"/>
  <c r="I62" i="41"/>
  <c r="I59" i="41"/>
  <c r="I58" i="41"/>
  <c r="I57" i="41"/>
  <c r="I56" i="41"/>
  <c r="I54" i="41"/>
  <c r="I53" i="41"/>
  <c r="I52" i="41"/>
  <c r="I51" i="41"/>
  <c r="I48" i="41"/>
  <c r="I47" i="41"/>
  <c r="I46" i="41"/>
  <c r="I44" i="41"/>
  <c r="I42" i="41"/>
  <c r="I41" i="41"/>
  <c r="I39" i="41"/>
  <c r="I38" i="41"/>
  <c r="I36" i="41"/>
  <c r="I34" i="41"/>
  <c r="I33" i="41"/>
  <c r="I32" i="41"/>
  <c r="I29" i="41"/>
  <c r="I28" i="41"/>
  <c r="I27" i="41"/>
  <c r="I26" i="41"/>
  <c r="I24" i="41"/>
  <c r="I23" i="41"/>
  <c r="I22" i="41"/>
  <c r="I21" i="41"/>
  <c r="I18" i="41"/>
  <c r="I17" i="41"/>
  <c r="I16" i="41"/>
  <c r="I14" i="41"/>
  <c r="D14" i="41"/>
  <c r="D19" i="41" s="1"/>
  <c r="I12" i="41"/>
  <c r="D12" i="41"/>
  <c r="L11" i="41"/>
  <c r="L12" i="41" s="1"/>
  <c r="L13" i="41" s="1"/>
  <c r="L14" i="41" s="1"/>
  <c r="I11" i="41"/>
  <c r="D11" i="41"/>
  <c r="D16" i="41" s="1"/>
  <c r="D21" i="41" s="1"/>
  <c r="I9" i="41"/>
  <c r="K8" i="41"/>
  <c r="I8" i="41"/>
  <c r="L7" i="41"/>
  <c r="L8" i="41" s="1"/>
  <c r="L9" i="41" s="1"/>
  <c r="K7" i="41"/>
  <c r="I7" i="41"/>
  <c r="K6" i="41"/>
  <c r="M76" i="40"/>
  <c r="M75" i="40"/>
  <c r="M74" i="40"/>
  <c r="P73" i="40"/>
  <c r="P74" i="40" s="1"/>
  <c r="P75" i="40" s="1"/>
  <c r="P76" i="40" s="1"/>
  <c r="M73" i="40"/>
  <c r="M72" i="40"/>
  <c r="M70" i="40"/>
  <c r="M69" i="40"/>
  <c r="M68" i="40"/>
  <c r="P67" i="40"/>
  <c r="P68" i="40" s="1"/>
  <c r="P69" i="40" s="1"/>
  <c r="P70" i="40" s="1"/>
  <c r="M67" i="40"/>
  <c r="M66" i="40"/>
  <c r="M64" i="40"/>
  <c r="M63" i="40"/>
  <c r="M62" i="40"/>
  <c r="P61" i="40"/>
  <c r="P62" i="40" s="1"/>
  <c r="P63" i="40" s="1"/>
  <c r="P64" i="40" s="1"/>
  <c r="M61" i="40"/>
  <c r="M60" i="40"/>
  <c r="M58" i="40"/>
  <c r="M57" i="40"/>
  <c r="M56" i="40"/>
  <c r="P55" i="40"/>
  <c r="P56" i="40" s="1"/>
  <c r="P57" i="40" s="1"/>
  <c r="P58" i="40" s="1"/>
  <c r="M55" i="40"/>
  <c r="M54" i="40"/>
  <c r="M52" i="40"/>
  <c r="M51" i="40"/>
  <c r="M50" i="40"/>
  <c r="P49" i="40"/>
  <c r="P50" i="40" s="1"/>
  <c r="P51" i="40" s="1"/>
  <c r="P52" i="40" s="1"/>
  <c r="M49" i="40"/>
  <c r="M48" i="40"/>
  <c r="M46" i="40"/>
  <c r="M45" i="40"/>
  <c r="M44" i="40"/>
  <c r="P43" i="40"/>
  <c r="P44" i="40" s="1"/>
  <c r="P45" i="40" s="1"/>
  <c r="P46" i="40" s="1"/>
  <c r="M43" i="40"/>
  <c r="M42" i="40"/>
  <c r="M40" i="40"/>
  <c r="M39" i="40"/>
  <c r="M38" i="40"/>
  <c r="P37" i="40"/>
  <c r="P38" i="40" s="1"/>
  <c r="P39" i="40" s="1"/>
  <c r="P40" i="40" s="1"/>
  <c r="M37" i="40"/>
  <c r="M36" i="40"/>
  <c r="M34" i="40"/>
  <c r="M33" i="40"/>
  <c r="M32" i="40"/>
  <c r="P31" i="40"/>
  <c r="P32" i="40" s="1"/>
  <c r="P33" i="40" s="1"/>
  <c r="P34" i="40" s="1"/>
  <c r="M31" i="40"/>
  <c r="M30" i="40"/>
  <c r="M28" i="40"/>
  <c r="M27" i="40"/>
  <c r="M26" i="40"/>
  <c r="P25" i="40"/>
  <c r="P26" i="40" s="1"/>
  <c r="P27" i="40" s="1"/>
  <c r="P28" i="40" s="1"/>
  <c r="M25" i="40"/>
  <c r="M24" i="40"/>
  <c r="M22" i="40"/>
  <c r="M21" i="40"/>
  <c r="M20" i="40"/>
  <c r="P19" i="40"/>
  <c r="P20" i="40" s="1"/>
  <c r="P21" i="40" s="1"/>
  <c r="P22" i="40" s="1"/>
  <c r="M19" i="40"/>
  <c r="M18" i="40"/>
  <c r="M16" i="40"/>
  <c r="M15" i="40"/>
  <c r="M14" i="40"/>
  <c r="P13" i="40"/>
  <c r="P14" i="40" s="1"/>
  <c r="P15" i="40" s="1"/>
  <c r="P16" i="40" s="1"/>
  <c r="M13" i="40"/>
  <c r="M12" i="40"/>
  <c r="E12" i="40"/>
  <c r="E18" i="40" s="1"/>
  <c r="E24" i="40" s="1"/>
  <c r="E30" i="40" s="1"/>
  <c r="E36" i="40" s="1"/>
  <c r="E42" i="40" s="1"/>
  <c r="E48" i="40" s="1"/>
  <c r="E54" i="40" s="1"/>
  <c r="E60" i="40" s="1"/>
  <c r="E66" i="40" s="1"/>
  <c r="E72" i="40" s="1"/>
  <c r="O10" i="40"/>
  <c r="M10" i="40"/>
  <c r="O9" i="40"/>
  <c r="M9" i="40"/>
  <c r="O8" i="40"/>
  <c r="M8" i="40"/>
  <c r="P7" i="40"/>
  <c r="P8" i="40" s="1"/>
  <c r="P9" i="40" s="1"/>
  <c r="P10" i="40" s="1"/>
  <c r="O7" i="40"/>
  <c r="M7" i="40"/>
  <c r="O6" i="40"/>
  <c r="I29" i="39"/>
  <c r="I28" i="39"/>
  <c r="I27" i="39"/>
  <c r="I26" i="39"/>
  <c r="I25" i="39"/>
  <c r="I24" i="39"/>
  <c r="I23" i="39"/>
  <c r="I22" i="39"/>
  <c r="I21" i="39"/>
  <c r="I20" i="39"/>
  <c r="I19" i="39"/>
  <c r="I18" i="39"/>
  <c r="I17" i="39"/>
  <c r="I16" i="39"/>
  <c r="I15" i="39"/>
  <c r="I14" i="39"/>
  <c r="I13" i="39"/>
  <c r="I12" i="39"/>
  <c r="I11" i="39"/>
  <c r="L10" i="39"/>
  <c r="I10" i="39"/>
  <c r="I9" i="39"/>
  <c r="D9" i="39"/>
  <c r="F9" i="39" s="1"/>
  <c r="L8" i="39"/>
  <c r="L9" i="39" s="1"/>
  <c r="I8" i="39"/>
  <c r="D8" i="39"/>
  <c r="K8" i="39" s="1"/>
  <c r="L7" i="39"/>
  <c r="K7" i="39"/>
  <c r="I7" i="39"/>
  <c r="F7" i="39"/>
  <c r="E7" i="39"/>
  <c r="K6" i="39"/>
  <c r="I29" i="38"/>
  <c r="I28" i="38"/>
  <c r="I27" i="38"/>
  <c r="I26" i="38"/>
  <c r="I25" i="38"/>
  <c r="I24" i="38"/>
  <c r="I23" i="38"/>
  <c r="I22" i="38"/>
  <c r="I21" i="38"/>
  <c r="I20" i="38"/>
  <c r="I19" i="38"/>
  <c r="I18" i="38"/>
  <c r="I17" i="38"/>
  <c r="I16" i="38"/>
  <c r="I15" i="38"/>
  <c r="I14" i="38"/>
  <c r="I13" i="38"/>
  <c r="I12" i="38"/>
  <c r="I11" i="38"/>
  <c r="I10" i="38"/>
  <c r="I9" i="38"/>
  <c r="D9" i="38"/>
  <c r="L8" i="38"/>
  <c r="L10" i="38" s="1"/>
  <c r="L11" i="38" s="1"/>
  <c r="I8" i="38"/>
  <c r="D8" i="38"/>
  <c r="D10" i="38" s="1"/>
  <c r="L7" i="38"/>
  <c r="K7" i="38"/>
  <c r="I7" i="38"/>
  <c r="F7" i="38"/>
  <c r="E7" i="38"/>
  <c r="K6" i="38"/>
  <c r="AD27" i="2" l="1"/>
  <c r="Q27" i="2" s="1"/>
  <c r="P27" i="2"/>
  <c r="AH15" i="59"/>
  <c r="AK15" i="59" s="1"/>
  <c r="AE15" i="59"/>
  <c r="N15" i="59" s="1"/>
  <c r="X16" i="59"/>
  <c r="R18" i="30"/>
  <c r="Z16" i="53"/>
  <c r="AD26" i="2"/>
  <c r="Q26" i="2" s="1"/>
  <c r="Q25" i="2" s="1"/>
  <c r="P26" i="2"/>
  <c r="P25" i="2" s="1"/>
  <c r="AJ15" i="53"/>
  <c r="AM15" i="53" s="1"/>
  <c r="AG15" i="53"/>
  <c r="O15" i="53" s="1"/>
  <c r="P29" i="2"/>
  <c r="H19" i="41"/>
  <c r="E19" i="41"/>
  <c r="F19" i="41"/>
  <c r="J19" i="41"/>
  <c r="K19" i="41"/>
  <c r="D10" i="39"/>
  <c r="K10" i="39" s="1"/>
  <c r="K11" i="41"/>
  <c r="L9" i="38"/>
  <c r="AD32" i="2"/>
  <c r="AD31" i="2"/>
  <c r="S20" i="30" s="1"/>
  <c r="O15" i="40"/>
  <c r="O14" i="40"/>
  <c r="O12" i="40"/>
  <c r="D17" i="41"/>
  <c r="D22" i="41" s="1"/>
  <c r="D27" i="41" s="1"/>
  <c r="L16" i="41"/>
  <c r="L21" i="41" s="1"/>
  <c r="L26" i="41" s="1"/>
  <c r="L31" i="41" s="1"/>
  <c r="D26" i="41"/>
  <c r="D31" i="41" s="1"/>
  <c r="K21" i="41"/>
  <c r="D24" i="41"/>
  <c r="K12" i="41"/>
  <c r="K16" i="41"/>
  <c r="D18" i="41"/>
  <c r="K14" i="41"/>
  <c r="O20" i="40"/>
  <c r="O21" i="40"/>
  <c r="O18" i="40"/>
  <c r="O13" i="40"/>
  <c r="O16" i="40"/>
  <c r="D11" i="39"/>
  <c r="K9" i="39"/>
  <c r="E9" i="39"/>
  <c r="L11" i="39"/>
  <c r="L12" i="39"/>
  <c r="D11" i="38"/>
  <c r="K9" i="38"/>
  <c r="F9" i="38"/>
  <c r="L12" i="38"/>
  <c r="E9" i="38"/>
  <c r="K10" i="38"/>
  <c r="D12" i="38"/>
  <c r="K8" i="38"/>
  <c r="AG16" i="53" l="1"/>
  <c r="O16" i="53" s="1"/>
  <c r="AJ16" i="53"/>
  <c r="AM16" i="53" s="1"/>
  <c r="AH16" i="59"/>
  <c r="AK16" i="59" s="1"/>
  <c r="AE16" i="59"/>
  <c r="N16" i="59" s="1"/>
  <c r="X17" i="59"/>
  <c r="R19" i="30"/>
  <c r="Z17" i="53"/>
  <c r="Q29" i="2"/>
  <c r="L17" i="41"/>
  <c r="L18" i="41" s="1"/>
  <c r="L19" i="41" s="1"/>
  <c r="K31" i="41"/>
  <c r="D12" i="39"/>
  <c r="D14" i="39" s="1"/>
  <c r="K17" i="41"/>
  <c r="K22" i="41"/>
  <c r="L22" i="41"/>
  <c r="L23" i="41" s="1"/>
  <c r="L24" i="41" s="1"/>
  <c r="D23" i="41"/>
  <c r="K18" i="41"/>
  <c r="K26" i="41"/>
  <c r="D29" i="41"/>
  <c r="K24" i="41"/>
  <c r="K27" i="41"/>
  <c r="D32" i="41"/>
  <c r="D37" i="41" s="1"/>
  <c r="L27" i="41"/>
  <c r="L28" i="41" s="1"/>
  <c r="L29" i="41" s="1"/>
  <c r="O19" i="40"/>
  <c r="O22" i="40"/>
  <c r="O24" i="40"/>
  <c r="O27" i="40"/>
  <c r="O26" i="40"/>
  <c r="F11" i="39"/>
  <c r="D13" i="39"/>
  <c r="K11" i="39"/>
  <c r="E11" i="39"/>
  <c r="L14" i="39"/>
  <c r="L13" i="39"/>
  <c r="D13" i="38"/>
  <c r="K11" i="38"/>
  <c r="E11" i="38"/>
  <c r="F11" i="38"/>
  <c r="L13" i="38"/>
  <c r="L14" i="38"/>
  <c r="K12" i="38"/>
  <c r="D14" i="38"/>
  <c r="AH17" i="59" l="1"/>
  <c r="AK17" i="59" s="1"/>
  <c r="AE17" i="59"/>
  <c r="N17" i="59" s="1"/>
  <c r="X18" i="59"/>
  <c r="Z18" i="53"/>
  <c r="Z29" i="53" s="1"/>
  <c r="R20" i="30"/>
  <c r="AG17" i="53"/>
  <c r="O17" i="53" s="1"/>
  <c r="AJ17" i="53"/>
  <c r="AM17" i="53" s="1"/>
  <c r="K12" i="39"/>
  <c r="K37" i="41"/>
  <c r="L36" i="41"/>
  <c r="L37" i="41" s="1"/>
  <c r="L38" i="41" s="1"/>
  <c r="L39" i="41" s="1"/>
  <c r="L32" i="41"/>
  <c r="L33" i="41" s="1"/>
  <c r="L34" i="41" s="1"/>
  <c r="K32" i="41"/>
  <c r="D34" i="41"/>
  <c r="K29" i="41"/>
  <c r="D36" i="41"/>
  <c r="D28" i="41"/>
  <c r="K23" i="41"/>
  <c r="O30" i="40"/>
  <c r="O28" i="40"/>
  <c r="O25" i="40"/>
  <c r="O32" i="40"/>
  <c r="O33" i="40"/>
  <c r="E13" i="39"/>
  <c r="D15" i="39"/>
  <c r="K13" i="39"/>
  <c r="F13" i="39"/>
  <c r="D16" i="39"/>
  <c r="K14" i="39"/>
  <c r="L16" i="39"/>
  <c r="L15" i="39"/>
  <c r="D16" i="38"/>
  <c r="K14" i="38"/>
  <c r="L16" i="38"/>
  <c r="L15" i="38"/>
  <c r="E13" i="38"/>
  <c r="D15" i="38"/>
  <c r="K13" i="38"/>
  <c r="F13" i="38"/>
  <c r="AG18" i="53" l="1"/>
  <c r="O18" i="53" s="1"/>
  <c r="AJ18" i="53"/>
  <c r="AM18" i="53" s="1"/>
  <c r="Z30" i="53"/>
  <c r="AE18" i="59"/>
  <c r="N18" i="59" s="1"/>
  <c r="AH18" i="59"/>
  <c r="AK18" i="59" s="1"/>
  <c r="X29" i="59"/>
  <c r="X30" i="59"/>
  <c r="D33" i="41"/>
  <c r="K28" i="41"/>
  <c r="L41" i="41"/>
  <c r="K36" i="41"/>
  <c r="D41" i="41"/>
  <c r="K34" i="41"/>
  <c r="D39" i="41"/>
  <c r="D42" i="41"/>
  <c r="O38" i="40"/>
  <c r="O39" i="40"/>
  <c r="O34" i="40"/>
  <c r="O36" i="40"/>
  <c r="O31" i="40"/>
  <c r="L18" i="39"/>
  <c r="L17" i="39"/>
  <c r="F15" i="39"/>
  <c r="D17" i="39"/>
  <c r="K15" i="39"/>
  <c r="E15" i="39"/>
  <c r="D18" i="39"/>
  <c r="K16" i="39"/>
  <c r="F15" i="38"/>
  <c r="E15" i="38"/>
  <c r="K15" i="38"/>
  <c r="D17" i="38"/>
  <c r="L18" i="38"/>
  <c r="L17" i="38"/>
  <c r="D18" i="38"/>
  <c r="K16" i="38"/>
  <c r="L42" i="41" l="1"/>
  <c r="L43" i="41" s="1"/>
  <c r="L44" i="41" s="1"/>
  <c r="L46" i="41"/>
  <c r="D38" i="41"/>
  <c r="D43" i="41" s="1"/>
  <c r="K33" i="41"/>
  <c r="D47" i="41"/>
  <c r="K42" i="41"/>
  <c r="K39" i="41"/>
  <c r="D44" i="41"/>
  <c r="D49" i="41" s="1"/>
  <c r="K41" i="41"/>
  <c r="D46" i="41"/>
  <c r="O44" i="40"/>
  <c r="O45" i="40"/>
  <c r="O42" i="40"/>
  <c r="O37" i="40"/>
  <c r="O40" i="40"/>
  <c r="D19" i="39"/>
  <c r="K17" i="39"/>
  <c r="E17" i="39"/>
  <c r="F17" i="39"/>
  <c r="D20" i="39"/>
  <c r="K18" i="39"/>
  <c r="L19" i="39"/>
  <c r="L20" i="39"/>
  <c r="D19" i="38"/>
  <c r="K17" i="38"/>
  <c r="F17" i="38"/>
  <c r="E17" i="38"/>
  <c r="D20" i="38"/>
  <c r="K18" i="38"/>
  <c r="L19" i="38"/>
  <c r="L20" i="38"/>
  <c r="L6" i="33"/>
  <c r="L7" i="33"/>
  <c r="K43" i="41" l="1"/>
  <c r="H43" i="41"/>
  <c r="J43" i="41"/>
  <c r="E43" i="41"/>
  <c r="F43" i="41"/>
  <c r="H49" i="41"/>
  <c r="E49" i="41"/>
  <c r="F49" i="41"/>
  <c r="J49" i="41"/>
  <c r="K49" i="41"/>
  <c r="D51" i="41"/>
  <c r="K46" i="41"/>
  <c r="D52" i="41"/>
  <c r="K47" i="41"/>
  <c r="K44" i="41"/>
  <c r="L47" i="41"/>
  <c r="L48" i="41" s="1"/>
  <c r="L49" i="41" s="1"/>
  <c r="L51" i="41"/>
  <c r="K38" i="41"/>
  <c r="O43" i="40"/>
  <c r="O48" i="40"/>
  <c r="O50" i="40"/>
  <c r="O46" i="40"/>
  <c r="O51" i="40"/>
  <c r="D22" i="39"/>
  <c r="K20" i="39"/>
  <c r="L22" i="39"/>
  <c r="L21" i="39"/>
  <c r="F19" i="39"/>
  <c r="D21" i="39"/>
  <c r="K19" i="39"/>
  <c r="E19" i="39"/>
  <c r="K20" i="38"/>
  <c r="D22" i="38"/>
  <c r="L21" i="38"/>
  <c r="L22" i="38"/>
  <c r="D21" i="38"/>
  <c r="K19" i="38"/>
  <c r="E19" i="38"/>
  <c r="F19" i="38"/>
  <c r="L52" i="41" l="1"/>
  <c r="L53" i="41" s="1"/>
  <c r="L54" i="41" s="1"/>
  <c r="L56" i="41"/>
  <c r="L61" i="41" s="1"/>
  <c r="D54" i="41"/>
  <c r="D57" i="41"/>
  <c r="K52" i="41"/>
  <c r="K51" i="41"/>
  <c r="D56" i="41"/>
  <c r="D61" i="41" s="1"/>
  <c r="D48" i="41"/>
  <c r="O52" i="40"/>
  <c r="O56" i="40"/>
  <c r="O54" i="40"/>
  <c r="O57" i="40"/>
  <c r="O49" i="40"/>
  <c r="E21" i="39"/>
  <c r="D23" i="39"/>
  <c r="K21" i="39"/>
  <c r="F21" i="39"/>
  <c r="L24" i="39"/>
  <c r="L23" i="39"/>
  <c r="D24" i="39"/>
  <c r="K22" i="39"/>
  <c r="D24" i="38"/>
  <c r="K22" i="38"/>
  <c r="E21" i="38"/>
  <c r="D23" i="38"/>
  <c r="K21" i="38"/>
  <c r="F21" i="38"/>
  <c r="L24" i="38"/>
  <c r="L23" i="38"/>
  <c r="G9" i="37"/>
  <c r="H9" i="37"/>
  <c r="I9" i="37"/>
  <c r="J9" i="37"/>
  <c r="K9" i="37"/>
  <c r="L9" i="37"/>
  <c r="M9" i="37"/>
  <c r="O9" i="37"/>
  <c r="G10" i="37"/>
  <c r="H10" i="37"/>
  <c r="I10" i="37"/>
  <c r="J10" i="37"/>
  <c r="K10" i="37"/>
  <c r="L10" i="37"/>
  <c r="M10" i="37"/>
  <c r="O10" i="37"/>
  <c r="M8" i="37"/>
  <c r="O8" i="37"/>
  <c r="M76" i="37"/>
  <c r="M75" i="37"/>
  <c r="M74" i="37"/>
  <c r="P73" i="37"/>
  <c r="P74" i="37" s="1"/>
  <c r="P75" i="37" s="1"/>
  <c r="P76" i="37" s="1"/>
  <c r="M73" i="37"/>
  <c r="M72" i="37"/>
  <c r="M70" i="37"/>
  <c r="M69" i="37"/>
  <c r="M68" i="37"/>
  <c r="P67" i="37"/>
  <c r="P68" i="37" s="1"/>
  <c r="P69" i="37" s="1"/>
  <c r="P70" i="37" s="1"/>
  <c r="M67" i="37"/>
  <c r="M66" i="37"/>
  <c r="M64" i="37"/>
  <c r="M63" i="37"/>
  <c r="M62" i="37"/>
  <c r="P61" i="37"/>
  <c r="P62" i="37" s="1"/>
  <c r="P63" i="37" s="1"/>
  <c r="P64" i="37" s="1"/>
  <c r="M61" i="37"/>
  <c r="M60" i="37"/>
  <c r="M58" i="37"/>
  <c r="M57" i="37"/>
  <c r="M56" i="37"/>
  <c r="P55" i="37"/>
  <c r="P56" i="37" s="1"/>
  <c r="P57" i="37" s="1"/>
  <c r="P58" i="37" s="1"/>
  <c r="M55" i="37"/>
  <c r="M54" i="37"/>
  <c r="M52" i="37"/>
  <c r="M51" i="37"/>
  <c r="M50" i="37"/>
  <c r="P49" i="37"/>
  <c r="P50" i="37" s="1"/>
  <c r="P51" i="37" s="1"/>
  <c r="P52" i="37" s="1"/>
  <c r="M49" i="37"/>
  <c r="M48" i="37"/>
  <c r="M46" i="37"/>
  <c r="M45" i="37"/>
  <c r="M44" i="37"/>
  <c r="P43" i="37"/>
  <c r="P44" i="37" s="1"/>
  <c r="P45" i="37" s="1"/>
  <c r="P46" i="37" s="1"/>
  <c r="M43" i="37"/>
  <c r="M42" i="37"/>
  <c r="M40" i="37"/>
  <c r="M39" i="37"/>
  <c r="M38" i="37"/>
  <c r="P37" i="37"/>
  <c r="P38" i="37" s="1"/>
  <c r="P39" i="37" s="1"/>
  <c r="P40" i="37" s="1"/>
  <c r="M37" i="37"/>
  <c r="M36" i="37"/>
  <c r="M34" i="37"/>
  <c r="M33" i="37"/>
  <c r="M32" i="37"/>
  <c r="P31" i="37"/>
  <c r="P32" i="37" s="1"/>
  <c r="P33" i="37" s="1"/>
  <c r="P34" i="37" s="1"/>
  <c r="M31" i="37"/>
  <c r="M30" i="37"/>
  <c r="M28" i="37"/>
  <c r="M27" i="37"/>
  <c r="M26" i="37"/>
  <c r="P25" i="37"/>
  <c r="P26" i="37" s="1"/>
  <c r="P27" i="37" s="1"/>
  <c r="P28" i="37" s="1"/>
  <c r="M25" i="37"/>
  <c r="M24" i="37"/>
  <c r="M22" i="37"/>
  <c r="M21" i="37"/>
  <c r="M20" i="37"/>
  <c r="P19" i="37"/>
  <c r="P20" i="37" s="1"/>
  <c r="P21" i="37" s="1"/>
  <c r="P22" i="37" s="1"/>
  <c r="M19" i="37"/>
  <c r="M18" i="37"/>
  <c r="M16" i="37"/>
  <c r="M15" i="37"/>
  <c r="L15" i="37"/>
  <c r="M14" i="37"/>
  <c r="P13" i="37"/>
  <c r="P14" i="37" s="1"/>
  <c r="P15" i="37" s="1"/>
  <c r="P16" i="37" s="1"/>
  <c r="M13" i="37"/>
  <c r="M12" i="37"/>
  <c r="E12" i="37"/>
  <c r="P7" i="37"/>
  <c r="P8" i="37" s="1"/>
  <c r="P9" i="37" s="1"/>
  <c r="P10" i="37" s="1"/>
  <c r="O7" i="37"/>
  <c r="M7" i="37"/>
  <c r="K61" i="41" l="1"/>
  <c r="E18" i="37"/>
  <c r="E24" i="37" s="1"/>
  <c r="E30" i="37" s="1"/>
  <c r="E36" i="37" s="1"/>
  <c r="E42" i="37" s="1"/>
  <c r="E48" i="37" s="1"/>
  <c r="E54" i="37" s="1"/>
  <c r="E60" i="37" s="1"/>
  <c r="E66" i="37" s="1"/>
  <c r="E72" i="37" s="1"/>
  <c r="K48" i="41"/>
  <c r="D53" i="41"/>
  <c r="K56" i="41"/>
  <c r="D62" i="41"/>
  <c r="K57" i="41"/>
  <c r="K54" i="41"/>
  <c r="D59" i="41"/>
  <c r="L57" i="41"/>
  <c r="L58" i="41" s="1"/>
  <c r="L59" i="41" s="1"/>
  <c r="L62" i="41"/>
  <c r="L63" i="41" s="1"/>
  <c r="L64" i="41" s="1"/>
  <c r="O60" i="40"/>
  <c r="O62" i="40"/>
  <c r="O55" i="40"/>
  <c r="O63" i="40"/>
  <c r="O58" i="40"/>
  <c r="F23" i="39"/>
  <c r="D25" i="39"/>
  <c r="K23" i="39"/>
  <c r="E23" i="39"/>
  <c r="D26" i="39"/>
  <c r="K24" i="39"/>
  <c r="L26" i="39"/>
  <c r="L25" i="39"/>
  <c r="L26" i="38"/>
  <c r="L25" i="38"/>
  <c r="F23" i="38"/>
  <c r="E23" i="38"/>
  <c r="K23" i="38"/>
  <c r="D25" i="38"/>
  <c r="D26" i="38"/>
  <c r="K24" i="38"/>
  <c r="H15" i="37"/>
  <c r="I15" i="37"/>
  <c r="O14" i="37"/>
  <c r="O12" i="37"/>
  <c r="O16" i="37"/>
  <c r="O19" i="37"/>
  <c r="O13" i="37"/>
  <c r="O20" i="37"/>
  <c r="J15" i="37"/>
  <c r="G15" i="37"/>
  <c r="K15" i="37"/>
  <c r="O15" i="37"/>
  <c r="I8" i="36"/>
  <c r="K8" i="36"/>
  <c r="I9" i="36"/>
  <c r="K9" i="36"/>
  <c r="I10" i="36"/>
  <c r="K10" i="36"/>
  <c r="I11" i="36"/>
  <c r="K11" i="36"/>
  <c r="I12" i="36"/>
  <c r="K12" i="36"/>
  <c r="K53" i="41" l="1"/>
  <c r="D58" i="41"/>
  <c r="K59" i="41"/>
  <c r="D64" i="41"/>
  <c r="K62" i="41"/>
  <c r="O61" i="40"/>
  <c r="O66" i="40"/>
  <c r="O64" i="40"/>
  <c r="O68" i="40"/>
  <c r="O69" i="40"/>
  <c r="D27" i="39"/>
  <c r="K25" i="39"/>
  <c r="E25" i="39"/>
  <c r="F25" i="39"/>
  <c r="L27" i="39"/>
  <c r="L28" i="39"/>
  <c r="L29" i="39" s="1"/>
  <c r="D28" i="39"/>
  <c r="K26" i="39"/>
  <c r="D28" i="38"/>
  <c r="K26" i="38"/>
  <c r="D27" i="38"/>
  <c r="K25" i="38"/>
  <c r="F25" i="38"/>
  <c r="E25" i="38"/>
  <c r="L27" i="38"/>
  <c r="L28" i="38"/>
  <c r="L29" i="38" s="1"/>
  <c r="O22" i="37"/>
  <c r="O18" i="37"/>
  <c r="O28" i="37"/>
  <c r="O21" i="37"/>
  <c r="K21" i="37"/>
  <c r="G21" i="37"/>
  <c r="J21" i="37"/>
  <c r="H21" i="37"/>
  <c r="L21" i="37"/>
  <c r="I21" i="37"/>
  <c r="O26" i="37"/>
  <c r="O25" i="37"/>
  <c r="I136" i="36"/>
  <c r="I135" i="36"/>
  <c r="I134" i="36"/>
  <c r="I133" i="36"/>
  <c r="I127" i="36"/>
  <c r="I125" i="36"/>
  <c r="I124" i="36"/>
  <c r="I123" i="36"/>
  <c r="I122" i="36"/>
  <c r="I116" i="36"/>
  <c r="I114" i="36"/>
  <c r="I113" i="36"/>
  <c r="I112" i="36"/>
  <c r="I111" i="36"/>
  <c r="I105" i="36"/>
  <c r="I103" i="36"/>
  <c r="I102" i="36"/>
  <c r="I101" i="36"/>
  <c r="I100" i="36"/>
  <c r="I94" i="36"/>
  <c r="I92" i="36"/>
  <c r="I91" i="36"/>
  <c r="I90" i="36"/>
  <c r="I89" i="36"/>
  <c r="I83" i="36"/>
  <c r="I81" i="36"/>
  <c r="I80" i="36"/>
  <c r="I79" i="36"/>
  <c r="I78" i="36"/>
  <c r="I72" i="36"/>
  <c r="I70" i="36"/>
  <c r="I69" i="36"/>
  <c r="I68" i="36"/>
  <c r="I67" i="36"/>
  <c r="I61" i="36"/>
  <c r="I59" i="36"/>
  <c r="I58" i="36"/>
  <c r="I57" i="36"/>
  <c r="I56" i="36"/>
  <c r="I50" i="36"/>
  <c r="I48" i="36"/>
  <c r="I47" i="36"/>
  <c r="I46" i="36"/>
  <c r="I45" i="36"/>
  <c r="I39" i="36"/>
  <c r="I37" i="36"/>
  <c r="I36" i="36"/>
  <c r="I35" i="36"/>
  <c r="I34" i="36"/>
  <c r="I28" i="36"/>
  <c r="I26" i="36"/>
  <c r="D26" i="36"/>
  <c r="D37" i="36" s="1"/>
  <c r="D48" i="36" s="1"/>
  <c r="D59" i="36" s="1"/>
  <c r="D70" i="36" s="1"/>
  <c r="D81" i="36" s="1"/>
  <c r="D92" i="36" s="1"/>
  <c r="D103" i="36" s="1"/>
  <c r="D114" i="36" s="1"/>
  <c r="D125" i="36" s="1"/>
  <c r="D136" i="36" s="1"/>
  <c r="I25" i="36"/>
  <c r="D25" i="36"/>
  <c r="D36" i="36" s="1"/>
  <c r="D47" i="36" s="1"/>
  <c r="D58" i="36" s="1"/>
  <c r="D69" i="36" s="1"/>
  <c r="D80" i="36" s="1"/>
  <c r="D91" i="36" s="1"/>
  <c r="D102" i="36" s="1"/>
  <c r="D113" i="36" s="1"/>
  <c r="D124" i="36" s="1"/>
  <c r="D135" i="36" s="1"/>
  <c r="I24" i="36"/>
  <c r="I18" i="36"/>
  <c r="L17" i="36"/>
  <c r="I17" i="36"/>
  <c r="D17" i="36"/>
  <c r="D28" i="36" s="1"/>
  <c r="K15" i="36"/>
  <c r="I15" i="36"/>
  <c r="K14" i="36"/>
  <c r="I14" i="36"/>
  <c r="K13" i="36"/>
  <c r="I13" i="36"/>
  <c r="L7" i="36"/>
  <c r="K7" i="36"/>
  <c r="I7" i="36"/>
  <c r="K6" i="36"/>
  <c r="L28" i="36" l="1"/>
  <c r="L29" i="36" s="1"/>
  <c r="L30" i="36" s="1"/>
  <c r="L31" i="36" s="1"/>
  <c r="L32" i="36" s="1"/>
  <c r="L33" i="36" s="1"/>
  <c r="L34" i="36" s="1"/>
  <c r="L35" i="36" s="1"/>
  <c r="L36" i="36" s="1"/>
  <c r="L37" i="36" s="1"/>
  <c r="L18" i="36"/>
  <c r="L19" i="36" s="1"/>
  <c r="L20" i="36" s="1"/>
  <c r="L21" i="36" s="1"/>
  <c r="L22" i="36" s="1"/>
  <c r="L23" i="36" s="1"/>
  <c r="L24" i="36" s="1"/>
  <c r="L25" i="36" s="1"/>
  <c r="L13" i="36"/>
  <c r="L14" i="36" s="1"/>
  <c r="L15" i="36" s="1"/>
  <c r="L8" i="36"/>
  <c r="L9" i="36" s="1"/>
  <c r="L10" i="36" s="1"/>
  <c r="L11" i="36" s="1"/>
  <c r="L12" i="36" s="1"/>
  <c r="K64" i="41"/>
  <c r="K58" i="41"/>
  <c r="D63" i="41"/>
  <c r="O70" i="40"/>
  <c r="O67" i="40"/>
  <c r="O75" i="40"/>
  <c r="O74" i="40"/>
  <c r="O72" i="40"/>
  <c r="K28" i="39"/>
  <c r="D29" i="39"/>
  <c r="F27" i="39"/>
  <c r="K27" i="39"/>
  <c r="E27" i="39"/>
  <c r="D29" i="38"/>
  <c r="K27" i="38"/>
  <c r="E27" i="38"/>
  <c r="F27" i="38"/>
  <c r="K28" i="38"/>
  <c r="O24" i="37"/>
  <c r="O32" i="37"/>
  <c r="O27" i="37"/>
  <c r="K27" i="37"/>
  <c r="G27" i="37"/>
  <c r="J27" i="37"/>
  <c r="L27" i="37"/>
  <c r="H27" i="37"/>
  <c r="I27" i="37"/>
  <c r="O31" i="37"/>
  <c r="O34" i="37"/>
  <c r="K17" i="36"/>
  <c r="K25" i="36"/>
  <c r="K24" i="36"/>
  <c r="K34" i="36"/>
  <c r="K35" i="36"/>
  <c r="K36" i="36"/>
  <c r="K28" i="36"/>
  <c r="D39" i="36"/>
  <c r="L39" i="36"/>
  <c r="L40" i="36" s="1"/>
  <c r="L41" i="36" s="1"/>
  <c r="L42" i="36" s="1"/>
  <c r="L43" i="36" s="1"/>
  <c r="L44" i="36" s="1"/>
  <c r="L45" i="36" s="1"/>
  <c r="L46" i="36" s="1"/>
  <c r="L47" i="36" s="1"/>
  <c r="L48" i="36" s="1"/>
  <c r="K18" i="36"/>
  <c r="K26" i="36"/>
  <c r="A2" i="3"/>
  <c r="BI11" i="3"/>
  <c r="BI8" i="3"/>
  <c r="L26" i="36" l="1"/>
  <c r="K63" i="41"/>
  <c r="O73" i="40"/>
  <c r="O76" i="40"/>
  <c r="E29" i="39"/>
  <c r="K29" i="39"/>
  <c r="F29" i="39"/>
  <c r="E29" i="38"/>
  <c r="K29" i="38"/>
  <c r="F29" i="38"/>
  <c r="O40" i="37"/>
  <c r="O33" i="37"/>
  <c r="K33" i="37"/>
  <c r="G33" i="37"/>
  <c r="J33" i="37"/>
  <c r="H33" i="37"/>
  <c r="L33" i="37"/>
  <c r="I33" i="37"/>
  <c r="O30" i="37"/>
  <c r="O37" i="37"/>
  <c r="O38" i="37"/>
  <c r="L50" i="36"/>
  <c r="K39" i="36"/>
  <c r="D50" i="36"/>
  <c r="K45" i="36"/>
  <c r="K37" i="36"/>
  <c r="K47" i="36"/>
  <c r="K46" i="36"/>
  <c r="L51" i="36" l="1"/>
  <c r="L52" i="36" s="1"/>
  <c r="L55" i="36" s="1"/>
  <c r="L56" i="36" s="1"/>
  <c r="L57" i="36" s="1"/>
  <c r="L58" i="36" s="1"/>
  <c r="L59" i="36" s="1"/>
  <c r="L53" i="36"/>
  <c r="L54" i="36" s="1"/>
  <c r="O44" i="37"/>
  <c r="O36" i="37"/>
  <c r="O43" i="37"/>
  <c r="O46" i="37"/>
  <c r="O39" i="37"/>
  <c r="K39" i="37"/>
  <c r="G39" i="37"/>
  <c r="J39" i="37"/>
  <c r="L39" i="37"/>
  <c r="I39" i="37"/>
  <c r="H39" i="37"/>
  <c r="K48" i="36"/>
  <c r="K57" i="36"/>
  <c r="K56" i="36"/>
  <c r="K50" i="36"/>
  <c r="D61" i="36"/>
  <c r="K58" i="36"/>
  <c r="L61" i="36"/>
  <c r="L62" i="36" s="1"/>
  <c r="L63" i="36" s="1"/>
  <c r="L64" i="36" s="1"/>
  <c r="L65" i="36" s="1"/>
  <c r="L66" i="36" s="1"/>
  <c r="L67" i="36" s="1"/>
  <c r="L68" i="36" s="1"/>
  <c r="L69" i="36" s="1"/>
  <c r="L70" i="36" s="1"/>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Z8" i="3"/>
  <c r="Z9" i="3"/>
  <c r="Z10" i="3"/>
  <c r="Z11" i="3"/>
  <c r="Z12" i="3"/>
  <c r="Z13" i="3"/>
  <c r="Z14" i="3"/>
  <c r="Z15" i="3"/>
  <c r="Z16" i="3"/>
  <c r="Z17" i="3"/>
  <c r="Z18" i="3"/>
  <c r="Z19" i="3"/>
  <c r="Z20" i="3"/>
  <c r="Z21"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AA107" i="3"/>
  <c r="B108" i="3"/>
  <c r="Z7" i="3"/>
  <c r="O49" i="37" l="1"/>
  <c r="O52" i="37"/>
  <c r="O50" i="37"/>
  <c r="L45" i="37"/>
  <c r="H45" i="37"/>
  <c r="O45" i="37"/>
  <c r="K45" i="37"/>
  <c r="G45" i="37"/>
  <c r="J45" i="37"/>
  <c r="I45" i="37"/>
  <c r="O42" i="37"/>
  <c r="L72" i="36"/>
  <c r="L73" i="36" s="1"/>
  <c r="L74" i="36" s="1"/>
  <c r="L75" i="36" s="1"/>
  <c r="L76" i="36" s="1"/>
  <c r="L77" i="36" s="1"/>
  <c r="L78" i="36" s="1"/>
  <c r="L79" i="36" s="1"/>
  <c r="L80" i="36" s="1"/>
  <c r="L81" i="36" s="1"/>
  <c r="D72" i="36"/>
  <c r="K61" i="36"/>
  <c r="K67" i="36"/>
  <c r="K68" i="36"/>
  <c r="K69" i="36"/>
  <c r="K59" i="36"/>
  <c r="J29" i="33"/>
  <c r="J28" i="33"/>
  <c r="J27" i="33"/>
  <c r="J26" i="33"/>
  <c r="J25" i="33"/>
  <c r="J24" i="33"/>
  <c r="J23" i="33"/>
  <c r="J22" i="33"/>
  <c r="J21" i="33"/>
  <c r="J20" i="33"/>
  <c r="J19" i="33"/>
  <c r="J18" i="33"/>
  <c r="J17" i="33"/>
  <c r="J16" i="33"/>
  <c r="J15" i="33"/>
  <c r="J14" i="33"/>
  <c r="J13" i="33"/>
  <c r="J12" i="33"/>
  <c r="J11" i="33"/>
  <c r="J10" i="33"/>
  <c r="J9" i="33"/>
  <c r="M8" i="33"/>
  <c r="J8" i="33"/>
  <c r="L8" i="33"/>
  <c r="M7" i="33"/>
  <c r="J7" i="33"/>
  <c r="O48" i="37" l="1"/>
  <c r="O56" i="37"/>
  <c r="O58" i="37"/>
  <c r="L51" i="37"/>
  <c r="H51" i="37"/>
  <c r="O51" i="37"/>
  <c r="K51" i="37"/>
  <c r="G51" i="37"/>
  <c r="J51" i="37"/>
  <c r="I51" i="37"/>
  <c r="O55" i="37"/>
  <c r="K80" i="36"/>
  <c r="K70" i="36"/>
  <c r="K79" i="36"/>
  <c r="D83" i="36"/>
  <c r="K72" i="36"/>
  <c r="K78" i="36"/>
  <c r="L83" i="36"/>
  <c r="L84" i="36" s="1"/>
  <c r="L85" i="36" s="1"/>
  <c r="L86" i="36" s="1"/>
  <c r="L87" i="36" s="1"/>
  <c r="L88" i="36" s="1"/>
  <c r="L89" i="36" s="1"/>
  <c r="L90" i="36" s="1"/>
  <c r="L91" i="36" s="1"/>
  <c r="L92" i="36" s="1"/>
  <c r="L11" i="33"/>
  <c r="L9" i="33"/>
  <c r="L10" i="33"/>
  <c r="M10" i="33"/>
  <c r="M9" i="33"/>
  <c r="O62" i="37" l="1"/>
  <c r="O54" i="37"/>
  <c r="O61" i="37"/>
  <c r="O57" i="37"/>
  <c r="J57" i="37"/>
  <c r="K57" i="37"/>
  <c r="I57" i="37"/>
  <c r="L57" i="37"/>
  <c r="H57" i="37"/>
  <c r="G57" i="37"/>
  <c r="O64" i="37"/>
  <c r="L13" i="33"/>
  <c r="K90" i="36"/>
  <c r="K91" i="36"/>
  <c r="L94" i="36"/>
  <c r="L95" i="36" s="1"/>
  <c r="L96" i="36" s="1"/>
  <c r="L97" i="36" s="1"/>
  <c r="L98" i="36" s="1"/>
  <c r="L99" i="36" s="1"/>
  <c r="L100" i="36" s="1"/>
  <c r="L101" i="36" s="1"/>
  <c r="L102" i="36" s="1"/>
  <c r="L103" i="36" s="1"/>
  <c r="K89" i="36"/>
  <c r="D94" i="36"/>
  <c r="K83" i="36"/>
  <c r="K81" i="36"/>
  <c r="M12" i="33"/>
  <c r="M11" i="33"/>
  <c r="L12" i="33"/>
  <c r="AS8" i="30"/>
  <c r="AI8" i="30"/>
  <c r="AF1" i="30"/>
  <c r="AG1" i="30" s="1"/>
  <c r="Q9" i="8"/>
  <c r="P9" i="8"/>
  <c r="O9" i="8"/>
  <c r="N9" i="8"/>
  <c r="M9" i="8"/>
  <c r="C9" i="8"/>
  <c r="G9" i="8"/>
  <c r="F9" i="8"/>
  <c r="E9" i="8"/>
  <c r="D9" i="8"/>
  <c r="BF21" i="3"/>
  <c r="BG21" i="3" s="1"/>
  <c r="AJ8" i="30" l="1"/>
  <c r="O70" i="37"/>
  <c r="O60" i="37"/>
  <c r="O63" i="37"/>
  <c r="K63" i="37"/>
  <c r="G63" i="37"/>
  <c r="J63" i="37"/>
  <c r="L63" i="37"/>
  <c r="I63" i="37"/>
  <c r="H63" i="37"/>
  <c r="O67" i="37"/>
  <c r="O68" i="37"/>
  <c r="L15" i="33"/>
  <c r="K100" i="36"/>
  <c r="K102" i="36"/>
  <c r="K92" i="36"/>
  <c r="D105" i="36"/>
  <c r="K94" i="36"/>
  <c r="L105" i="36"/>
  <c r="L106" i="36" s="1"/>
  <c r="L107" i="36" s="1"/>
  <c r="L108" i="36" s="1"/>
  <c r="L109" i="36" s="1"/>
  <c r="L110" i="36" s="1"/>
  <c r="L111" i="36" s="1"/>
  <c r="L112" i="36" s="1"/>
  <c r="L113" i="36" s="1"/>
  <c r="L114" i="36" s="1"/>
  <c r="K101" i="36"/>
  <c r="AQ1" i="30"/>
  <c r="AT1" i="30" s="1"/>
  <c r="AU1" i="30" s="1"/>
  <c r="AS1" i="30" s="1"/>
  <c r="L14" i="33"/>
  <c r="M14" i="33"/>
  <c r="M13" i="33"/>
  <c r="AS72" i="3"/>
  <c r="AK8" i="30" l="1"/>
  <c r="O73" i="37"/>
  <c r="O74" i="37"/>
  <c r="O66" i="37"/>
  <c r="O76" i="37"/>
  <c r="O69" i="37"/>
  <c r="K69" i="37"/>
  <c r="G69" i="37"/>
  <c r="J69" i="37"/>
  <c r="I69" i="37"/>
  <c r="H69" i="37"/>
  <c r="L69" i="37"/>
  <c r="L17" i="33"/>
  <c r="K112" i="36"/>
  <c r="L116" i="36"/>
  <c r="L117" i="36" s="1"/>
  <c r="L118" i="36" s="1"/>
  <c r="L119" i="36" s="1"/>
  <c r="L120" i="36" s="1"/>
  <c r="L121" i="36" s="1"/>
  <c r="L122" i="36" s="1"/>
  <c r="L123" i="36" s="1"/>
  <c r="L124" i="36" s="1"/>
  <c r="L125" i="36" s="1"/>
  <c r="D116" i="36"/>
  <c r="K105" i="36"/>
  <c r="K113" i="36"/>
  <c r="K103" i="36"/>
  <c r="K111" i="36"/>
  <c r="L16" i="33"/>
  <c r="M16" i="33"/>
  <c r="M15" i="33"/>
  <c r="BE9" i="3"/>
  <c r="BE10" i="3"/>
  <c r="BE11" i="3"/>
  <c r="BE12" i="3"/>
  <c r="BE13" i="3"/>
  <c r="BE14" i="3"/>
  <c r="BE15" i="3"/>
  <c r="BE16" i="3"/>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AL8" i="30" l="1"/>
  <c r="O72" i="37"/>
  <c r="O75" i="37"/>
  <c r="K75" i="37"/>
  <c r="G75" i="37"/>
  <c r="J75" i="37"/>
  <c r="L75" i="37"/>
  <c r="I75" i="37"/>
  <c r="H75" i="37"/>
  <c r="L19" i="33"/>
  <c r="K122" i="36"/>
  <c r="K123" i="36"/>
  <c r="K114" i="36"/>
  <c r="K124" i="36"/>
  <c r="D127" i="36"/>
  <c r="K116" i="36"/>
  <c r="L127" i="36"/>
  <c r="L128" i="36" s="1"/>
  <c r="L129" i="36" s="1"/>
  <c r="L130" i="36" s="1"/>
  <c r="L131" i="36" s="1"/>
  <c r="L132" i="36" s="1"/>
  <c r="L133" i="36" s="1"/>
  <c r="L134" i="36" s="1"/>
  <c r="L135" i="36" s="1"/>
  <c r="L136" i="36" s="1"/>
  <c r="M18" i="33"/>
  <c r="M17" i="33"/>
  <c r="L18" i="33"/>
  <c r="L21" i="33" l="1"/>
  <c r="AM8" i="30"/>
  <c r="K133" i="36"/>
  <c r="K127" i="36"/>
  <c r="K135" i="36"/>
  <c r="K125" i="36"/>
  <c r="K134" i="36"/>
  <c r="L20" i="33"/>
  <c r="M20" i="33"/>
  <c r="M19" i="33"/>
  <c r="L23" i="33" l="1"/>
  <c r="AN8" i="30"/>
  <c r="K136" i="36"/>
  <c r="L25" i="33"/>
  <c r="L22" i="33"/>
  <c r="M22" i="33"/>
  <c r="M21" i="33"/>
  <c r="AO8" i="30" l="1"/>
  <c r="L27" i="33"/>
  <c r="M24" i="33"/>
  <c r="M23" i="33"/>
  <c r="L24" i="33"/>
  <c r="AP8" i="30" l="1"/>
  <c r="L29" i="33"/>
  <c r="L26" i="33"/>
  <c r="M26" i="33"/>
  <c r="M25" i="33"/>
  <c r="AQ8" i="30" l="1"/>
  <c r="L28" i="33"/>
  <c r="M28" i="33"/>
  <c r="M29" i="33" s="1"/>
  <c r="M27" i="33"/>
  <c r="T4" i="5" l="1"/>
  <c r="U4" i="5"/>
  <c r="I1" i="35"/>
  <c r="I9" i="35" s="1"/>
  <c r="U3" i="5"/>
  <c r="U2" i="5"/>
  <c r="T3" i="5"/>
  <c r="X2" i="5" l="1"/>
  <c r="I11" i="35"/>
  <c r="I10" i="35"/>
  <c r="W2" i="5"/>
  <c r="O10" i="5" s="1"/>
  <c r="AN11" i="6"/>
  <c r="T2" i="5"/>
  <c r="AO11" i="6"/>
  <c r="Z9" i="6" s="1"/>
  <c r="P10" i="5"/>
  <c r="P11" i="5" s="1"/>
  <c r="P12" i="5" s="1"/>
  <c r="P13" i="5" s="1"/>
  <c r="P14" i="5" s="1"/>
  <c r="P15" i="5" s="1"/>
  <c r="P16" i="5" s="1"/>
  <c r="P17" i="5" s="1"/>
  <c r="P18" i="5" s="1"/>
  <c r="P19" i="5" s="1"/>
  <c r="P20" i="5" s="1"/>
  <c r="P21" i="5" s="1"/>
  <c r="Q4" i="5"/>
  <c r="F13" i="2"/>
  <c r="Y9" i="6" l="1"/>
  <c r="J11" i="35"/>
  <c r="J9" i="35"/>
  <c r="Z10" i="6"/>
  <c r="Z18" i="6"/>
  <c r="Z12" i="6"/>
  <c r="Z20" i="6"/>
  <c r="Z11" i="6"/>
  <c r="Z14" i="6"/>
  <c r="Z13" i="6"/>
  <c r="Z15" i="6"/>
  <c r="Z16" i="6"/>
  <c r="Z17" i="6"/>
  <c r="Z19" i="6"/>
  <c r="J10" i="35"/>
  <c r="Y11" i="6"/>
  <c r="Y19" i="6"/>
  <c r="Y16" i="6"/>
  <c r="Y13" i="6"/>
  <c r="Y10" i="6"/>
  <c r="Y18" i="6"/>
  <c r="Y15" i="6"/>
  <c r="Y20" i="6"/>
  <c r="Y14" i="6"/>
  <c r="Y12" i="6"/>
  <c r="Y17" i="6"/>
  <c r="Q10" i="5" l="1"/>
  <c r="R10" i="5" s="1"/>
  <c r="R11" i="5" s="1"/>
  <c r="R12" i="5" s="1"/>
  <c r="R13" i="5" s="1"/>
  <c r="R14" i="5" s="1"/>
  <c r="R15" i="5" s="1"/>
  <c r="R16" i="5" s="1"/>
  <c r="R17" i="5" s="1"/>
  <c r="R18" i="5" s="1"/>
  <c r="R19" i="5" s="1"/>
  <c r="R20" i="5" s="1"/>
  <c r="R21" i="5" s="1"/>
  <c r="Q11" i="5" l="1"/>
  <c r="Q12" i="5" s="1"/>
  <c r="Z12" i="8"/>
  <c r="Z17" i="8"/>
  <c r="Z20" i="8"/>
  <c r="Z16" i="8"/>
  <c r="Z14" i="8"/>
  <c r="Z15" i="8"/>
  <c r="Z13" i="8"/>
  <c r="Z10" i="8"/>
  <c r="Z11" i="8"/>
  <c r="Z18" i="8"/>
  <c r="Z19" i="8"/>
  <c r="J10" i="53" l="1"/>
  <c r="I10" i="59"/>
  <c r="J13" i="53"/>
  <c r="I13" i="59"/>
  <c r="J12" i="53"/>
  <c r="I12" i="59"/>
  <c r="J8" i="53"/>
  <c r="I8" i="59"/>
  <c r="J14" i="53"/>
  <c r="I14" i="59"/>
  <c r="J16" i="53"/>
  <c r="I16" i="59"/>
  <c r="J15" i="53"/>
  <c r="I15" i="59"/>
  <c r="J9" i="53"/>
  <c r="I9" i="59"/>
  <c r="J17" i="53"/>
  <c r="I17" i="59"/>
  <c r="J11" i="53"/>
  <c r="I11" i="59"/>
  <c r="J18" i="53"/>
  <c r="I18" i="59"/>
  <c r="Q13" i="5"/>
  <c r="Q14" i="5" l="1"/>
  <c r="Q15" i="5" l="1"/>
  <c r="Q16" i="5" l="1"/>
  <c r="Q17" i="5" l="1"/>
  <c r="Q18" i="5" l="1"/>
  <c r="Q19" i="5" l="1"/>
  <c r="Q20" i="5" l="1"/>
  <c r="Q21" i="5" l="1"/>
  <c r="BA106" i="3" l="1"/>
  <c r="AZ106" i="3"/>
  <c r="AY106" i="3"/>
  <c r="AX106" i="3"/>
  <c r="AW106" i="3"/>
  <c r="AV106" i="3"/>
  <c r="AU106" i="3"/>
  <c r="AT106" i="3"/>
  <c r="AS106" i="3"/>
  <c r="AR106" i="3"/>
  <c r="AQ106" i="3"/>
  <c r="AP106" i="3"/>
  <c r="BA105" i="3"/>
  <c r="AZ105" i="3"/>
  <c r="AY105" i="3"/>
  <c r="AX105" i="3"/>
  <c r="AW105" i="3"/>
  <c r="AV105" i="3"/>
  <c r="AU105" i="3"/>
  <c r="AT105" i="3"/>
  <c r="AS105" i="3"/>
  <c r="AR105" i="3"/>
  <c r="AQ105" i="3"/>
  <c r="BA104" i="3"/>
  <c r="AZ104" i="3"/>
  <c r="AY104" i="3"/>
  <c r="AX104" i="3"/>
  <c r="AW104" i="3"/>
  <c r="AV104" i="3"/>
  <c r="AU104" i="3"/>
  <c r="AT104" i="3"/>
  <c r="AS104" i="3"/>
  <c r="AR104" i="3"/>
  <c r="AQ104" i="3"/>
  <c r="AP104" i="3"/>
  <c r="BA103" i="3"/>
  <c r="AZ103" i="3"/>
  <c r="AY103" i="3"/>
  <c r="AX103" i="3"/>
  <c r="AW103" i="3"/>
  <c r="AV103" i="3"/>
  <c r="AU103" i="3"/>
  <c r="AT103" i="3"/>
  <c r="AS103" i="3"/>
  <c r="AR103" i="3"/>
  <c r="AQ103" i="3"/>
  <c r="AP103" i="3"/>
  <c r="BA102" i="3"/>
  <c r="AZ102" i="3"/>
  <c r="AY102" i="3"/>
  <c r="AX102" i="3"/>
  <c r="AW102" i="3"/>
  <c r="AV102" i="3"/>
  <c r="AU102" i="3"/>
  <c r="AT102" i="3"/>
  <c r="AS102" i="3"/>
  <c r="AR102" i="3"/>
  <c r="AQ102" i="3"/>
  <c r="AP102" i="3"/>
  <c r="BA101" i="3"/>
  <c r="AZ101" i="3"/>
  <c r="AY101" i="3"/>
  <c r="AX101" i="3"/>
  <c r="AW101" i="3"/>
  <c r="AV101" i="3"/>
  <c r="AU101" i="3"/>
  <c r="AT101" i="3"/>
  <c r="AS101" i="3"/>
  <c r="AR101" i="3"/>
  <c r="AQ101" i="3"/>
  <c r="AP101" i="3"/>
  <c r="BA100" i="3"/>
  <c r="AZ100" i="3"/>
  <c r="AY100" i="3"/>
  <c r="AX100" i="3"/>
  <c r="AW100" i="3"/>
  <c r="AV100" i="3"/>
  <c r="AU100" i="3"/>
  <c r="AT100" i="3"/>
  <c r="AS100" i="3"/>
  <c r="AR100" i="3"/>
  <c r="AQ100" i="3"/>
  <c r="AP100" i="3"/>
  <c r="BA99" i="3"/>
  <c r="AZ99" i="3"/>
  <c r="AY99" i="3"/>
  <c r="AX99" i="3"/>
  <c r="AW99" i="3"/>
  <c r="AV99" i="3"/>
  <c r="AU99" i="3"/>
  <c r="AT99" i="3"/>
  <c r="AS99" i="3"/>
  <c r="AR99" i="3"/>
  <c r="AQ99" i="3"/>
  <c r="AP99" i="3"/>
  <c r="BA98" i="3"/>
  <c r="AZ98" i="3"/>
  <c r="AY98" i="3"/>
  <c r="AX98" i="3"/>
  <c r="AW98" i="3"/>
  <c r="AV98" i="3"/>
  <c r="AU98" i="3"/>
  <c r="AT98" i="3"/>
  <c r="AS98" i="3"/>
  <c r="AR98" i="3"/>
  <c r="AQ98" i="3"/>
  <c r="AP98" i="3"/>
  <c r="BA97" i="3"/>
  <c r="AZ97" i="3"/>
  <c r="AY97" i="3"/>
  <c r="AX97" i="3"/>
  <c r="AW97" i="3"/>
  <c r="AV97" i="3"/>
  <c r="AU97" i="3"/>
  <c r="AT97" i="3"/>
  <c r="AS97" i="3"/>
  <c r="AR97" i="3"/>
  <c r="AQ97" i="3"/>
  <c r="AP97" i="3"/>
  <c r="BA96" i="3"/>
  <c r="AZ96" i="3"/>
  <c r="AY96" i="3"/>
  <c r="AX96" i="3"/>
  <c r="AW96" i="3"/>
  <c r="AV96" i="3"/>
  <c r="AU96" i="3"/>
  <c r="AT96" i="3"/>
  <c r="AS96" i="3"/>
  <c r="AR96" i="3"/>
  <c r="AQ96" i="3"/>
  <c r="AP96" i="3"/>
  <c r="BA95" i="3"/>
  <c r="AZ95" i="3"/>
  <c r="AY95" i="3"/>
  <c r="AX95" i="3"/>
  <c r="AW95" i="3"/>
  <c r="AV95" i="3"/>
  <c r="AU95" i="3"/>
  <c r="AT95" i="3"/>
  <c r="AS95" i="3"/>
  <c r="AR95" i="3"/>
  <c r="AQ95" i="3"/>
  <c r="AP95" i="3"/>
  <c r="BA94" i="3"/>
  <c r="AZ94" i="3"/>
  <c r="AY94" i="3"/>
  <c r="AX94" i="3"/>
  <c r="AW94" i="3"/>
  <c r="AV94" i="3"/>
  <c r="AU94" i="3"/>
  <c r="AT94" i="3"/>
  <c r="AS94" i="3"/>
  <c r="AR94" i="3"/>
  <c r="AQ94" i="3"/>
  <c r="AP94" i="3"/>
  <c r="BA93" i="3"/>
  <c r="AZ93" i="3"/>
  <c r="AY93" i="3"/>
  <c r="AX93" i="3"/>
  <c r="AW93" i="3"/>
  <c r="AV93" i="3"/>
  <c r="AU93" i="3"/>
  <c r="AT93" i="3"/>
  <c r="AS93" i="3"/>
  <c r="AR93" i="3"/>
  <c r="AQ93" i="3"/>
  <c r="AP93" i="3"/>
  <c r="BA92" i="3"/>
  <c r="AZ92" i="3"/>
  <c r="AY92" i="3"/>
  <c r="AX92" i="3"/>
  <c r="AW92" i="3"/>
  <c r="AV92" i="3"/>
  <c r="AU92" i="3"/>
  <c r="AT92" i="3"/>
  <c r="AS92" i="3"/>
  <c r="AR92" i="3"/>
  <c r="AQ92" i="3"/>
  <c r="AP92" i="3"/>
  <c r="BA91" i="3"/>
  <c r="AZ91" i="3"/>
  <c r="AY91" i="3"/>
  <c r="AX91" i="3"/>
  <c r="AW91" i="3"/>
  <c r="AV91" i="3"/>
  <c r="AU91" i="3"/>
  <c r="AT91" i="3"/>
  <c r="AS91" i="3"/>
  <c r="AR91" i="3"/>
  <c r="AQ91" i="3"/>
  <c r="AP91" i="3"/>
  <c r="BA90" i="3"/>
  <c r="AZ90" i="3"/>
  <c r="AY90" i="3"/>
  <c r="AX90" i="3"/>
  <c r="AW90" i="3"/>
  <c r="AV90" i="3"/>
  <c r="AU90" i="3"/>
  <c r="AT90" i="3"/>
  <c r="AS90" i="3"/>
  <c r="AR90" i="3"/>
  <c r="AQ90" i="3"/>
  <c r="AP90" i="3"/>
  <c r="BA89" i="3"/>
  <c r="AZ89" i="3"/>
  <c r="AY89" i="3"/>
  <c r="AX89" i="3"/>
  <c r="AW89" i="3"/>
  <c r="AV89" i="3"/>
  <c r="AU89" i="3"/>
  <c r="AT89" i="3"/>
  <c r="AS89" i="3"/>
  <c r="AR89" i="3"/>
  <c r="AQ89" i="3"/>
  <c r="AP89" i="3"/>
  <c r="BA88" i="3"/>
  <c r="AZ88" i="3"/>
  <c r="AY88" i="3"/>
  <c r="AX88" i="3"/>
  <c r="AW88" i="3"/>
  <c r="AV88" i="3"/>
  <c r="AU88" i="3"/>
  <c r="AT88" i="3"/>
  <c r="AS88" i="3"/>
  <c r="AR88" i="3"/>
  <c r="AQ88" i="3"/>
  <c r="AP88" i="3"/>
  <c r="BA87" i="3"/>
  <c r="AZ87" i="3"/>
  <c r="AY87" i="3"/>
  <c r="AX87" i="3"/>
  <c r="AW87" i="3"/>
  <c r="AV87" i="3"/>
  <c r="AU87" i="3"/>
  <c r="AT87" i="3"/>
  <c r="AS87" i="3"/>
  <c r="AR87" i="3"/>
  <c r="AQ87" i="3"/>
  <c r="AP87" i="3"/>
  <c r="BA86" i="3"/>
  <c r="AZ86" i="3"/>
  <c r="AY86" i="3"/>
  <c r="AX86" i="3"/>
  <c r="AW86" i="3"/>
  <c r="AV86" i="3"/>
  <c r="AU86" i="3"/>
  <c r="AT86" i="3"/>
  <c r="AS86" i="3"/>
  <c r="AR86" i="3"/>
  <c r="AQ86" i="3"/>
  <c r="AP86" i="3"/>
  <c r="BA85" i="3"/>
  <c r="AZ85" i="3"/>
  <c r="AY85" i="3"/>
  <c r="AX85" i="3"/>
  <c r="AW85" i="3"/>
  <c r="AV85" i="3"/>
  <c r="AU85" i="3"/>
  <c r="AT85" i="3"/>
  <c r="AS85" i="3"/>
  <c r="AR85" i="3"/>
  <c r="AQ85" i="3"/>
  <c r="AP85" i="3"/>
  <c r="BA84" i="3"/>
  <c r="AZ84" i="3"/>
  <c r="AY84" i="3"/>
  <c r="AX84" i="3"/>
  <c r="AW84" i="3"/>
  <c r="AV84" i="3"/>
  <c r="AU84" i="3"/>
  <c r="AT84" i="3"/>
  <c r="AS84" i="3"/>
  <c r="AR84" i="3"/>
  <c r="AQ84" i="3"/>
  <c r="AP84" i="3"/>
  <c r="BA83" i="3"/>
  <c r="AZ83" i="3"/>
  <c r="AY83" i="3"/>
  <c r="AX83" i="3"/>
  <c r="AW83" i="3"/>
  <c r="AV83" i="3"/>
  <c r="AU83" i="3"/>
  <c r="AT83" i="3"/>
  <c r="AS83" i="3"/>
  <c r="AR83" i="3"/>
  <c r="AQ83" i="3"/>
  <c r="AP83" i="3"/>
  <c r="BA82" i="3"/>
  <c r="AZ82" i="3"/>
  <c r="AY82" i="3"/>
  <c r="AX82" i="3"/>
  <c r="AW82" i="3"/>
  <c r="AV82" i="3"/>
  <c r="AU82" i="3"/>
  <c r="AT82" i="3"/>
  <c r="AS82" i="3"/>
  <c r="AR82" i="3"/>
  <c r="AQ82" i="3"/>
  <c r="AP82" i="3"/>
  <c r="BA81" i="3"/>
  <c r="AZ81" i="3"/>
  <c r="AY81" i="3"/>
  <c r="AX81" i="3"/>
  <c r="AW81" i="3"/>
  <c r="AV81" i="3"/>
  <c r="AU81" i="3"/>
  <c r="AT81" i="3"/>
  <c r="AS81" i="3"/>
  <c r="AR81" i="3"/>
  <c r="AQ81" i="3"/>
  <c r="AP81" i="3"/>
  <c r="BA80" i="3"/>
  <c r="AZ80" i="3"/>
  <c r="AY80" i="3"/>
  <c r="AX80" i="3"/>
  <c r="AW80" i="3"/>
  <c r="AV80" i="3"/>
  <c r="AU80" i="3"/>
  <c r="AT80" i="3"/>
  <c r="AS80" i="3"/>
  <c r="AR80" i="3"/>
  <c r="AQ80" i="3"/>
  <c r="AP80" i="3"/>
  <c r="BA79" i="3"/>
  <c r="AZ79" i="3"/>
  <c r="AY79" i="3"/>
  <c r="AX79" i="3"/>
  <c r="AW79" i="3"/>
  <c r="AV79" i="3"/>
  <c r="AU79" i="3"/>
  <c r="AT79" i="3"/>
  <c r="AS79" i="3"/>
  <c r="AR79" i="3"/>
  <c r="AQ79" i="3"/>
  <c r="AP79" i="3"/>
  <c r="BA78" i="3"/>
  <c r="AZ78" i="3"/>
  <c r="AY78" i="3"/>
  <c r="AX78" i="3"/>
  <c r="AW78" i="3"/>
  <c r="AV78" i="3"/>
  <c r="AU78" i="3"/>
  <c r="AT78" i="3"/>
  <c r="AS78" i="3"/>
  <c r="AR78" i="3"/>
  <c r="AQ78" i="3"/>
  <c r="AP78" i="3"/>
  <c r="BA77" i="3"/>
  <c r="AZ77" i="3"/>
  <c r="AY77" i="3"/>
  <c r="AX77" i="3"/>
  <c r="AW77" i="3"/>
  <c r="AV77" i="3"/>
  <c r="AU77" i="3"/>
  <c r="AT77" i="3"/>
  <c r="AS77" i="3"/>
  <c r="AR77" i="3"/>
  <c r="AQ77" i="3"/>
  <c r="AP77" i="3"/>
  <c r="BA76" i="3"/>
  <c r="AZ76" i="3"/>
  <c r="AY76" i="3"/>
  <c r="AX76" i="3"/>
  <c r="AW76" i="3"/>
  <c r="AV76" i="3"/>
  <c r="AU76" i="3"/>
  <c r="AT76" i="3"/>
  <c r="AS76" i="3"/>
  <c r="AR76" i="3"/>
  <c r="AQ76" i="3"/>
  <c r="AP76" i="3"/>
  <c r="BA75" i="3"/>
  <c r="AZ75" i="3"/>
  <c r="AY75" i="3"/>
  <c r="AX75" i="3"/>
  <c r="AW75" i="3"/>
  <c r="AV75" i="3"/>
  <c r="AU75" i="3"/>
  <c r="AT75" i="3"/>
  <c r="AS75" i="3"/>
  <c r="AR75" i="3"/>
  <c r="AQ75" i="3"/>
  <c r="AP75" i="3"/>
  <c r="BA74" i="3"/>
  <c r="AZ74" i="3"/>
  <c r="AY74" i="3"/>
  <c r="AX74" i="3"/>
  <c r="AW74" i="3"/>
  <c r="AV74" i="3"/>
  <c r="AU74" i="3"/>
  <c r="AT74" i="3"/>
  <c r="AS74" i="3"/>
  <c r="AR74" i="3"/>
  <c r="AQ74" i="3"/>
  <c r="AP74" i="3"/>
  <c r="BA73" i="3"/>
  <c r="AZ73" i="3"/>
  <c r="AY73" i="3"/>
  <c r="AX73" i="3"/>
  <c r="AW73" i="3"/>
  <c r="AV73" i="3"/>
  <c r="AU73" i="3"/>
  <c r="AT73" i="3"/>
  <c r="AS73" i="3"/>
  <c r="AR73" i="3"/>
  <c r="AQ73" i="3"/>
  <c r="AP73" i="3"/>
  <c r="BA72" i="3"/>
  <c r="AZ72" i="3"/>
  <c r="AY72" i="3"/>
  <c r="AX72" i="3"/>
  <c r="AW72" i="3"/>
  <c r="AV72" i="3"/>
  <c r="AU72" i="3"/>
  <c r="AT72" i="3"/>
  <c r="AR72" i="3"/>
  <c r="AQ72" i="3"/>
  <c r="AP72" i="3"/>
  <c r="BA71" i="3"/>
  <c r="AZ71" i="3"/>
  <c r="AY71" i="3"/>
  <c r="AX71" i="3"/>
  <c r="AW71" i="3"/>
  <c r="AV71" i="3"/>
  <c r="AU71" i="3"/>
  <c r="AT71" i="3"/>
  <c r="AS71" i="3"/>
  <c r="AR71" i="3"/>
  <c r="AQ71" i="3"/>
  <c r="AP71" i="3"/>
  <c r="BA70" i="3"/>
  <c r="AZ70" i="3"/>
  <c r="AY70" i="3"/>
  <c r="AX70" i="3"/>
  <c r="AW70" i="3"/>
  <c r="AV70" i="3"/>
  <c r="AU70" i="3"/>
  <c r="AT70" i="3"/>
  <c r="AS70" i="3"/>
  <c r="AR70" i="3"/>
  <c r="AQ70" i="3"/>
  <c r="AP70" i="3"/>
  <c r="BA69" i="3"/>
  <c r="AZ69" i="3"/>
  <c r="AY69" i="3"/>
  <c r="AX69" i="3"/>
  <c r="AW69" i="3"/>
  <c r="AV69" i="3"/>
  <c r="AU69" i="3"/>
  <c r="AT69" i="3"/>
  <c r="AS69" i="3"/>
  <c r="AR69" i="3"/>
  <c r="AQ69" i="3"/>
  <c r="AP69" i="3"/>
  <c r="BA68" i="3"/>
  <c r="AZ68" i="3"/>
  <c r="AY68" i="3"/>
  <c r="AX68" i="3"/>
  <c r="AW68" i="3"/>
  <c r="AV68" i="3"/>
  <c r="AU68" i="3"/>
  <c r="AT68" i="3"/>
  <c r="AS68" i="3"/>
  <c r="AR68" i="3"/>
  <c r="AQ68" i="3"/>
  <c r="AP68" i="3"/>
  <c r="BA67" i="3"/>
  <c r="AZ67" i="3"/>
  <c r="AY67" i="3"/>
  <c r="AX67" i="3"/>
  <c r="AW67" i="3"/>
  <c r="AV67" i="3"/>
  <c r="AU67" i="3"/>
  <c r="AT67" i="3"/>
  <c r="AS67" i="3"/>
  <c r="AR67" i="3"/>
  <c r="AQ67" i="3"/>
  <c r="AP67" i="3"/>
  <c r="BA66" i="3"/>
  <c r="AZ66" i="3"/>
  <c r="AY66" i="3"/>
  <c r="AX66" i="3"/>
  <c r="AW66" i="3"/>
  <c r="AV66" i="3"/>
  <c r="AU66" i="3"/>
  <c r="AT66" i="3"/>
  <c r="AS66" i="3"/>
  <c r="AR66" i="3"/>
  <c r="AQ66" i="3"/>
  <c r="AP66" i="3"/>
  <c r="BA65" i="3"/>
  <c r="AZ65" i="3"/>
  <c r="AY65" i="3"/>
  <c r="AX65" i="3"/>
  <c r="AW65" i="3"/>
  <c r="AV65" i="3"/>
  <c r="AU65" i="3"/>
  <c r="AT65" i="3"/>
  <c r="AS65" i="3"/>
  <c r="AR65" i="3"/>
  <c r="AQ65" i="3"/>
  <c r="AP65" i="3"/>
  <c r="BA64" i="3"/>
  <c r="AZ64" i="3"/>
  <c r="AY64" i="3"/>
  <c r="AX64" i="3"/>
  <c r="AW64" i="3"/>
  <c r="AV64" i="3"/>
  <c r="AU64" i="3"/>
  <c r="AT64" i="3"/>
  <c r="AS64" i="3"/>
  <c r="AR64" i="3"/>
  <c r="AQ64" i="3"/>
  <c r="AP64" i="3"/>
  <c r="BA63" i="3"/>
  <c r="AZ63" i="3"/>
  <c r="AY63" i="3"/>
  <c r="AX63" i="3"/>
  <c r="AW63" i="3"/>
  <c r="AV63" i="3"/>
  <c r="AU63" i="3"/>
  <c r="AT63" i="3"/>
  <c r="AS63" i="3"/>
  <c r="AR63" i="3"/>
  <c r="AQ63" i="3"/>
  <c r="AP63" i="3"/>
  <c r="BA62" i="3"/>
  <c r="AZ62" i="3"/>
  <c r="AY62" i="3"/>
  <c r="AX62" i="3"/>
  <c r="AW62" i="3"/>
  <c r="AV62" i="3"/>
  <c r="AU62" i="3"/>
  <c r="AT62" i="3"/>
  <c r="AS62" i="3"/>
  <c r="AR62" i="3"/>
  <c r="AQ62" i="3"/>
  <c r="AP62" i="3"/>
  <c r="BA61" i="3"/>
  <c r="AZ61" i="3"/>
  <c r="AY61" i="3"/>
  <c r="AX61" i="3"/>
  <c r="AW61" i="3"/>
  <c r="AV61" i="3"/>
  <c r="AU61" i="3"/>
  <c r="AT61" i="3"/>
  <c r="AS61" i="3"/>
  <c r="AR61" i="3"/>
  <c r="AQ61" i="3"/>
  <c r="AP61" i="3"/>
  <c r="BA60" i="3"/>
  <c r="AZ60" i="3"/>
  <c r="AY60" i="3"/>
  <c r="AX60" i="3"/>
  <c r="AW60" i="3"/>
  <c r="AV60" i="3"/>
  <c r="AU60" i="3"/>
  <c r="AT60" i="3"/>
  <c r="AS60" i="3"/>
  <c r="AR60" i="3"/>
  <c r="AQ60" i="3"/>
  <c r="AP60" i="3"/>
  <c r="BA59" i="3"/>
  <c r="AZ59" i="3"/>
  <c r="AY59" i="3"/>
  <c r="AX59" i="3"/>
  <c r="AW59" i="3"/>
  <c r="AV59" i="3"/>
  <c r="AU59" i="3"/>
  <c r="AT59" i="3"/>
  <c r="AS59" i="3"/>
  <c r="AR59" i="3"/>
  <c r="AQ59" i="3"/>
  <c r="AP59" i="3"/>
  <c r="BA58" i="3"/>
  <c r="AZ58" i="3"/>
  <c r="AY58" i="3"/>
  <c r="AX58" i="3"/>
  <c r="AW58" i="3"/>
  <c r="AV58" i="3"/>
  <c r="AU58" i="3"/>
  <c r="AT58" i="3"/>
  <c r="AS58" i="3"/>
  <c r="AR58" i="3"/>
  <c r="AQ58" i="3"/>
  <c r="AP58" i="3"/>
  <c r="BA57" i="3"/>
  <c r="AZ57" i="3"/>
  <c r="AY57" i="3"/>
  <c r="AX57" i="3"/>
  <c r="AW57" i="3"/>
  <c r="AV57" i="3"/>
  <c r="AU57" i="3"/>
  <c r="AT57" i="3"/>
  <c r="AS57" i="3"/>
  <c r="AR57" i="3"/>
  <c r="AQ57" i="3"/>
  <c r="AP57" i="3"/>
  <c r="BA56" i="3"/>
  <c r="AZ56" i="3"/>
  <c r="AY56" i="3"/>
  <c r="AX56" i="3"/>
  <c r="AW56" i="3"/>
  <c r="AV56" i="3"/>
  <c r="AU56" i="3"/>
  <c r="AT56" i="3"/>
  <c r="AS56" i="3"/>
  <c r="AR56" i="3"/>
  <c r="AQ56" i="3"/>
  <c r="AP56" i="3"/>
  <c r="BA55" i="3"/>
  <c r="AZ55" i="3"/>
  <c r="AY55" i="3"/>
  <c r="AX55" i="3"/>
  <c r="AW55" i="3"/>
  <c r="AV55" i="3"/>
  <c r="AU55" i="3"/>
  <c r="AT55" i="3"/>
  <c r="AS55" i="3"/>
  <c r="AR55" i="3"/>
  <c r="AQ55" i="3"/>
  <c r="AP55" i="3"/>
  <c r="BA54" i="3"/>
  <c r="AZ54" i="3"/>
  <c r="AY54" i="3"/>
  <c r="AX54" i="3"/>
  <c r="AW54" i="3"/>
  <c r="AV54" i="3"/>
  <c r="AU54" i="3"/>
  <c r="AT54" i="3"/>
  <c r="AS54" i="3"/>
  <c r="AR54" i="3"/>
  <c r="AQ54" i="3"/>
  <c r="AP54" i="3"/>
  <c r="BA53" i="3"/>
  <c r="AZ53" i="3"/>
  <c r="AY53" i="3"/>
  <c r="AX53" i="3"/>
  <c r="AW53" i="3"/>
  <c r="AV53" i="3"/>
  <c r="AU53" i="3"/>
  <c r="AT53" i="3"/>
  <c r="AS53" i="3"/>
  <c r="AR53" i="3"/>
  <c r="AQ53" i="3"/>
  <c r="AP53" i="3"/>
  <c r="BA52" i="3"/>
  <c r="AZ52" i="3"/>
  <c r="AY52" i="3"/>
  <c r="AX52" i="3"/>
  <c r="AW52" i="3"/>
  <c r="AV52" i="3"/>
  <c r="AU52" i="3"/>
  <c r="AT52" i="3"/>
  <c r="AS52" i="3"/>
  <c r="AR52" i="3"/>
  <c r="AQ52" i="3"/>
  <c r="AP52" i="3"/>
  <c r="BA51" i="3"/>
  <c r="AZ51" i="3"/>
  <c r="AY51" i="3"/>
  <c r="AX51" i="3"/>
  <c r="AW51" i="3"/>
  <c r="AV51" i="3"/>
  <c r="AU51" i="3"/>
  <c r="AT51" i="3"/>
  <c r="AS51" i="3"/>
  <c r="AR51" i="3"/>
  <c r="AQ51" i="3"/>
  <c r="AP51" i="3"/>
  <c r="BA50" i="3"/>
  <c r="AZ50" i="3"/>
  <c r="AY50" i="3"/>
  <c r="AX50" i="3"/>
  <c r="AW50" i="3"/>
  <c r="AV50" i="3"/>
  <c r="AU50" i="3"/>
  <c r="AT50" i="3"/>
  <c r="AS50" i="3"/>
  <c r="AR50" i="3"/>
  <c r="AQ50" i="3"/>
  <c r="AP50" i="3"/>
  <c r="BA49" i="3"/>
  <c r="AZ49" i="3"/>
  <c r="AY49" i="3"/>
  <c r="AX49" i="3"/>
  <c r="AW49" i="3"/>
  <c r="AV49" i="3"/>
  <c r="AU49" i="3"/>
  <c r="AT49" i="3"/>
  <c r="AS49" i="3"/>
  <c r="AR49" i="3"/>
  <c r="AQ49" i="3"/>
  <c r="AP49" i="3"/>
  <c r="BA48" i="3"/>
  <c r="AZ48" i="3"/>
  <c r="AY48" i="3"/>
  <c r="AX48" i="3"/>
  <c r="AW48" i="3"/>
  <c r="AV48" i="3"/>
  <c r="AU48" i="3"/>
  <c r="AT48" i="3"/>
  <c r="AS48" i="3"/>
  <c r="AR48" i="3"/>
  <c r="AQ48" i="3"/>
  <c r="AP48" i="3"/>
  <c r="BA47" i="3"/>
  <c r="AZ47" i="3"/>
  <c r="AY47" i="3"/>
  <c r="AX47" i="3"/>
  <c r="AW47" i="3"/>
  <c r="AV47" i="3"/>
  <c r="AU47" i="3"/>
  <c r="AT47" i="3"/>
  <c r="AS47" i="3"/>
  <c r="AR47" i="3"/>
  <c r="AQ47" i="3"/>
  <c r="AP47" i="3"/>
  <c r="BA46" i="3"/>
  <c r="AZ46" i="3"/>
  <c r="AY46" i="3"/>
  <c r="AX46" i="3"/>
  <c r="AW46" i="3"/>
  <c r="AV46" i="3"/>
  <c r="AU46" i="3"/>
  <c r="AT46" i="3"/>
  <c r="AS46" i="3"/>
  <c r="AR46" i="3"/>
  <c r="AQ46" i="3"/>
  <c r="AP46" i="3"/>
  <c r="BA45" i="3"/>
  <c r="AZ45" i="3"/>
  <c r="AY45" i="3"/>
  <c r="AX45" i="3"/>
  <c r="AW45" i="3"/>
  <c r="AV45" i="3"/>
  <c r="AU45" i="3"/>
  <c r="AT45" i="3"/>
  <c r="AS45" i="3"/>
  <c r="AR45" i="3"/>
  <c r="AQ45" i="3"/>
  <c r="AP45" i="3"/>
  <c r="BA44" i="3"/>
  <c r="AZ44" i="3"/>
  <c r="AY44" i="3"/>
  <c r="AX44" i="3"/>
  <c r="AW44" i="3"/>
  <c r="AV44" i="3"/>
  <c r="AU44" i="3"/>
  <c r="AT44" i="3"/>
  <c r="AS44" i="3"/>
  <c r="AR44" i="3"/>
  <c r="AQ44" i="3"/>
  <c r="AP44" i="3"/>
  <c r="BA43" i="3"/>
  <c r="AZ43" i="3"/>
  <c r="AY43" i="3"/>
  <c r="AX43" i="3"/>
  <c r="AW43" i="3"/>
  <c r="AV43" i="3"/>
  <c r="AU43" i="3"/>
  <c r="AT43" i="3"/>
  <c r="AS43" i="3"/>
  <c r="AR43" i="3"/>
  <c r="AQ43" i="3"/>
  <c r="AP43" i="3"/>
  <c r="BA42" i="3"/>
  <c r="AZ42" i="3"/>
  <c r="AY42" i="3"/>
  <c r="AX42" i="3"/>
  <c r="AW42" i="3"/>
  <c r="AV42" i="3"/>
  <c r="AU42" i="3"/>
  <c r="AT42" i="3"/>
  <c r="AS42" i="3"/>
  <c r="AR42" i="3"/>
  <c r="AQ42" i="3"/>
  <c r="AP42" i="3"/>
  <c r="BA33" i="3"/>
  <c r="AZ33" i="3"/>
  <c r="AY33" i="3"/>
  <c r="AX33" i="3"/>
  <c r="AW33" i="3"/>
  <c r="AV33" i="3"/>
  <c r="AU33" i="3"/>
  <c r="AT33" i="3"/>
  <c r="AS33" i="3"/>
  <c r="AR33" i="3"/>
  <c r="AQ33" i="3"/>
  <c r="AP33" i="3"/>
  <c r="BA32" i="3"/>
  <c r="AZ32" i="3"/>
  <c r="AY32" i="3"/>
  <c r="AX32" i="3"/>
  <c r="AW32" i="3"/>
  <c r="AV32" i="3"/>
  <c r="AU32" i="3"/>
  <c r="AT32" i="3"/>
  <c r="AS32" i="3"/>
  <c r="AR32" i="3"/>
  <c r="AQ32" i="3"/>
  <c r="AP32" i="3"/>
  <c r="BA31" i="3"/>
  <c r="AZ31" i="3"/>
  <c r="AY31" i="3"/>
  <c r="AX31" i="3"/>
  <c r="AW31" i="3"/>
  <c r="AV31" i="3"/>
  <c r="AU31" i="3"/>
  <c r="AT31" i="3"/>
  <c r="AS31" i="3"/>
  <c r="AR31" i="3"/>
  <c r="AQ31" i="3"/>
  <c r="AP31" i="3"/>
  <c r="BB31" i="3" l="1"/>
  <c r="AA31" i="3" s="1"/>
  <c r="Y31" i="3" s="1"/>
  <c r="BB32" i="3"/>
  <c r="AA32" i="3" s="1"/>
  <c r="Y32" i="3" s="1"/>
  <c r="BB33" i="3"/>
  <c r="AA33" i="3" s="1"/>
  <c r="Y33" i="3" s="1"/>
  <c r="BB42" i="3"/>
  <c r="AA42" i="3" s="1"/>
  <c r="Y42" i="3" s="1"/>
  <c r="BB43" i="3"/>
  <c r="AA43" i="3" s="1"/>
  <c r="Y43" i="3" s="1"/>
  <c r="BB44" i="3"/>
  <c r="AA44" i="3" s="1"/>
  <c r="Y44" i="3" s="1"/>
  <c r="BB45" i="3"/>
  <c r="AA45" i="3" s="1"/>
  <c r="Y45" i="3" s="1"/>
  <c r="BB46" i="3"/>
  <c r="AA46" i="3" s="1"/>
  <c r="Y46" i="3" s="1"/>
  <c r="BB47" i="3"/>
  <c r="AA47" i="3" s="1"/>
  <c r="Y47" i="3" s="1"/>
  <c r="BB48" i="3"/>
  <c r="AA48" i="3" s="1"/>
  <c r="Y48" i="3" s="1"/>
  <c r="BB49" i="3"/>
  <c r="AA49" i="3" s="1"/>
  <c r="Y49" i="3" s="1"/>
  <c r="BB50" i="3"/>
  <c r="AA50" i="3" s="1"/>
  <c r="Y50" i="3" s="1"/>
  <c r="BB51" i="3"/>
  <c r="AA51" i="3" s="1"/>
  <c r="Y51" i="3" s="1"/>
  <c r="BB52" i="3"/>
  <c r="AA52" i="3" s="1"/>
  <c r="BB53" i="3"/>
  <c r="AA53" i="3" s="1"/>
  <c r="BB54" i="3"/>
  <c r="AA54" i="3" s="1"/>
  <c r="BB55" i="3"/>
  <c r="AA55" i="3" s="1"/>
  <c r="BB56" i="3"/>
  <c r="AA56" i="3" s="1"/>
  <c r="BB57" i="3"/>
  <c r="AA57" i="3" s="1"/>
  <c r="BB58" i="3"/>
  <c r="AA58" i="3" s="1"/>
  <c r="BB59" i="3"/>
  <c r="AA59" i="3" s="1"/>
  <c r="BB60" i="3"/>
  <c r="AA60" i="3" s="1"/>
  <c r="BB61" i="3"/>
  <c r="AA61" i="3" s="1"/>
  <c r="BB62" i="3"/>
  <c r="AA62" i="3" s="1"/>
  <c r="BB63" i="3"/>
  <c r="AA63" i="3" s="1"/>
  <c r="BB64" i="3"/>
  <c r="AA64" i="3" s="1"/>
  <c r="BB65" i="3"/>
  <c r="AA65" i="3" s="1"/>
  <c r="BB66" i="3"/>
  <c r="AA66" i="3" s="1"/>
  <c r="BB67" i="3"/>
  <c r="AA67" i="3" s="1"/>
  <c r="BB68" i="3"/>
  <c r="AA68" i="3" s="1"/>
  <c r="BB69" i="3"/>
  <c r="AA69" i="3" s="1"/>
  <c r="BB70" i="3"/>
  <c r="AA70" i="3" s="1"/>
  <c r="BB71" i="3"/>
  <c r="AA71" i="3" s="1"/>
  <c r="BB72" i="3"/>
  <c r="AA72" i="3" s="1"/>
  <c r="BB73" i="3"/>
  <c r="AA73" i="3" s="1"/>
  <c r="BB74" i="3"/>
  <c r="AA74" i="3" s="1"/>
  <c r="BB75" i="3"/>
  <c r="AA75" i="3" s="1"/>
  <c r="BB76" i="3"/>
  <c r="AA76" i="3" s="1"/>
  <c r="BB77" i="3"/>
  <c r="AA77" i="3" s="1"/>
  <c r="BB78" i="3"/>
  <c r="AA78" i="3" s="1"/>
  <c r="BB79" i="3"/>
  <c r="AA79" i="3" s="1"/>
  <c r="BB80" i="3"/>
  <c r="AA80" i="3" s="1"/>
  <c r="BB81" i="3"/>
  <c r="AA81" i="3" s="1"/>
  <c r="BB82" i="3"/>
  <c r="AA82" i="3" s="1"/>
  <c r="BB83" i="3"/>
  <c r="AA83" i="3" s="1"/>
  <c r="BB84" i="3"/>
  <c r="AA84" i="3" s="1"/>
  <c r="BB85" i="3"/>
  <c r="AA85" i="3" s="1"/>
  <c r="BB86" i="3"/>
  <c r="AA86" i="3" s="1"/>
  <c r="BB87" i="3"/>
  <c r="AA87" i="3" s="1"/>
  <c r="BB88" i="3"/>
  <c r="AA88" i="3" s="1"/>
  <c r="BB89" i="3"/>
  <c r="AA89" i="3" s="1"/>
  <c r="BB90" i="3"/>
  <c r="AA90" i="3" s="1"/>
  <c r="BB91" i="3"/>
  <c r="AA91" i="3" s="1"/>
  <c r="BB92" i="3"/>
  <c r="AA92" i="3" s="1"/>
  <c r="BB93" i="3"/>
  <c r="AA93" i="3" s="1"/>
  <c r="BB94" i="3"/>
  <c r="AA94" i="3" s="1"/>
  <c r="BB95" i="3"/>
  <c r="AA95" i="3" s="1"/>
  <c r="BB96" i="3"/>
  <c r="AA96" i="3" s="1"/>
  <c r="BB97" i="3"/>
  <c r="AA97" i="3" s="1"/>
  <c r="BB98" i="3"/>
  <c r="AA98" i="3" s="1"/>
  <c r="BB99" i="3"/>
  <c r="AA99" i="3" s="1"/>
  <c r="BB100" i="3"/>
  <c r="AA100" i="3" s="1"/>
  <c r="BB101" i="3"/>
  <c r="AA101" i="3" s="1"/>
  <c r="BB102" i="3"/>
  <c r="AA102" i="3" s="1"/>
  <c r="BB103" i="3"/>
  <c r="AA103" i="3" s="1"/>
  <c r="BB104" i="3"/>
  <c r="AA104" i="3" s="1"/>
  <c r="BB105" i="3"/>
  <c r="AA105" i="3" s="1"/>
  <c r="BB106" i="3"/>
  <c r="AA106" i="3" s="1"/>
  <c r="N21" i="5" l="1"/>
  <c r="M21" i="5"/>
  <c r="L21" i="5"/>
  <c r="J21" i="5"/>
  <c r="I21" i="5"/>
  <c r="N20" i="5"/>
  <c r="M20" i="5"/>
  <c r="L20" i="5"/>
  <c r="J20" i="5"/>
  <c r="I20" i="5"/>
  <c r="N19" i="5"/>
  <c r="M19" i="5"/>
  <c r="L19" i="5"/>
  <c r="J19" i="5"/>
  <c r="I19" i="5"/>
  <c r="N18" i="5"/>
  <c r="M18" i="5"/>
  <c r="L18" i="5"/>
  <c r="J18" i="5"/>
  <c r="I18" i="5"/>
  <c r="N17" i="5"/>
  <c r="M17" i="5"/>
  <c r="L17" i="5"/>
  <c r="J17" i="5"/>
  <c r="I17" i="5"/>
  <c r="N16" i="5"/>
  <c r="M16" i="5"/>
  <c r="L16" i="5"/>
  <c r="J16" i="5"/>
  <c r="I16" i="5"/>
  <c r="N15" i="5"/>
  <c r="M15" i="5"/>
  <c r="L15" i="5"/>
  <c r="J15" i="5"/>
  <c r="I15" i="5"/>
  <c r="N14" i="5"/>
  <c r="M14" i="5"/>
  <c r="L14" i="5"/>
  <c r="J14" i="5"/>
  <c r="I14" i="5"/>
  <c r="N13" i="5"/>
  <c r="M13" i="5"/>
  <c r="L13" i="5"/>
  <c r="J13" i="5"/>
  <c r="I13" i="5"/>
  <c r="N12" i="5"/>
  <c r="M12" i="5"/>
  <c r="L12" i="5"/>
  <c r="J12" i="5"/>
  <c r="I12" i="5"/>
  <c r="N11" i="5"/>
  <c r="M11" i="5"/>
  <c r="L11" i="5"/>
  <c r="J11" i="5"/>
  <c r="I11" i="5"/>
  <c r="N10" i="5"/>
  <c r="M10" i="5"/>
  <c r="L10" i="5"/>
  <c r="J10" i="5"/>
  <c r="I10" i="5"/>
  <c r="AE106" i="4"/>
  <c r="B106" i="4"/>
  <c r="AE105" i="4"/>
  <c r="B105" i="4"/>
  <c r="AE104" i="4"/>
  <c r="B104" i="4"/>
  <c r="AE103" i="4"/>
  <c r="B103" i="4"/>
  <c r="AE102" i="4"/>
  <c r="B102" i="4"/>
  <c r="AE101" i="4"/>
  <c r="B101" i="4"/>
  <c r="AE100" i="4"/>
  <c r="B100" i="4"/>
  <c r="AE99" i="4"/>
  <c r="B99" i="4"/>
  <c r="AE98" i="4"/>
  <c r="B98" i="4"/>
  <c r="AE97" i="4"/>
  <c r="B97" i="4"/>
  <c r="AE96" i="4"/>
  <c r="B96" i="4"/>
  <c r="AE95" i="4"/>
  <c r="B95" i="4"/>
  <c r="AE94" i="4"/>
  <c r="B94" i="4"/>
  <c r="AE93" i="4"/>
  <c r="B93" i="4"/>
  <c r="AE92" i="4"/>
  <c r="B92" i="4"/>
  <c r="AE91" i="4"/>
  <c r="B91" i="4"/>
  <c r="AE90" i="4"/>
  <c r="B90" i="4"/>
  <c r="AE89" i="4"/>
  <c r="B89" i="4"/>
  <c r="AE88" i="4"/>
  <c r="B88" i="4"/>
  <c r="AE87" i="4"/>
  <c r="B87" i="4"/>
  <c r="AE86" i="4"/>
  <c r="B86" i="4"/>
  <c r="AE85" i="4"/>
  <c r="B85" i="4"/>
  <c r="AE84" i="4"/>
  <c r="B84" i="4"/>
  <c r="AE83" i="4"/>
  <c r="B83" i="4"/>
  <c r="AE82" i="4"/>
  <c r="B82" i="4"/>
  <c r="AE81" i="4"/>
  <c r="B81" i="4"/>
  <c r="AE80" i="4"/>
  <c r="B80" i="4"/>
  <c r="AE79" i="4"/>
  <c r="B79" i="4"/>
  <c r="AE78" i="4"/>
  <c r="B78" i="4"/>
  <c r="AE77" i="4"/>
  <c r="B77" i="4"/>
  <c r="AE76" i="4"/>
  <c r="B76" i="4"/>
  <c r="AE75" i="4"/>
  <c r="B75" i="4"/>
  <c r="AE74" i="4"/>
  <c r="B74" i="4"/>
  <c r="AE73" i="4"/>
  <c r="B73" i="4"/>
  <c r="AE72" i="4"/>
  <c r="B72" i="4"/>
  <c r="AE71" i="4"/>
  <c r="B71" i="4"/>
  <c r="AE70" i="4"/>
  <c r="B70" i="4"/>
  <c r="AE69" i="4"/>
  <c r="B69" i="4"/>
  <c r="AE68" i="4"/>
  <c r="B68" i="4"/>
  <c r="AE67" i="4"/>
  <c r="B67" i="4"/>
  <c r="AE66" i="4"/>
  <c r="B66" i="4"/>
  <c r="AE65" i="4"/>
  <c r="B65" i="4"/>
  <c r="AE64" i="4"/>
  <c r="B64" i="4"/>
  <c r="AE63" i="4"/>
  <c r="B63" i="4"/>
  <c r="AE62" i="4"/>
  <c r="B62" i="4"/>
  <c r="AE61" i="4"/>
  <c r="B61" i="4"/>
  <c r="AE60" i="4"/>
  <c r="B60" i="4"/>
  <c r="AE59" i="4"/>
  <c r="B59" i="4"/>
  <c r="AE58" i="4"/>
  <c r="B58" i="4"/>
  <c r="AE57" i="4"/>
  <c r="B57" i="4"/>
  <c r="AE56" i="4"/>
  <c r="B56" i="4"/>
  <c r="AE55" i="4"/>
  <c r="B55" i="4"/>
  <c r="AE54" i="4"/>
  <c r="B54" i="4"/>
  <c r="AE53" i="4"/>
  <c r="B53" i="4"/>
  <c r="AE52" i="4"/>
  <c r="B52" i="4"/>
  <c r="AE51" i="4"/>
  <c r="B51" i="4"/>
  <c r="AE50" i="4"/>
  <c r="B50" i="4"/>
  <c r="AE49" i="4"/>
  <c r="B49" i="4"/>
  <c r="AE48" i="4"/>
  <c r="B48" i="4"/>
  <c r="AE47" i="4"/>
  <c r="B47" i="4"/>
  <c r="AE46" i="4"/>
  <c r="B46" i="4"/>
  <c r="AE45" i="4"/>
  <c r="B45" i="4"/>
  <c r="AE44" i="4"/>
  <c r="B44" i="4"/>
  <c r="AE43" i="4"/>
  <c r="B43" i="4"/>
  <c r="AE42" i="4"/>
  <c r="B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H7" i="4"/>
  <c r="AE7" i="4"/>
  <c r="AH8" i="4"/>
  <c r="BI106" i="3"/>
  <c r="BF106" i="3"/>
  <c r="BG106" i="3" s="1"/>
  <c r="BI105" i="3"/>
  <c r="BF105" i="3"/>
  <c r="BG105" i="3" s="1"/>
  <c r="BI104" i="3"/>
  <c r="BF104" i="3"/>
  <c r="BI103" i="3"/>
  <c r="BF103" i="3"/>
  <c r="BI102" i="3"/>
  <c r="BF102" i="3"/>
  <c r="BI101" i="3"/>
  <c r="BF101" i="3"/>
  <c r="BG101" i="3" s="1"/>
  <c r="BI100" i="3"/>
  <c r="BF100" i="3"/>
  <c r="BG100" i="3" s="1"/>
  <c r="BI99" i="3"/>
  <c r="BF99" i="3"/>
  <c r="BI98" i="3"/>
  <c r="BF98" i="3"/>
  <c r="BG98" i="3" s="1"/>
  <c r="BI97" i="3"/>
  <c r="BF97" i="3"/>
  <c r="BG97" i="3" s="1"/>
  <c r="BI96" i="3"/>
  <c r="BF96" i="3"/>
  <c r="BI95" i="3"/>
  <c r="BF95" i="3"/>
  <c r="BI94" i="3"/>
  <c r="BF94" i="3"/>
  <c r="BI93" i="3"/>
  <c r="BF93" i="3"/>
  <c r="BG93" i="3" s="1"/>
  <c r="BI92" i="3"/>
  <c r="BF92" i="3"/>
  <c r="BG92" i="3" s="1"/>
  <c r="BI91" i="3"/>
  <c r="BF91" i="3"/>
  <c r="BG91" i="3" s="1"/>
  <c r="BH91" i="3" s="1"/>
  <c r="BI90" i="3"/>
  <c r="BF90" i="3"/>
  <c r="BG90" i="3" s="1"/>
  <c r="BI89" i="3"/>
  <c r="BF89" i="3"/>
  <c r="BG89" i="3" s="1"/>
  <c r="BI88" i="3"/>
  <c r="BF88" i="3"/>
  <c r="BI87" i="3"/>
  <c r="BF87" i="3"/>
  <c r="BG87" i="3" s="1"/>
  <c r="BH87" i="3" s="1"/>
  <c r="BI86" i="3"/>
  <c r="BF86" i="3"/>
  <c r="BI85" i="3"/>
  <c r="BF85" i="3"/>
  <c r="BG85" i="3" s="1"/>
  <c r="BI84" i="3"/>
  <c r="BF84" i="3"/>
  <c r="BG84" i="3" s="1"/>
  <c r="BI83" i="3"/>
  <c r="BF83" i="3"/>
  <c r="BG83" i="3" s="1"/>
  <c r="BH83" i="3" s="1"/>
  <c r="BI82" i="3"/>
  <c r="BF82" i="3"/>
  <c r="BG82" i="3" s="1"/>
  <c r="BI81" i="3"/>
  <c r="BF81" i="3"/>
  <c r="BG81" i="3" s="1"/>
  <c r="BI80" i="3"/>
  <c r="BF80" i="3"/>
  <c r="BI79" i="3"/>
  <c r="BF79" i="3"/>
  <c r="BI78" i="3"/>
  <c r="BF78" i="3"/>
  <c r="BI77" i="3"/>
  <c r="BF77" i="3"/>
  <c r="BG77" i="3" s="1"/>
  <c r="BI76" i="3"/>
  <c r="BF76" i="3"/>
  <c r="BG76" i="3" s="1"/>
  <c r="BI75" i="3"/>
  <c r="BF75" i="3"/>
  <c r="BG75" i="3" s="1"/>
  <c r="BH75" i="3" s="1"/>
  <c r="BI74" i="3"/>
  <c r="BF74" i="3"/>
  <c r="BG74" i="3" s="1"/>
  <c r="BI73" i="3"/>
  <c r="BF73" i="3"/>
  <c r="BG73" i="3" s="1"/>
  <c r="BI72" i="3"/>
  <c r="BF72" i="3"/>
  <c r="BI71" i="3"/>
  <c r="BF71" i="3"/>
  <c r="BG71" i="3" s="1"/>
  <c r="BH71" i="3" s="1"/>
  <c r="BI70" i="3"/>
  <c r="BF70" i="3"/>
  <c r="BI69" i="3"/>
  <c r="BF69" i="3"/>
  <c r="BI68" i="3"/>
  <c r="BF68" i="3"/>
  <c r="BG68" i="3" s="1"/>
  <c r="BI67" i="3"/>
  <c r="BF67" i="3"/>
  <c r="BG67" i="3" s="1"/>
  <c r="BH67" i="3" s="1"/>
  <c r="BI66" i="3"/>
  <c r="BF66" i="3"/>
  <c r="BG66" i="3" s="1"/>
  <c r="BI65" i="3"/>
  <c r="BF65" i="3"/>
  <c r="BG65" i="3" s="1"/>
  <c r="BI64" i="3"/>
  <c r="BF64" i="3"/>
  <c r="BI63" i="3"/>
  <c r="BF63" i="3"/>
  <c r="BG63" i="3" s="1"/>
  <c r="BI62" i="3"/>
  <c r="BF62" i="3"/>
  <c r="BG62" i="3" s="1"/>
  <c r="BI61" i="3"/>
  <c r="BF61" i="3"/>
  <c r="BG61" i="3" s="1"/>
  <c r="BI60" i="3"/>
  <c r="BF60" i="3"/>
  <c r="BG60" i="3" s="1"/>
  <c r="BI59" i="3"/>
  <c r="BF59" i="3"/>
  <c r="BG59" i="3" s="1"/>
  <c r="BI58" i="3"/>
  <c r="BF58" i="3"/>
  <c r="BI57" i="3"/>
  <c r="BF57" i="3"/>
  <c r="BI56" i="3"/>
  <c r="BF56" i="3"/>
  <c r="BI55" i="3"/>
  <c r="BF55" i="3"/>
  <c r="BG55" i="3" s="1"/>
  <c r="BI54" i="3"/>
  <c r="BF54" i="3"/>
  <c r="BI53" i="3"/>
  <c r="BF53" i="3"/>
  <c r="BG53" i="3" s="1"/>
  <c r="BH53" i="3" s="1"/>
  <c r="BI52" i="3"/>
  <c r="BF52" i="3"/>
  <c r="BG52" i="3" s="1"/>
  <c r="BH52" i="3" s="1"/>
  <c r="BI51" i="3"/>
  <c r="BF51" i="3"/>
  <c r="BI50" i="3"/>
  <c r="BF50" i="3"/>
  <c r="BI49" i="3"/>
  <c r="BF49" i="3"/>
  <c r="BG49" i="3" s="1"/>
  <c r="BH49" i="3" s="1"/>
  <c r="BI48" i="3"/>
  <c r="BF48" i="3"/>
  <c r="BG48" i="3" s="1"/>
  <c r="BH48" i="3" s="1"/>
  <c r="BI47" i="3"/>
  <c r="BF47" i="3"/>
  <c r="BI46" i="3"/>
  <c r="BF46" i="3"/>
  <c r="BI45" i="3"/>
  <c r="BF45" i="3"/>
  <c r="BG45" i="3" s="1"/>
  <c r="BH45" i="3" s="1"/>
  <c r="BI44" i="3"/>
  <c r="BF44" i="3"/>
  <c r="BG44" i="3" s="1"/>
  <c r="BH44" i="3" s="1"/>
  <c r="BI43" i="3"/>
  <c r="BF43" i="3"/>
  <c r="BI42" i="3"/>
  <c r="BF42" i="3"/>
  <c r="BI41" i="3"/>
  <c r="BF41" i="3"/>
  <c r="BG41" i="3" s="1"/>
  <c r="BH41" i="3" s="1"/>
  <c r="BI40" i="3"/>
  <c r="BF40" i="3"/>
  <c r="BG40" i="3" s="1"/>
  <c r="BH40" i="3" s="1"/>
  <c r="BI39" i="3"/>
  <c r="BF39" i="3"/>
  <c r="BI38" i="3"/>
  <c r="BF38" i="3"/>
  <c r="BI37" i="3"/>
  <c r="BF37" i="3"/>
  <c r="BG37" i="3" s="1"/>
  <c r="BH37" i="3" s="1"/>
  <c r="BI36" i="3"/>
  <c r="BF36" i="3"/>
  <c r="BG36" i="3" s="1"/>
  <c r="BH36" i="3" s="1"/>
  <c r="BI35" i="3"/>
  <c r="BF35" i="3"/>
  <c r="BI34" i="3"/>
  <c r="BF34" i="3"/>
  <c r="BI33" i="3"/>
  <c r="BF33" i="3"/>
  <c r="BG33" i="3" s="1"/>
  <c r="BH33" i="3" s="1"/>
  <c r="B33" i="4"/>
  <c r="BI32" i="3"/>
  <c r="BF32" i="3"/>
  <c r="BG32" i="3" s="1"/>
  <c r="BH32" i="3" s="1"/>
  <c r="B32" i="4"/>
  <c r="BI31" i="3"/>
  <c r="BF31" i="3"/>
  <c r="B31" i="4"/>
  <c r="BI30" i="3"/>
  <c r="BF30" i="3"/>
  <c r="BI29" i="3"/>
  <c r="BF29" i="3"/>
  <c r="BG29" i="3" s="1"/>
  <c r="BH29" i="3" s="1"/>
  <c r="BI28" i="3"/>
  <c r="BF28" i="3"/>
  <c r="BG28" i="3" s="1"/>
  <c r="BH28" i="3" s="1"/>
  <c r="BI27" i="3"/>
  <c r="BF27" i="3"/>
  <c r="BI26" i="3"/>
  <c r="BF26" i="3"/>
  <c r="BI25" i="3"/>
  <c r="BF25" i="3"/>
  <c r="BG25" i="3" s="1"/>
  <c r="BH25" i="3" s="1"/>
  <c r="BI24" i="3"/>
  <c r="BF24" i="3"/>
  <c r="BG24" i="3" s="1"/>
  <c r="BH24" i="3" s="1"/>
  <c r="BI23" i="3"/>
  <c r="BF23" i="3"/>
  <c r="BI22" i="3"/>
  <c r="BF22" i="3"/>
  <c r="BI21" i="3"/>
  <c r="BH21" i="3"/>
  <c r="BI20" i="3"/>
  <c r="BF20" i="3"/>
  <c r="BG20" i="3" s="1"/>
  <c r="BH20" i="3" s="1"/>
  <c r="BI19" i="3"/>
  <c r="BF19" i="3"/>
  <c r="BG19" i="3" s="1"/>
  <c r="BI18" i="3"/>
  <c r="BF18" i="3"/>
  <c r="BI17" i="3"/>
  <c r="BF17" i="3"/>
  <c r="BG17" i="3" s="1"/>
  <c r="BH17" i="3" s="1"/>
  <c r="BI16" i="3"/>
  <c r="BF16" i="3"/>
  <c r="BG16" i="3" s="1"/>
  <c r="BH16" i="3" s="1"/>
  <c r="BI15" i="3"/>
  <c r="BF15" i="3"/>
  <c r="BI14" i="3"/>
  <c r="BF14" i="3"/>
  <c r="BI13" i="3"/>
  <c r="BF13" i="3"/>
  <c r="BG13" i="3" s="1"/>
  <c r="BH13" i="3" s="1"/>
  <c r="BI12" i="3"/>
  <c r="BF12" i="3"/>
  <c r="BG12" i="3" s="1"/>
  <c r="BH12" i="3" s="1"/>
  <c r="BF11" i="3"/>
  <c r="BI10" i="3"/>
  <c r="BF10" i="3"/>
  <c r="BI9" i="3"/>
  <c r="BF9" i="3"/>
  <c r="BG9" i="3" s="1"/>
  <c r="BH9" i="3" s="1"/>
  <c r="BF8" i="3"/>
  <c r="BG8" i="3" s="1"/>
  <c r="BH8" i="3" s="1"/>
  <c r="BI7" i="3"/>
  <c r="BF7" i="3"/>
  <c r="AG8" i="2"/>
  <c r="AG9" i="2" s="1"/>
  <c r="AH7" i="2"/>
  <c r="AH8" i="2" s="1"/>
  <c r="AH9" i="2" s="1"/>
  <c r="L53" i="4" l="1"/>
  <c r="M53" i="4"/>
  <c r="N53" i="4"/>
  <c r="O53" i="4"/>
  <c r="P53" i="4"/>
  <c r="Q53" i="4"/>
  <c r="L59" i="4"/>
  <c r="M59" i="4"/>
  <c r="N59" i="4"/>
  <c r="O59" i="4"/>
  <c r="P59" i="4"/>
  <c r="Q59" i="4"/>
  <c r="L65" i="4"/>
  <c r="M65" i="4"/>
  <c r="N65" i="4"/>
  <c r="O65" i="4"/>
  <c r="P65" i="4"/>
  <c r="Q65" i="4"/>
  <c r="L71" i="4"/>
  <c r="M71" i="4"/>
  <c r="N71" i="4"/>
  <c r="O71" i="4"/>
  <c r="P71" i="4"/>
  <c r="Q71" i="4"/>
  <c r="L77" i="4"/>
  <c r="M77" i="4"/>
  <c r="N77" i="4"/>
  <c r="O77" i="4"/>
  <c r="P77" i="4"/>
  <c r="Q77" i="4"/>
  <c r="L89" i="4"/>
  <c r="M89" i="4"/>
  <c r="N89" i="4"/>
  <c r="O89" i="4"/>
  <c r="P89" i="4"/>
  <c r="Q89" i="4"/>
  <c r="L95" i="4"/>
  <c r="M95" i="4"/>
  <c r="N95" i="4"/>
  <c r="O95" i="4"/>
  <c r="P95" i="4"/>
  <c r="Q95" i="4"/>
  <c r="L101" i="4"/>
  <c r="M101" i="4"/>
  <c r="N101" i="4"/>
  <c r="O101" i="4"/>
  <c r="P101" i="4"/>
  <c r="Q101" i="4"/>
  <c r="L47" i="4"/>
  <c r="M47" i="4"/>
  <c r="N47" i="4"/>
  <c r="O47" i="4"/>
  <c r="P47" i="4"/>
  <c r="Q47" i="4"/>
  <c r="L83" i="4"/>
  <c r="M83" i="4"/>
  <c r="N83" i="4"/>
  <c r="O83" i="4"/>
  <c r="P83" i="4"/>
  <c r="Q83" i="4"/>
  <c r="L31" i="4"/>
  <c r="M31" i="4"/>
  <c r="N31" i="4"/>
  <c r="O31" i="4"/>
  <c r="P31" i="4"/>
  <c r="Q31" i="4"/>
  <c r="P42" i="4"/>
  <c r="Q42" i="4"/>
  <c r="L42" i="4"/>
  <c r="O42" i="4"/>
  <c r="M42" i="4"/>
  <c r="N42" i="4"/>
  <c r="Q48" i="4"/>
  <c r="O48" i="4"/>
  <c r="P48" i="4"/>
  <c r="L48" i="4"/>
  <c r="M48" i="4"/>
  <c r="N48" i="4"/>
  <c r="Q54" i="4"/>
  <c r="P54" i="4"/>
  <c r="O54" i="4"/>
  <c r="L54" i="4"/>
  <c r="M54" i="4"/>
  <c r="N54" i="4"/>
  <c r="Q60" i="4"/>
  <c r="L60" i="4"/>
  <c r="P60" i="4"/>
  <c r="M60" i="4"/>
  <c r="O60" i="4"/>
  <c r="N60" i="4"/>
  <c r="Q66" i="4"/>
  <c r="P66" i="4"/>
  <c r="L66" i="4"/>
  <c r="M66" i="4"/>
  <c r="N66" i="4"/>
  <c r="O66" i="4"/>
  <c r="Q72" i="4"/>
  <c r="P72" i="4"/>
  <c r="O72" i="4"/>
  <c r="L72" i="4"/>
  <c r="M72" i="4"/>
  <c r="N72" i="4"/>
  <c r="Q78" i="4"/>
  <c r="P78" i="4"/>
  <c r="L78" i="4"/>
  <c r="O78" i="4"/>
  <c r="M78" i="4"/>
  <c r="N78" i="4"/>
  <c r="Q84" i="4"/>
  <c r="P84" i="4"/>
  <c r="O84" i="4"/>
  <c r="L84" i="4"/>
  <c r="M84" i="4"/>
  <c r="N84" i="4"/>
  <c r="Q96" i="4"/>
  <c r="O96" i="4"/>
  <c r="P96" i="4"/>
  <c r="L96" i="4"/>
  <c r="M96" i="4"/>
  <c r="N96" i="4"/>
  <c r="Q102" i="4"/>
  <c r="P102" i="4"/>
  <c r="L102" i="4"/>
  <c r="M102" i="4"/>
  <c r="N102" i="4"/>
  <c r="O102" i="4"/>
  <c r="Q90" i="4"/>
  <c r="O90" i="4"/>
  <c r="P90" i="4"/>
  <c r="L90" i="4"/>
  <c r="M90" i="4"/>
  <c r="N90" i="4"/>
  <c r="L61" i="4"/>
  <c r="M61" i="4"/>
  <c r="N61" i="4"/>
  <c r="O61" i="4"/>
  <c r="P61" i="4"/>
  <c r="Q61" i="4"/>
  <c r="L67" i="4"/>
  <c r="M67" i="4"/>
  <c r="N67" i="4"/>
  <c r="O67" i="4"/>
  <c r="P67" i="4"/>
  <c r="Q67" i="4"/>
  <c r="L73" i="4"/>
  <c r="M73" i="4"/>
  <c r="N73" i="4"/>
  <c r="O73" i="4"/>
  <c r="P73" i="4"/>
  <c r="Q73" i="4"/>
  <c r="L85" i="4"/>
  <c r="M85" i="4"/>
  <c r="N85" i="4"/>
  <c r="O85" i="4"/>
  <c r="P85" i="4"/>
  <c r="Q85" i="4"/>
  <c r="L91" i="4"/>
  <c r="M91" i="4"/>
  <c r="N91" i="4"/>
  <c r="O91" i="4"/>
  <c r="P91" i="4"/>
  <c r="Q91" i="4"/>
  <c r="L97" i="4"/>
  <c r="M97" i="4"/>
  <c r="N97" i="4"/>
  <c r="O97" i="4"/>
  <c r="P97" i="4"/>
  <c r="Q97" i="4"/>
  <c r="L103" i="4"/>
  <c r="M103" i="4"/>
  <c r="N103" i="4"/>
  <c r="O103" i="4"/>
  <c r="P103" i="4"/>
  <c r="Q103" i="4"/>
  <c r="L55" i="4"/>
  <c r="M55" i="4"/>
  <c r="N55" i="4"/>
  <c r="O55" i="4"/>
  <c r="P55" i="4"/>
  <c r="Q55" i="4"/>
  <c r="L79" i="4"/>
  <c r="M79" i="4"/>
  <c r="N79" i="4"/>
  <c r="O79" i="4"/>
  <c r="P79" i="4"/>
  <c r="Q79" i="4"/>
  <c r="P32" i="4"/>
  <c r="Q32" i="4"/>
  <c r="O32" i="4"/>
  <c r="L32" i="4"/>
  <c r="M32" i="4"/>
  <c r="N32" i="4"/>
  <c r="P44" i="4"/>
  <c r="Q44" i="4"/>
  <c r="L44" i="4"/>
  <c r="M44" i="4"/>
  <c r="N44" i="4"/>
  <c r="O44" i="4"/>
  <c r="Q50" i="4"/>
  <c r="P50" i="4"/>
  <c r="L50" i="4"/>
  <c r="M50" i="4"/>
  <c r="N50" i="4"/>
  <c r="O50" i="4"/>
  <c r="Q56" i="4"/>
  <c r="L56" i="4"/>
  <c r="M56" i="4"/>
  <c r="N56" i="4"/>
  <c r="O56" i="4"/>
  <c r="P56" i="4"/>
  <c r="Q62" i="4"/>
  <c r="L62" i="4"/>
  <c r="O62" i="4"/>
  <c r="M62" i="4"/>
  <c r="P62" i="4"/>
  <c r="N62" i="4"/>
  <c r="Q74" i="4"/>
  <c r="P74" i="4"/>
  <c r="L74" i="4"/>
  <c r="M74" i="4"/>
  <c r="O74" i="4"/>
  <c r="N74" i="4"/>
  <c r="Q80" i="4"/>
  <c r="O80" i="4"/>
  <c r="P80" i="4"/>
  <c r="L80" i="4"/>
  <c r="M80" i="4"/>
  <c r="N80" i="4"/>
  <c r="Q86" i="4"/>
  <c r="O86" i="4"/>
  <c r="L86" i="4"/>
  <c r="P86" i="4"/>
  <c r="M86" i="4"/>
  <c r="N86" i="4"/>
  <c r="Q92" i="4"/>
  <c r="P92" i="4"/>
  <c r="L92" i="4"/>
  <c r="O92" i="4"/>
  <c r="M92" i="4"/>
  <c r="N92" i="4"/>
  <c r="Q98" i="4"/>
  <c r="P98" i="4"/>
  <c r="O98" i="4"/>
  <c r="L98" i="4"/>
  <c r="M98" i="4"/>
  <c r="N98" i="4"/>
  <c r="Q104" i="4"/>
  <c r="O104" i="4"/>
  <c r="L104" i="4"/>
  <c r="P104" i="4"/>
  <c r="M104" i="4"/>
  <c r="N104" i="4"/>
  <c r="Q68" i="4"/>
  <c r="O68" i="4"/>
  <c r="P68" i="4"/>
  <c r="L68" i="4"/>
  <c r="M68" i="4"/>
  <c r="N68" i="4"/>
  <c r="L45" i="4"/>
  <c r="M45" i="4"/>
  <c r="N45" i="4"/>
  <c r="O45" i="4"/>
  <c r="P45" i="4"/>
  <c r="Q45" i="4"/>
  <c r="L51" i="4"/>
  <c r="M51" i="4"/>
  <c r="N51" i="4"/>
  <c r="O51" i="4"/>
  <c r="P51" i="4"/>
  <c r="Q51" i="4"/>
  <c r="L57" i="4"/>
  <c r="M57" i="4"/>
  <c r="N57" i="4"/>
  <c r="O57" i="4"/>
  <c r="P57" i="4"/>
  <c r="Q57" i="4"/>
  <c r="L69" i="4"/>
  <c r="M69" i="4"/>
  <c r="N69" i="4"/>
  <c r="O69" i="4"/>
  <c r="P69" i="4"/>
  <c r="Q69" i="4"/>
  <c r="L75" i="4"/>
  <c r="M75" i="4"/>
  <c r="N75" i="4"/>
  <c r="O75" i="4"/>
  <c r="P75" i="4"/>
  <c r="Q75" i="4"/>
  <c r="L81" i="4"/>
  <c r="M81" i="4"/>
  <c r="N81" i="4"/>
  <c r="O81" i="4"/>
  <c r="P81" i="4"/>
  <c r="Q81" i="4"/>
  <c r="L87" i="4"/>
  <c r="M87" i="4"/>
  <c r="N87" i="4"/>
  <c r="O87" i="4"/>
  <c r="P87" i="4"/>
  <c r="Q87" i="4"/>
  <c r="L93" i="4"/>
  <c r="M93" i="4"/>
  <c r="N93" i="4"/>
  <c r="O93" i="4"/>
  <c r="P93" i="4"/>
  <c r="Q93" i="4"/>
  <c r="L99" i="4"/>
  <c r="N99" i="4"/>
  <c r="M99" i="4"/>
  <c r="O99" i="4"/>
  <c r="P99" i="4"/>
  <c r="Q99" i="4"/>
  <c r="L105" i="4"/>
  <c r="M105" i="4"/>
  <c r="N105" i="4"/>
  <c r="O105" i="4"/>
  <c r="P105" i="4"/>
  <c r="Q105" i="4"/>
  <c r="L49" i="4"/>
  <c r="M49" i="4"/>
  <c r="N49" i="4"/>
  <c r="O49" i="4"/>
  <c r="P49" i="4"/>
  <c r="Q49" i="4"/>
  <c r="L63" i="4"/>
  <c r="M63" i="4"/>
  <c r="N63" i="4"/>
  <c r="O63" i="4"/>
  <c r="P63" i="4"/>
  <c r="Q63" i="4"/>
  <c r="L43" i="4"/>
  <c r="M43" i="4"/>
  <c r="N43" i="4"/>
  <c r="O43" i="4"/>
  <c r="P43" i="4"/>
  <c r="Q43" i="4"/>
  <c r="L33" i="4"/>
  <c r="M33" i="4"/>
  <c r="N33" i="4"/>
  <c r="O33" i="4"/>
  <c r="P33" i="4"/>
  <c r="Q33" i="4"/>
  <c r="Q46" i="4"/>
  <c r="L46" i="4"/>
  <c r="M46" i="4"/>
  <c r="O46" i="4"/>
  <c r="P46" i="4"/>
  <c r="N46" i="4"/>
  <c r="Q52" i="4"/>
  <c r="P52" i="4"/>
  <c r="L52" i="4"/>
  <c r="O52" i="4"/>
  <c r="M52" i="4"/>
  <c r="N52" i="4"/>
  <c r="Q58" i="4"/>
  <c r="O58" i="4"/>
  <c r="P58" i="4"/>
  <c r="L58" i="4"/>
  <c r="M58" i="4"/>
  <c r="N58" i="4"/>
  <c r="Q70" i="4"/>
  <c r="L70" i="4"/>
  <c r="O70" i="4"/>
  <c r="M70" i="4"/>
  <c r="N70" i="4"/>
  <c r="P70" i="4"/>
  <c r="Q76" i="4"/>
  <c r="O76" i="4"/>
  <c r="L76" i="4"/>
  <c r="M76" i="4"/>
  <c r="P76" i="4"/>
  <c r="N76" i="4"/>
  <c r="Q82" i="4"/>
  <c r="P82" i="4"/>
  <c r="L82" i="4"/>
  <c r="M82" i="4"/>
  <c r="N82" i="4"/>
  <c r="O82" i="4"/>
  <c r="P88" i="4"/>
  <c r="Q88" i="4"/>
  <c r="O88" i="4"/>
  <c r="L88" i="4"/>
  <c r="M88" i="4"/>
  <c r="N88" i="4"/>
  <c r="Q94" i="4"/>
  <c r="L94" i="4"/>
  <c r="M94" i="4"/>
  <c r="O94" i="4"/>
  <c r="P94" i="4"/>
  <c r="N94" i="4"/>
  <c r="Q100" i="4"/>
  <c r="P100" i="4"/>
  <c r="L100" i="4"/>
  <c r="O100" i="4"/>
  <c r="M100" i="4"/>
  <c r="N100" i="4"/>
  <c r="Q106" i="4"/>
  <c r="P106" i="4"/>
  <c r="O106" i="4"/>
  <c r="L106" i="4"/>
  <c r="M106" i="4"/>
  <c r="N106" i="4"/>
  <c r="Q64" i="4"/>
  <c r="O64" i="4"/>
  <c r="P64" i="4"/>
  <c r="L64" i="4"/>
  <c r="M64" i="4"/>
  <c r="N64" i="4"/>
  <c r="K47" i="4"/>
  <c r="K53" i="4"/>
  <c r="K59" i="4"/>
  <c r="K65" i="4"/>
  <c r="K71" i="4"/>
  <c r="K77" i="4"/>
  <c r="K83" i="4"/>
  <c r="K89" i="4"/>
  <c r="K95" i="4"/>
  <c r="K101" i="4"/>
  <c r="K60" i="4"/>
  <c r="K66" i="4"/>
  <c r="K72" i="4"/>
  <c r="K78" i="4"/>
  <c r="K90" i="4"/>
  <c r="K96" i="4"/>
  <c r="K102" i="4"/>
  <c r="K84" i="4"/>
  <c r="K42" i="4"/>
  <c r="K43" i="4"/>
  <c r="K49" i="4"/>
  <c r="K61" i="4"/>
  <c r="K67" i="4"/>
  <c r="K73" i="4"/>
  <c r="K79" i="4"/>
  <c r="K85" i="4"/>
  <c r="K91" i="4"/>
  <c r="K97" i="4"/>
  <c r="K103" i="4"/>
  <c r="K54" i="4"/>
  <c r="K55" i="4"/>
  <c r="K32" i="4"/>
  <c r="K31" i="4"/>
  <c r="K44" i="4"/>
  <c r="K50" i="4"/>
  <c r="K56" i="4"/>
  <c r="K62" i="4"/>
  <c r="K68" i="4"/>
  <c r="K74" i="4"/>
  <c r="K80" i="4"/>
  <c r="K86" i="4"/>
  <c r="K98" i="4"/>
  <c r="K104" i="4"/>
  <c r="K92" i="4"/>
  <c r="K45" i="4"/>
  <c r="K51" i="4"/>
  <c r="K57" i="4"/>
  <c r="K63" i="4"/>
  <c r="K69" i="4"/>
  <c r="K81" i="4"/>
  <c r="K87" i="4"/>
  <c r="K93" i="4"/>
  <c r="K99" i="4"/>
  <c r="K105" i="4"/>
  <c r="K48" i="4"/>
  <c r="K75" i="4"/>
  <c r="K33" i="4"/>
  <c r="K46" i="4"/>
  <c r="K52" i="4"/>
  <c r="K64" i="4"/>
  <c r="K70" i="4"/>
  <c r="K76" i="4"/>
  <c r="K82" i="4"/>
  <c r="K88" i="4"/>
  <c r="K94" i="4"/>
  <c r="K100" i="4"/>
  <c r="K106" i="4"/>
  <c r="K58" i="4"/>
  <c r="AG10" i="2"/>
  <c r="AG11" i="2" s="1"/>
  <c r="AG12" i="2" s="1"/>
  <c r="AG13" i="2" s="1"/>
  <c r="AG14" i="2" s="1"/>
  <c r="AG15" i="2" s="1"/>
  <c r="AG16" i="2" s="1"/>
  <c r="AG17" i="2" s="1"/>
  <c r="AG18" i="2" s="1"/>
  <c r="AG19" i="2" s="1"/>
  <c r="AG20" i="2" s="1"/>
  <c r="AG21" i="2" s="1"/>
  <c r="AG22" i="2" s="1"/>
  <c r="AG23" i="2" s="1"/>
  <c r="AG24" i="2" s="1"/>
  <c r="AG25" i="2" s="1"/>
  <c r="I45" i="4"/>
  <c r="J45" i="4"/>
  <c r="G45" i="4"/>
  <c r="H45" i="4"/>
  <c r="I49" i="4"/>
  <c r="J49" i="4"/>
  <c r="G49" i="4"/>
  <c r="H49" i="4"/>
  <c r="I53" i="4"/>
  <c r="H53" i="4"/>
  <c r="J53" i="4"/>
  <c r="G53" i="4"/>
  <c r="I59" i="4"/>
  <c r="J59" i="4"/>
  <c r="H59" i="4"/>
  <c r="G59" i="4"/>
  <c r="I65" i="4"/>
  <c r="J65" i="4"/>
  <c r="H65" i="4"/>
  <c r="G65" i="4"/>
  <c r="I71" i="4"/>
  <c r="G71" i="4"/>
  <c r="H71" i="4"/>
  <c r="J71" i="4"/>
  <c r="H77" i="4"/>
  <c r="I77" i="4"/>
  <c r="G77" i="4"/>
  <c r="J77" i="4"/>
  <c r="H81" i="4"/>
  <c r="I81" i="4"/>
  <c r="J81" i="4"/>
  <c r="G81" i="4"/>
  <c r="H87" i="4"/>
  <c r="G87" i="4"/>
  <c r="J87" i="4"/>
  <c r="I87" i="4"/>
  <c r="H97" i="4"/>
  <c r="I97" i="4"/>
  <c r="J97" i="4"/>
  <c r="G97" i="4"/>
  <c r="J32" i="4"/>
  <c r="G32" i="4"/>
  <c r="I32" i="4"/>
  <c r="H32" i="4"/>
  <c r="I43" i="4"/>
  <c r="J43" i="4"/>
  <c r="G43" i="4"/>
  <c r="H43" i="4"/>
  <c r="I51" i="4"/>
  <c r="G51" i="4"/>
  <c r="J51" i="4"/>
  <c r="H51" i="4"/>
  <c r="I57" i="4"/>
  <c r="J57" i="4"/>
  <c r="H57" i="4"/>
  <c r="G57" i="4"/>
  <c r="I63" i="4"/>
  <c r="J63" i="4"/>
  <c r="H63" i="4"/>
  <c r="G63" i="4"/>
  <c r="I69" i="4"/>
  <c r="J69" i="4"/>
  <c r="H69" i="4"/>
  <c r="G69" i="4"/>
  <c r="H75" i="4"/>
  <c r="G75" i="4"/>
  <c r="J75" i="4"/>
  <c r="I75" i="4"/>
  <c r="H83" i="4"/>
  <c r="G83" i="4"/>
  <c r="I83" i="4"/>
  <c r="J83" i="4"/>
  <c r="H89" i="4"/>
  <c r="I89" i="4"/>
  <c r="J89" i="4"/>
  <c r="G89" i="4"/>
  <c r="H93" i="4"/>
  <c r="I93" i="4"/>
  <c r="J93" i="4"/>
  <c r="G93" i="4"/>
  <c r="H99" i="4"/>
  <c r="G99" i="4"/>
  <c r="I99" i="4"/>
  <c r="J99" i="4"/>
  <c r="H105" i="4"/>
  <c r="I105" i="4"/>
  <c r="J105" i="4"/>
  <c r="G105" i="4"/>
  <c r="H31" i="4"/>
  <c r="J31" i="4"/>
  <c r="I31" i="4"/>
  <c r="G31" i="4"/>
  <c r="I42" i="4"/>
  <c r="J42" i="4"/>
  <c r="H42" i="4"/>
  <c r="G42" i="4"/>
  <c r="I44" i="4"/>
  <c r="J44" i="4"/>
  <c r="H44" i="4"/>
  <c r="G44" i="4"/>
  <c r="I46" i="4"/>
  <c r="J46" i="4"/>
  <c r="H46" i="4"/>
  <c r="G46" i="4"/>
  <c r="I48" i="4"/>
  <c r="J48" i="4"/>
  <c r="H48" i="4"/>
  <c r="G48" i="4"/>
  <c r="I50" i="4"/>
  <c r="J50" i="4"/>
  <c r="H50" i="4"/>
  <c r="G50" i="4"/>
  <c r="I52" i="4"/>
  <c r="J52" i="4"/>
  <c r="H52" i="4"/>
  <c r="G52" i="4"/>
  <c r="I54" i="4"/>
  <c r="J54" i="4"/>
  <c r="H54" i="4"/>
  <c r="G54" i="4"/>
  <c r="I56" i="4"/>
  <c r="J56" i="4"/>
  <c r="H56" i="4"/>
  <c r="G56" i="4"/>
  <c r="I58" i="4"/>
  <c r="J58" i="4"/>
  <c r="G58" i="4"/>
  <c r="H58" i="4"/>
  <c r="I60" i="4"/>
  <c r="J60" i="4"/>
  <c r="G60" i="4"/>
  <c r="H60" i="4"/>
  <c r="I62" i="4"/>
  <c r="J62" i="4"/>
  <c r="H62" i="4"/>
  <c r="G62" i="4"/>
  <c r="I64" i="4"/>
  <c r="J64" i="4"/>
  <c r="H64" i="4"/>
  <c r="G64" i="4"/>
  <c r="I66" i="4"/>
  <c r="J66" i="4"/>
  <c r="G66" i="4"/>
  <c r="H66" i="4"/>
  <c r="I68" i="4"/>
  <c r="G68" i="4"/>
  <c r="H68" i="4"/>
  <c r="J68" i="4"/>
  <c r="I70" i="4"/>
  <c r="H70" i="4"/>
  <c r="G70" i="4"/>
  <c r="J70" i="4"/>
  <c r="I72" i="4"/>
  <c r="H72" i="4"/>
  <c r="G72" i="4"/>
  <c r="J72" i="4"/>
  <c r="H74" i="4"/>
  <c r="G74" i="4"/>
  <c r="I74" i="4"/>
  <c r="J74" i="4"/>
  <c r="H76" i="4"/>
  <c r="J76" i="4"/>
  <c r="I76" i="4"/>
  <c r="G76" i="4"/>
  <c r="H78" i="4"/>
  <c r="G78" i="4"/>
  <c r="J78" i="4"/>
  <c r="I78" i="4"/>
  <c r="H80" i="4"/>
  <c r="J80" i="4"/>
  <c r="G80" i="4"/>
  <c r="I80" i="4"/>
  <c r="H82" i="4"/>
  <c r="G82" i="4"/>
  <c r="I82" i="4"/>
  <c r="J82" i="4"/>
  <c r="H84" i="4"/>
  <c r="J84" i="4"/>
  <c r="G84" i="4"/>
  <c r="I84" i="4"/>
  <c r="H86" i="4"/>
  <c r="G86" i="4"/>
  <c r="I86" i="4"/>
  <c r="J86" i="4"/>
  <c r="H88" i="4"/>
  <c r="J88" i="4"/>
  <c r="G88" i="4"/>
  <c r="I88" i="4"/>
  <c r="H90" i="4"/>
  <c r="G90" i="4"/>
  <c r="J90" i="4"/>
  <c r="I90" i="4"/>
  <c r="H92" i="4"/>
  <c r="J92" i="4"/>
  <c r="G92" i="4"/>
  <c r="I92" i="4"/>
  <c r="H94" i="4"/>
  <c r="G94" i="4"/>
  <c r="I94" i="4"/>
  <c r="J94" i="4"/>
  <c r="H96" i="4"/>
  <c r="J96" i="4"/>
  <c r="G96" i="4"/>
  <c r="I96" i="4"/>
  <c r="H98" i="4"/>
  <c r="G98" i="4"/>
  <c r="I98" i="4"/>
  <c r="J98" i="4"/>
  <c r="H100" i="4"/>
  <c r="J100" i="4"/>
  <c r="G100" i="4"/>
  <c r="I100" i="4"/>
  <c r="H102" i="4"/>
  <c r="G102" i="4"/>
  <c r="I102" i="4"/>
  <c r="J102" i="4"/>
  <c r="H104" i="4"/>
  <c r="J104" i="4"/>
  <c r="G104" i="4"/>
  <c r="I104" i="4"/>
  <c r="H106" i="4"/>
  <c r="G106" i="4"/>
  <c r="I106" i="4"/>
  <c r="J106" i="4"/>
  <c r="J33" i="4"/>
  <c r="I33" i="4"/>
  <c r="H33" i="4"/>
  <c r="G33" i="4"/>
  <c r="I47" i="4"/>
  <c r="J47" i="4"/>
  <c r="G47" i="4"/>
  <c r="H47" i="4"/>
  <c r="I55" i="4"/>
  <c r="J55" i="4"/>
  <c r="H55" i="4"/>
  <c r="G55" i="4"/>
  <c r="I61" i="4"/>
  <c r="J61" i="4"/>
  <c r="H61" i="4"/>
  <c r="G61" i="4"/>
  <c r="I67" i="4"/>
  <c r="G67" i="4"/>
  <c r="J67" i="4"/>
  <c r="H67" i="4"/>
  <c r="H73" i="4"/>
  <c r="I73" i="4"/>
  <c r="J73" i="4"/>
  <c r="G73" i="4"/>
  <c r="H79" i="4"/>
  <c r="G79" i="4"/>
  <c r="I79" i="4"/>
  <c r="J79" i="4"/>
  <c r="H85" i="4"/>
  <c r="I85" i="4"/>
  <c r="G85" i="4"/>
  <c r="J85" i="4"/>
  <c r="H91" i="4"/>
  <c r="I91" i="4"/>
  <c r="G91" i="4"/>
  <c r="J91" i="4"/>
  <c r="H95" i="4"/>
  <c r="G95" i="4"/>
  <c r="I95" i="4"/>
  <c r="J95" i="4"/>
  <c r="H101" i="4"/>
  <c r="I101" i="4"/>
  <c r="J101" i="4"/>
  <c r="G101" i="4"/>
  <c r="H103" i="4"/>
  <c r="G103" i="4"/>
  <c r="I103" i="4"/>
  <c r="J103" i="4"/>
  <c r="E45" i="4"/>
  <c r="E49" i="4"/>
  <c r="E53" i="4"/>
  <c r="E33" i="4"/>
  <c r="E43" i="4"/>
  <c r="E47" i="4"/>
  <c r="E51" i="4"/>
  <c r="E55" i="4"/>
  <c r="E32" i="4"/>
  <c r="E42" i="4"/>
  <c r="E46" i="4"/>
  <c r="E50" i="4"/>
  <c r="E54" i="4"/>
  <c r="E31" i="4"/>
  <c r="E44" i="4"/>
  <c r="E48" i="4"/>
  <c r="E52" i="4"/>
  <c r="E57" i="4"/>
  <c r="E59" i="4"/>
  <c r="E61" i="4"/>
  <c r="E63" i="4"/>
  <c r="E65" i="4"/>
  <c r="E67" i="4"/>
  <c r="E69" i="4"/>
  <c r="E71" i="4"/>
  <c r="E73" i="4"/>
  <c r="E75" i="4"/>
  <c r="E77" i="4"/>
  <c r="E79" i="4"/>
  <c r="E81" i="4"/>
  <c r="E83" i="4"/>
  <c r="E85" i="4"/>
  <c r="E87" i="4"/>
  <c r="E89" i="4"/>
  <c r="E91" i="4"/>
  <c r="E93" i="4"/>
  <c r="E95" i="4"/>
  <c r="E97" i="4"/>
  <c r="E99" i="4"/>
  <c r="E101" i="4"/>
  <c r="E103" i="4"/>
  <c r="E105" i="4"/>
  <c r="E56" i="4"/>
  <c r="E58" i="4"/>
  <c r="E60" i="4"/>
  <c r="E62" i="4"/>
  <c r="E64" i="4"/>
  <c r="E66" i="4"/>
  <c r="E68" i="4"/>
  <c r="E70" i="4"/>
  <c r="E72" i="4"/>
  <c r="E74" i="4"/>
  <c r="E76" i="4"/>
  <c r="E78" i="4"/>
  <c r="E80" i="4"/>
  <c r="E82" i="4"/>
  <c r="E84" i="4"/>
  <c r="E86" i="4"/>
  <c r="E88" i="4"/>
  <c r="E90" i="4"/>
  <c r="E92" i="4"/>
  <c r="E94" i="4"/>
  <c r="E96" i="4"/>
  <c r="E98" i="4"/>
  <c r="E100" i="4"/>
  <c r="E102" i="4"/>
  <c r="E104" i="4"/>
  <c r="E106" i="4"/>
  <c r="H10" i="6"/>
  <c r="B10" i="8"/>
  <c r="L10" i="7"/>
  <c r="B10" i="32"/>
  <c r="B9" i="8"/>
  <c r="B9" i="32"/>
  <c r="AH10" i="2"/>
  <c r="AH11" i="2" s="1"/>
  <c r="AH12" i="2" s="1"/>
  <c r="AH13" i="2" s="1"/>
  <c r="AH14" i="2" s="1"/>
  <c r="AH15" i="2" s="1"/>
  <c r="AH16" i="2" s="1"/>
  <c r="AH17" i="2" s="1"/>
  <c r="AH18" i="2" s="1"/>
  <c r="AH19" i="2" s="1"/>
  <c r="AH20" i="2" s="1"/>
  <c r="AH21" i="2" s="1"/>
  <c r="AH22" i="2" s="1"/>
  <c r="AH23" i="2" s="1"/>
  <c r="AH24" i="2" s="1"/>
  <c r="AH25" i="2" s="1"/>
  <c r="AH26" i="2" s="1"/>
  <c r="AH27" i="2" s="1"/>
  <c r="AH28" i="2" s="1"/>
  <c r="AH29" i="2" s="1"/>
  <c r="AH30" i="2" s="1"/>
  <c r="AH31" i="2" s="1"/>
  <c r="AH32" i="2" s="1"/>
  <c r="AH33" i="2" s="1"/>
  <c r="AH34" i="2" s="1"/>
  <c r="AH35" i="2" s="1"/>
  <c r="AH36" i="2" s="1"/>
  <c r="AH37" i="2" s="1"/>
  <c r="AH38" i="2" s="1"/>
  <c r="AH40" i="2" s="1"/>
  <c r="AH41" i="2" s="1"/>
  <c r="AH42" i="2" s="1"/>
  <c r="AH43" i="2" s="1"/>
  <c r="AH44" i="2" s="1"/>
  <c r="AH45" i="2" s="1"/>
  <c r="U10" i="5"/>
  <c r="T10" i="5"/>
  <c r="O11" i="5"/>
  <c r="I12" i="35"/>
  <c r="AC32" i="4"/>
  <c r="W32" i="4"/>
  <c r="Z59" i="4"/>
  <c r="AC67" i="4"/>
  <c r="X77" i="4"/>
  <c r="Z87" i="4"/>
  <c r="Z78" i="4"/>
  <c r="AB88" i="4"/>
  <c r="AC90" i="4"/>
  <c r="W92" i="4"/>
  <c r="W65" i="4"/>
  <c r="V69" i="4"/>
  <c r="AB79" i="4"/>
  <c r="AB83" i="4"/>
  <c r="R91" i="4"/>
  <c r="R97" i="4"/>
  <c r="Z103" i="4"/>
  <c r="AA73" i="4"/>
  <c r="S52" i="4"/>
  <c r="AB56" i="4"/>
  <c r="AA58" i="4"/>
  <c r="T64" i="4"/>
  <c r="AB68" i="4"/>
  <c r="V55" i="4"/>
  <c r="AA78" i="4"/>
  <c r="W60" i="4"/>
  <c r="S61" i="4"/>
  <c r="Z71" i="4"/>
  <c r="V103" i="4"/>
  <c r="R57" i="4"/>
  <c r="U62" i="4"/>
  <c r="AC72" i="4"/>
  <c r="AA32" i="4"/>
  <c r="AA45" i="4"/>
  <c r="T56" i="4"/>
  <c r="AA60" i="4"/>
  <c r="Y66" i="4"/>
  <c r="S72" i="4"/>
  <c r="AB76" i="4"/>
  <c r="AC80" i="4"/>
  <c r="U82" i="4"/>
  <c r="R86" i="4"/>
  <c r="V101" i="4"/>
  <c r="AC59" i="4"/>
  <c r="S32" i="4"/>
  <c r="AB32" i="4"/>
  <c r="S60" i="4"/>
  <c r="AB60" i="4"/>
  <c r="R69" i="4"/>
  <c r="X72" i="4"/>
  <c r="AC76" i="4"/>
  <c r="U80" i="4"/>
  <c r="V82" i="4"/>
  <c r="U92" i="4"/>
  <c r="U76" i="4"/>
  <c r="AB80" i="4"/>
  <c r="S82" i="4"/>
  <c r="AB31" i="4"/>
  <c r="U32" i="4"/>
  <c r="U60" i="4"/>
  <c r="AC60" i="4"/>
  <c r="V67" i="4"/>
  <c r="Y71" i="4"/>
  <c r="AA72" i="4"/>
  <c r="X80" i="4"/>
  <c r="C77" i="4"/>
  <c r="D77" i="4" s="1"/>
  <c r="C78" i="4"/>
  <c r="D78" i="4" s="1"/>
  <c r="C79" i="4"/>
  <c r="D79" i="4" s="1"/>
  <c r="C80" i="4"/>
  <c r="D80" i="4" s="1"/>
  <c r="C82" i="4"/>
  <c r="D82" i="4" s="1"/>
  <c r="C93" i="4"/>
  <c r="D93" i="4" s="1"/>
  <c r="C37" i="4"/>
  <c r="C38" i="4"/>
  <c r="C39" i="4"/>
  <c r="C40" i="4"/>
  <c r="C64" i="4"/>
  <c r="D64" i="4" s="1"/>
  <c r="C66" i="4"/>
  <c r="D66" i="4" s="1"/>
  <c r="C94" i="4"/>
  <c r="D94" i="4" s="1"/>
  <c r="C97" i="4"/>
  <c r="D97" i="4" s="1"/>
  <c r="C41" i="4"/>
  <c r="C43" i="4"/>
  <c r="D43" i="4" s="1"/>
  <c r="C45" i="4"/>
  <c r="D45" i="4" s="1"/>
  <c r="C47" i="4"/>
  <c r="D47" i="4" s="1"/>
  <c r="C51" i="4"/>
  <c r="D51" i="4" s="1"/>
  <c r="C83" i="4"/>
  <c r="D83" i="4" s="1"/>
  <c r="C99" i="4"/>
  <c r="D99" i="4" s="1"/>
  <c r="Y88" i="4"/>
  <c r="S93" i="4"/>
  <c r="V94" i="4"/>
  <c r="AC96" i="4"/>
  <c r="S96" i="4"/>
  <c r="T96" i="4"/>
  <c r="C96" i="4"/>
  <c r="D96" i="4" s="1"/>
  <c r="X81" i="4"/>
  <c r="C42" i="4"/>
  <c r="D42" i="4" s="1"/>
  <c r="C49" i="4"/>
  <c r="D49" i="4" s="1"/>
  <c r="C52" i="4"/>
  <c r="D52" i="4" s="1"/>
  <c r="C100" i="4"/>
  <c r="D100" i="4" s="1"/>
  <c r="Z55" i="4"/>
  <c r="AB55" i="4"/>
  <c r="C8" i="4"/>
  <c r="C10" i="4"/>
  <c r="C12" i="4"/>
  <c r="C14" i="4"/>
  <c r="C16" i="4"/>
  <c r="C18" i="4"/>
  <c r="C19" i="4"/>
  <c r="C54" i="4"/>
  <c r="D54" i="4" s="1"/>
  <c r="C58" i="4"/>
  <c r="D58" i="4" s="1"/>
  <c r="C60" i="4"/>
  <c r="D60" i="4" s="1"/>
  <c r="C70" i="4"/>
  <c r="D70" i="4" s="1"/>
  <c r="C72" i="4"/>
  <c r="D72" i="4" s="1"/>
  <c r="C74" i="4"/>
  <c r="C86" i="4"/>
  <c r="D86" i="4" s="1"/>
  <c r="C88" i="4"/>
  <c r="D88" i="4" s="1"/>
  <c r="C90" i="4"/>
  <c r="D90" i="4" s="1"/>
  <c r="C103" i="4"/>
  <c r="D103" i="4" s="1"/>
  <c r="C105" i="4"/>
  <c r="D105" i="4" s="1"/>
  <c r="C106" i="4"/>
  <c r="D106" i="4" s="1"/>
  <c r="T45" i="4"/>
  <c r="U48" i="4"/>
  <c r="R53" i="4"/>
  <c r="T55" i="4"/>
  <c r="Z61" i="4"/>
  <c r="AA61" i="4"/>
  <c r="V62" i="4"/>
  <c r="AA76" i="4"/>
  <c r="S76" i="4"/>
  <c r="W76" i="4"/>
  <c r="T87" i="4"/>
  <c r="T91" i="4"/>
  <c r="AB92" i="4"/>
  <c r="T92" i="4"/>
  <c r="AA92" i="4"/>
  <c r="V93" i="4"/>
  <c r="Z94" i="4"/>
  <c r="Y96" i="4"/>
  <c r="Y104" i="4"/>
  <c r="C95" i="4"/>
  <c r="D95" i="4" s="1"/>
  <c r="C98" i="4"/>
  <c r="D98" i="4" s="1"/>
  <c r="U88" i="4"/>
  <c r="V99" i="4"/>
  <c r="Z99" i="4"/>
  <c r="AB100" i="4"/>
  <c r="AA100" i="4"/>
  <c r="Z105" i="4"/>
  <c r="C44" i="4"/>
  <c r="D44" i="4" s="1"/>
  <c r="C46" i="4"/>
  <c r="D46" i="4" s="1"/>
  <c r="C48" i="4"/>
  <c r="D48" i="4" s="1"/>
  <c r="C50" i="4"/>
  <c r="D50" i="4" s="1"/>
  <c r="C68" i="4"/>
  <c r="D68" i="4" s="1"/>
  <c r="C84" i="4"/>
  <c r="D84" i="4" s="1"/>
  <c r="R81" i="4"/>
  <c r="C7" i="4"/>
  <c r="C9" i="4"/>
  <c r="C11" i="4"/>
  <c r="C13" i="4"/>
  <c r="C15" i="4"/>
  <c r="C17" i="4"/>
  <c r="C20" i="4"/>
  <c r="C53" i="4"/>
  <c r="D53" i="4" s="1"/>
  <c r="C55" i="4"/>
  <c r="D55" i="4" s="1"/>
  <c r="C56" i="4"/>
  <c r="D56" i="4" s="1"/>
  <c r="C69" i="4"/>
  <c r="D69" i="4" s="1"/>
  <c r="C71" i="4"/>
  <c r="D71" i="4" s="1"/>
  <c r="C73" i="4"/>
  <c r="D73" i="4" s="1"/>
  <c r="C85" i="4"/>
  <c r="D85" i="4" s="1"/>
  <c r="C87" i="4"/>
  <c r="D87" i="4" s="1"/>
  <c r="C89" i="4"/>
  <c r="D89" i="4" s="1"/>
  <c r="C101" i="4"/>
  <c r="D101" i="4" s="1"/>
  <c r="C102" i="4"/>
  <c r="D102" i="4" s="1"/>
  <c r="C104" i="4"/>
  <c r="D104" i="4" s="1"/>
  <c r="C21" i="4"/>
  <c r="C22" i="4"/>
  <c r="C23" i="4"/>
  <c r="C24" i="4"/>
  <c r="C25" i="4"/>
  <c r="C26" i="4"/>
  <c r="C27" i="4"/>
  <c r="C28" i="4"/>
  <c r="C29" i="4"/>
  <c r="C30" i="4"/>
  <c r="C31" i="4"/>
  <c r="D31" i="4" s="1"/>
  <c r="C32" i="4"/>
  <c r="D32" i="4" s="1"/>
  <c r="C33" i="4"/>
  <c r="D33" i="4" s="1"/>
  <c r="C34" i="4"/>
  <c r="C35" i="4"/>
  <c r="C36" i="4"/>
  <c r="C62" i="4"/>
  <c r="D62" i="4" s="1"/>
  <c r="C75" i="4"/>
  <c r="D75" i="4" s="1"/>
  <c r="C76" i="4"/>
  <c r="D76" i="4" s="1"/>
  <c r="C91" i="4"/>
  <c r="D91" i="4" s="1"/>
  <c r="C92" i="4"/>
  <c r="D92" i="4" s="1"/>
  <c r="X32" i="4"/>
  <c r="V45" i="4"/>
  <c r="X53" i="4"/>
  <c r="W54" i="4"/>
  <c r="U55" i="4"/>
  <c r="AA62" i="4"/>
  <c r="AA64" i="4"/>
  <c r="AB65" i="4"/>
  <c r="T68" i="4"/>
  <c r="AB72" i="4"/>
  <c r="U72" i="4"/>
  <c r="W72" i="4"/>
  <c r="U75" i="4"/>
  <c r="X76" i="4"/>
  <c r="U78" i="4"/>
  <c r="AA80" i="4"/>
  <c r="S80" i="4"/>
  <c r="W80" i="4"/>
  <c r="Z82" i="4"/>
  <c r="AA82" i="4"/>
  <c r="Y87" i="4"/>
  <c r="AB96" i="4"/>
  <c r="X97" i="4"/>
  <c r="Y98" i="4"/>
  <c r="T100" i="4"/>
  <c r="V105" i="4"/>
  <c r="V57" i="4"/>
  <c r="X60" i="4"/>
  <c r="BG64" i="3"/>
  <c r="BH64" i="3" s="1"/>
  <c r="BG94" i="3"/>
  <c r="BH94" i="3" s="1"/>
  <c r="BH68" i="3"/>
  <c r="T44" i="4"/>
  <c r="V46" i="4"/>
  <c r="BG78" i="3"/>
  <c r="BH78" i="3" s="1"/>
  <c r="BG56" i="3"/>
  <c r="BH56" i="3" s="1"/>
  <c r="BG57" i="3"/>
  <c r="BH57" i="3" s="1"/>
  <c r="BG70" i="3"/>
  <c r="BH70" i="3" s="1"/>
  <c r="BG86" i="3"/>
  <c r="BH86" i="3" s="1"/>
  <c r="BG102" i="3"/>
  <c r="BH102" i="3" s="1"/>
  <c r="AB44" i="4"/>
  <c r="W44" i="4"/>
  <c r="AA44" i="4"/>
  <c r="U44" i="4"/>
  <c r="AC44" i="4"/>
  <c r="X44" i="4"/>
  <c r="S44" i="4"/>
  <c r="Y44" i="4"/>
  <c r="AA46" i="4"/>
  <c r="Z46" i="4"/>
  <c r="U46" i="4"/>
  <c r="V47" i="4"/>
  <c r="R47" i="4"/>
  <c r="AB47" i="4"/>
  <c r="AB52" i="4"/>
  <c r="W52" i="4"/>
  <c r="AC52" i="4"/>
  <c r="U52" i="4"/>
  <c r="Y52" i="4"/>
  <c r="AA52" i="4"/>
  <c r="T52" i="4"/>
  <c r="X52" i="4"/>
  <c r="BH76" i="3"/>
  <c r="BH84" i="3"/>
  <c r="BH92" i="3"/>
  <c r="BH100" i="3"/>
  <c r="T48" i="4"/>
  <c r="Y48" i="4"/>
  <c r="AA56" i="4"/>
  <c r="U56" i="4"/>
  <c r="S56" i="4"/>
  <c r="Y56" i="4"/>
  <c r="V58" i="4"/>
  <c r="S58" i="4"/>
  <c r="AB64" i="4"/>
  <c r="W64" i="4"/>
  <c r="S64" i="4"/>
  <c r="Y64" i="4"/>
  <c r="V66" i="4"/>
  <c r="U66" i="4"/>
  <c r="AA68" i="4"/>
  <c r="U68" i="4"/>
  <c r="S68" i="4"/>
  <c r="Y68" i="4"/>
  <c r="Z70" i="4"/>
  <c r="V73" i="4"/>
  <c r="T73" i="4"/>
  <c r="AC74" i="4"/>
  <c r="V77" i="4"/>
  <c r="AA77" i="4"/>
  <c r="T77" i="4"/>
  <c r="S77" i="4"/>
  <c r="V85" i="4"/>
  <c r="AA89" i="4"/>
  <c r="Z89" i="4"/>
  <c r="T89" i="4"/>
  <c r="R95" i="4"/>
  <c r="AB95" i="4"/>
  <c r="AC104" i="4"/>
  <c r="X104" i="4"/>
  <c r="S104" i="4"/>
  <c r="W104" i="4"/>
  <c r="AB104" i="4"/>
  <c r="T104" i="4"/>
  <c r="AA104" i="4"/>
  <c r="U104" i="4"/>
  <c r="AA84" i="4"/>
  <c r="U84" i="4"/>
  <c r="AC84" i="4"/>
  <c r="W84" i="4"/>
  <c r="AB84" i="4"/>
  <c r="T84" i="4"/>
  <c r="AC70" i="4"/>
  <c r="AA85" i="4"/>
  <c r="AB85" i="4"/>
  <c r="S102" i="4"/>
  <c r="Y31" i="4"/>
  <c r="T32" i="4"/>
  <c r="Y32" i="4"/>
  <c r="X45" i="4"/>
  <c r="W48" i="4"/>
  <c r="AB48" i="4"/>
  <c r="W56" i="4"/>
  <c r="AC56" i="4"/>
  <c r="Z57" i="4"/>
  <c r="AC58" i="4"/>
  <c r="T59" i="4"/>
  <c r="U59" i="4"/>
  <c r="T61" i="4"/>
  <c r="U64" i="4"/>
  <c r="AC64" i="4"/>
  <c r="Z66" i="4"/>
  <c r="W68" i="4"/>
  <c r="AC68" i="4"/>
  <c r="X69" i="4"/>
  <c r="S70" i="4"/>
  <c r="T71" i="4"/>
  <c r="AB71" i="4"/>
  <c r="AB73" i="4"/>
  <c r="AC75" i="4"/>
  <c r="Z77" i="4"/>
  <c r="X84" i="4"/>
  <c r="V89" i="4"/>
  <c r="AA93" i="4"/>
  <c r="T93" i="4"/>
  <c r="Z93" i="4"/>
  <c r="X93" i="4"/>
  <c r="AC95" i="4"/>
  <c r="Y70" i="4"/>
  <c r="R70" i="4"/>
  <c r="S84" i="4"/>
  <c r="V90" i="4"/>
  <c r="R90" i="4"/>
  <c r="BG58" i="3"/>
  <c r="BH58" i="3" s="1"/>
  <c r="BH60" i="3"/>
  <c r="BH65" i="3"/>
  <c r="BH66" i="3"/>
  <c r="BG72" i="3"/>
  <c r="BH72" i="3" s="1"/>
  <c r="BH74" i="3"/>
  <c r="BG80" i="3"/>
  <c r="BH80" i="3" s="1"/>
  <c r="BH82" i="3"/>
  <c r="BG88" i="3"/>
  <c r="BH88" i="3" s="1"/>
  <c r="BH90" i="3"/>
  <c r="BG96" i="3"/>
  <c r="BH96" i="3" s="1"/>
  <c r="BH98" i="3"/>
  <c r="BG104" i="3"/>
  <c r="BH104" i="3" s="1"/>
  <c r="BH106" i="3"/>
  <c r="S45" i="4"/>
  <c r="Z45" i="4"/>
  <c r="S48" i="4"/>
  <c r="X48" i="4"/>
  <c r="AC48" i="4"/>
  <c r="X56" i="4"/>
  <c r="AB57" i="4"/>
  <c r="T57" i="4"/>
  <c r="AA57" i="4"/>
  <c r="V61" i="4"/>
  <c r="X61" i="4"/>
  <c r="X64" i="4"/>
  <c r="S66" i="4"/>
  <c r="AA66" i="4"/>
  <c r="X68" i="4"/>
  <c r="AB69" i="4"/>
  <c r="S69" i="4"/>
  <c r="AA69" i="4"/>
  <c r="U70" i="4"/>
  <c r="V71" i="4"/>
  <c r="U71" i="4"/>
  <c r="V74" i="4"/>
  <c r="S81" i="4"/>
  <c r="AB81" i="4"/>
  <c r="Z83" i="4"/>
  <c r="V83" i="4"/>
  <c r="U83" i="4"/>
  <c r="Y84" i="4"/>
  <c r="R85" i="4"/>
  <c r="AA98" i="4"/>
  <c r="U98" i="4"/>
  <c r="Z98" i="4"/>
  <c r="V98" i="4"/>
  <c r="S98" i="4"/>
  <c r="Y86" i="4"/>
  <c r="S86" i="4"/>
  <c r="AC100" i="4"/>
  <c r="X100" i="4"/>
  <c r="S100" i="4"/>
  <c r="W100" i="4"/>
  <c r="U100" i="4"/>
  <c r="AB103" i="4"/>
  <c r="U103" i="4"/>
  <c r="Y103" i="4"/>
  <c r="Y55" i="4"/>
  <c r="T60" i="4"/>
  <c r="Y60" i="4"/>
  <c r="AC62" i="4"/>
  <c r="T72" i="4"/>
  <c r="Y72" i="4"/>
  <c r="T76" i="4"/>
  <c r="Y76" i="4"/>
  <c r="V78" i="4"/>
  <c r="T80" i="4"/>
  <c r="Y80" i="4"/>
  <c r="AC86" i="4"/>
  <c r="AB87" i="4"/>
  <c r="U87" i="4"/>
  <c r="V87" i="4"/>
  <c r="AC88" i="4"/>
  <c r="X88" i="4"/>
  <c r="S88" i="4"/>
  <c r="AA88" i="4"/>
  <c r="T88" i="4"/>
  <c r="W88" i="4"/>
  <c r="AA96" i="4"/>
  <c r="U96" i="4"/>
  <c r="X96" i="4"/>
  <c r="W96" i="4"/>
  <c r="Y100" i="4"/>
  <c r="T103" i="4"/>
  <c r="V106" i="4"/>
  <c r="Y82" i="4"/>
  <c r="AC91" i="4"/>
  <c r="AC92" i="4"/>
  <c r="X92" i="4"/>
  <c r="S92" i="4"/>
  <c r="Y92" i="4"/>
  <c r="U94" i="4"/>
  <c r="AA94" i="4"/>
  <c r="AB97" i="4"/>
  <c r="S97" i="4"/>
  <c r="U99" i="4"/>
  <c r="AB99" i="4"/>
  <c r="AA105" i="4"/>
  <c r="T105" i="4"/>
  <c r="C61" i="4"/>
  <c r="D61" i="4" s="1"/>
  <c r="BG11" i="3"/>
  <c r="BH11" i="3" s="1"/>
  <c r="BG15" i="3"/>
  <c r="BH15" i="3" s="1"/>
  <c r="BG23" i="3"/>
  <c r="BH23" i="3" s="1"/>
  <c r="BG27" i="3"/>
  <c r="BH27" i="3" s="1"/>
  <c r="BG31" i="3"/>
  <c r="BH31" i="3" s="1"/>
  <c r="BG35" i="3"/>
  <c r="BH35" i="3" s="1"/>
  <c r="BG39" i="3"/>
  <c r="BH39" i="3" s="1"/>
  <c r="BG43" i="3"/>
  <c r="BH43" i="3" s="1"/>
  <c r="BG47" i="3"/>
  <c r="BH47" i="3" s="1"/>
  <c r="BG51" i="3"/>
  <c r="BH51" i="3" s="1"/>
  <c r="BH55" i="3"/>
  <c r="C59" i="4"/>
  <c r="D59" i="4" s="1"/>
  <c r="BH63" i="3"/>
  <c r="C67" i="4"/>
  <c r="D67" i="4" s="1"/>
  <c r="BG69" i="3"/>
  <c r="BH69" i="3" s="1"/>
  <c r="BG7" i="3"/>
  <c r="BH7" i="3" s="1"/>
  <c r="BG10" i="3"/>
  <c r="BH10" i="3" s="1"/>
  <c r="BG14" i="3"/>
  <c r="BH14" i="3" s="1"/>
  <c r="BG18" i="3"/>
  <c r="BH18" i="3" s="1"/>
  <c r="BH19" i="3"/>
  <c r="BG22" i="3"/>
  <c r="BH22" i="3" s="1"/>
  <c r="BG26" i="3"/>
  <c r="BH26" i="3" s="1"/>
  <c r="BG30" i="3"/>
  <c r="BH30" i="3" s="1"/>
  <c r="BG34" i="3"/>
  <c r="BH34" i="3" s="1"/>
  <c r="BG38" i="3"/>
  <c r="BH38" i="3" s="1"/>
  <c r="BG42" i="3"/>
  <c r="BH42" i="3" s="1"/>
  <c r="BG46" i="3"/>
  <c r="BH46" i="3" s="1"/>
  <c r="BG50" i="3"/>
  <c r="BH50" i="3" s="1"/>
  <c r="BG54" i="3"/>
  <c r="BH54" i="3" s="1"/>
  <c r="C57" i="4"/>
  <c r="D57" i="4" s="1"/>
  <c r="BH61" i="3"/>
  <c r="C65" i="4"/>
  <c r="D65" i="4" s="1"/>
  <c r="BH59" i="3"/>
  <c r="BH62" i="3"/>
  <c r="C63" i="4"/>
  <c r="D63" i="4" s="1"/>
  <c r="BH73" i="3"/>
  <c r="BH77" i="3"/>
  <c r="BH81" i="3"/>
  <c r="BH85" i="3"/>
  <c r="BH89" i="3"/>
  <c r="BH93" i="3"/>
  <c r="BH97" i="3"/>
  <c r="BH101" i="3"/>
  <c r="BH105" i="3"/>
  <c r="L9" i="7"/>
  <c r="H9" i="6"/>
  <c r="AC33" i="4"/>
  <c r="Y33" i="4"/>
  <c r="U33" i="4"/>
  <c r="R33" i="4"/>
  <c r="W33" i="4"/>
  <c r="AB33" i="4"/>
  <c r="AA63" i="4"/>
  <c r="W63" i="4"/>
  <c r="S63" i="4"/>
  <c r="Z63" i="4"/>
  <c r="U63" i="4"/>
  <c r="Y63" i="4"/>
  <c r="R63" i="4"/>
  <c r="AB63" i="4"/>
  <c r="T63" i="4"/>
  <c r="C81" i="4"/>
  <c r="D81" i="4" s="1"/>
  <c r="BG79" i="3"/>
  <c r="BH79" i="3" s="1"/>
  <c r="BG95" i="3"/>
  <c r="BH95" i="3" s="1"/>
  <c r="BG99" i="3"/>
  <c r="BH99" i="3" s="1"/>
  <c r="BG103" i="3"/>
  <c r="BH103" i="3" s="1"/>
  <c r="H5" i="4"/>
  <c r="I5" i="4" s="1"/>
  <c r="J5" i="4" s="1"/>
  <c r="K5" i="4" s="1"/>
  <c r="L5" i="4" s="1"/>
  <c r="M5" i="4" s="1"/>
  <c r="N5" i="4" s="1"/>
  <c r="O5" i="4" s="1"/>
  <c r="AA31" i="4"/>
  <c r="W31" i="4"/>
  <c r="S31" i="4"/>
  <c r="X31" i="4"/>
  <c r="AC31" i="4"/>
  <c r="S33" i="4"/>
  <c r="X33" i="4"/>
  <c r="AC47" i="4"/>
  <c r="AC53" i="4"/>
  <c r="Y53" i="4"/>
  <c r="U53" i="4"/>
  <c r="Z53" i="4"/>
  <c r="T53" i="4"/>
  <c r="AA53" i="4"/>
  <c r="S53" i="4"/>
  <c r="AB53" i="4"/>
  <c r="V53" i="4"/>
  <c r="Y54" i="4"/>
  <c r="V63" i="4"/>
  <c r="AA67" i="4"/>
  <c r="W67" i="4"/>
  <c r="S67" i="4"/>
  <c r="Y67" i="4"/>
  <c r="T67" i="4"/>
  <c r="Z67" i="4"/>
  <c r="R67" i="4"/>
  <c r="AB67" i="4"/>
  <c r="U67" i="4"/>
  <c r="AB74" i="4"/>
  <c r="X74" i="4"/>
  <c r="T74" i="4"/>
  <c r="D74" i="4"/>
  <c r="Z74" i="4"/>
  <c r="U74" i="4"/>
  <c r="Y74" i="4"/>
  <c r="R74" i="4"/>
  <c r="AA74" i="4"/>
  <c r="S74" i="4"/>
  <c r="AA75" i="4"/>
  <c r="W75" i="4"/>
  <c r="S75" i="4"/>
  <c r="AB75" i="4"/>
  <c r="V75" i="4"/>
  <c r="Y75" i="4"/>
  <c r="R75" i="4"/>
  <c r="Z75" i="4"/>
  <c r="T75" i="4"/>
  <c r="AC101" i="4"/>
  <c r="Y101" i="4"/>
  <c r="U101" i="4"/>
  <c r="Z101" i="4"/>
  <c r="T101" i="4"/>
  <c r="X101" i="4"/>
  <c r="S101" i="4"/>
  <c r="AA101" i="4"/>
  <c r="AB101" i="4"/>
  <c r="R101" i="4"/>
  <c r="W101" i="4"/>
  <c r="AB102" i="4"/>
  <c r="X102" i="4"/>
  <c r="T102" i="4"/>
  <c r="AA102" i="4"/>
  <c r="V102" i="4"/>
  <c r="Z102" i="4"/>
  <c r="U102" i="4"/>
  <c r="Y102" i="4"/>
  <c r="AC102" i="4"/>
  <c r="R102" i="4"/>
  <c r="W102" i="4"/>
  <c r="T33" i="4"/>
  <c r="Z33" i="4"/>
  <c r="R42" i="4"/>
  <c r="V43" i="4"/>
  <c r="AB49" i="4"/>
  <c r="AB54" i="4"/>
  <c r="X54" i="4"/>
  <c r="T54" i="4"/>
  <c r="AA54" i="4"/>
  <c r="V54" i="4"/>
  <c r="Z54" i="4"/>
  <c r="S54" i="4"/>
  <c r="AC54" i="4"/>
  <c r="U54" i="4"/>
  <c r="X63" i="4"/>
  <c r="AC65" i="4"/>
  <c r="Y65" i="4"/>
  <c r="U65" i="4"/>
  <c r="AA65" i="4"/>
  <c r="V65" i="4"/>
  <c r="X65" i="4"/>
  <c r="R65" i="4"/>
  <c r="Z65" i="4"/>
  <c r="S65" i="4"/>
  <c r="AB106" i="4"/>
  <c r="X106" i="4"/>
  <c r="T106" i="4"/>
  <c r="Z106" i="4"/>
  <c r="U106" i="4"/>
  <c r="Y106" i="4"/>
  <c r="S106" i="4"/>
  <c r="AA106" i="4"/>
  <c r="AC106" i="4"/>
  <c r="R106" i="4"/>
  <c r="W106" i="4"/>
  <c r="U31" i="4"/>
  <c r="Z31" i="4"/>
  <c r="V33" i="4"/>
  <c r="AA33" i="4"/>
  <c r="U42" i="4"/>
  <c r="AA47" i="4"/>
  <c r="W47" i="4"/>
  <c r="S47" i="4"/>
  <c r="Y47" i="4"/>
  <c r="T47" i="4"/>
  <c r="Z47" i="4"/>
  <c r="U47" i="4"/>
  <c r="X47" i="4"/>
  <c r="X49" i="4"/>
  <c r="W53" i="4"/>
  <c r="R54" i="4"/>
  <c r="AC63" i="4"/>
  <c r="T65" i="4"/>
  <c r="X67" i="4"/>
  <c r="W74" i="4"/>
  <c r="X75" i="4"/>
  <c r="AA79" i="4"/>
  <c r="W79" i="4"/>
  <c r="S79" i="4"/>
  <c r="Z79" i="4"/>
  <c r="U79" i="4"/>
  <c r="Y79" i="4"/>
  <c r="T79" i="4"/>
  <c r="AC79" i="4"/>
  <c r="R79" i="4"/>
  <c r="V79" i="4"/>
  <c r="X79" i="4"/>
  <c r="R32" i="4"/>
  <c r="V32" i="4"/>
  <c r="Z32" i="4"/>
  <c r="AC45" i="4"/>
  <c r="Y45" i="4"/>
  <c r="U45" i="4"/>
  <c r="R45" i="4"/>
  <c r="W45" i="4"/>
  <c r="AB45" i="4"/>
  <c r="S46" i="4"/>
  <c r="Y46" i="4"/>
  <c r="R51" i="4"/>
  <c r="Z51" i="4"/>
  <c r="AC57" i="4"/>
  <c r="Y57" i="4"/>
  <c r="U57" i="4"/>
  <c r="X57" i="4"/>
  <c r="S57" i="4"/>
  <c r="W57" i="4"/>
  <c r="R58" i="4"/>
  <c r="Y58" i="4"/>
  <c r="R59" i="4"/>
  <c r="Y59" i="4"/>
  <c r="R62" i="4"/>
  <c r="Z62" i="4"/>
  <c r="AC69" i="4"/>
  <c r="Y69" i="4"/>
  <c r="U69" i="4"/>
  <c r="Z69" i="4"/>
  <c r="T69" i="4"/>
  <c r="W69" i="4"/>
  <c r="AB70" i="4"/>
  <c r="X70" i="4"/>
  <c r="T70" i="4"/>
  <c r="AA70" i="4"/>
  <c r="V70" i="4"/>
  <c r="W70" i="4"/>
  <c r="R73" i="4"/>
  <c r="Z73" i="4"/>
  <c r="AC81" i="4"/>
  <c r="Y81" i="4"/>
  <c r="U81" i="4"/>
  <c r="AA81" i="4"/>
  <c r="V81" i="4"/>
  <c r="Z81" i="4"/>
  <c r="T81" i="4"/>
  <c r="W81" i="4"/>
  <c r="AA90" i="4"/>
  <c r="Y91" i="4"/>
  <c r="AA95" i="4"/>
  <c r="W95" i="4"/>
  <c r="S95" i="4"/>
  <c r="Z95" i="4"/>
  <c r="U95" i="4"/>
  <c r="Y95" i="4"/>
  <c r="T95" i="4"/>
  <c r="X95" i="4"/>
  <c r="AB46" i="4"/>
  <c r="X46" i="4"/>
  <c r="T46" i="4"/>
  <c r="R46" i="4"/>
  <c r="W46" i="4"/>
  <c r="AC46" i="4"/>
  <c r="AA51" i="4"/>
  <c r="W51" i="4"/>
  <c r="S51" i="4"/>
  <c r="Y51" i="4"/>
  <c r="T51" i="4"/>
  <c r="X51" i="4"/>
  <c r="AB58" i="4"/>
  <c r="X58" i="4"/>
  <c r="T58" i="4"/>
  <c r="Z58" i="4"/>
  <c r="U58" i="4"/>
  <c r="W58" i="4"/>
  <c r="AA59" i="4"/>
  <c r="W59" i="4"/>
  <c r="S59" i="4"/>
  <c r="AB59" i="4"/>
  <c r="V59" i="4"/>
  <c r="X59" i="4"/>
  <c r="AB62" i="4"/>
  <c r="X62" i="4"/>
  <c r="T62" i="4"/>
  <c r="Y62" i="4"/>
  <c r="S62" i="4"/>
  <c r="W62" i="4"/>
  <c r="AC73" i="4"/>
  <c r="Y73" i="4"/>
  <c r="U73" i="4"/>
  <c r="X73" i="4"/>
  <c r="S73" i="4"/>
  <c r="W73" i="4"/>
  <c r="AC85" i="4"/>
  <c r="Y85" i="4"/>
  <c r="U85" i="4"/>
  <c r="Z85" i="4"/>
  <c r="T85" i="4"/>
  <c r="X85" i="4"/>
  <c r="S85" i="4"/>
  <c r="W85" i="4"/>
  <c r="AB86" i="4"/>
  <c r="X86" i="4"/>
  <c r="T86" i="4"/>
  <c r="AA86" i="4"/>
  <c r="V86" i="4"/>
  <c r="Z86" i="4"/>
  <c r="U86" i="4"/>
  <c r="W86" i="4"/>
  <c r="AB90" i="4"/>
  <c r="X90" i="4"/>
  <c r="T90" i="4"/>
  <c r="Z90" i="4"/>
  <c r="U90" i="4"/>
  <c r="Y90" i="4"/>
  <c r="S90" i="4"/>
  <c r="W90" i="4"/>
  <c r="AA91" i="4"/>
  <c r="W91" i="4"/>
  <c r="S91" i="4"/>
  <c r="AB91" i="4"/>
  <c r="V91" i="4"/>
  <c r="Z91" i="4"/>
  <c r="U91" i="4"/>
  <c r="X91" i="4"/>
  <c r="V95" i="4"/>
  <c r="AC97" i="4"/>
  <c r="Y97" i="4"/>
  <c r="U97" i="4"/>
  <c r="AA97" i="4"/>
  <c r="V97" i="4"/>
  <c r="Z97" i="4"/>
  <c r="T97" i="4"/>
  <c r="W97" i="4"/>
  <c r="AB78" i="4"/>
  <c r="X78" i="4"/>
  <c r="T78" i="4"/>
  <c r="R78" i="4"/>
  <c r="W78" i="4"/>
  <c r="AC78" i="4"/>
  <c r="AA83" i="4"/>
  <c r="W83" i="4"/>
  <c r="S83" i="4"/>
  <c r="R83" i="4"/>
  <c r="X83" i="4"/>
  <c r="AC83" i="4"/>
  <c r="AC89" i="4"/>
  <c r="Y89" i="4"/>
  <c r="U89" i="4"/>
  <c r="R89" i="4"/>
  <c r="W89" i="4"/>
  <c r="AB89" i="4"/>
  <c r="AB94" i="4"/>
  <c r="X94" i="4"/>
  <c r="T94" i="4"/>
  <c r="R94" i="4"/>
  <c r="W94" i="4"/>
  <c r="AC94" i="4"/>
  <c r="AA99" i="4"/>
  <c r="W99" i="4"/>
  <c r="S99" i="4"/>
  <c r="R99" i="4"/>
  <c r="X99" i="4"/>
  <c r="AC99" i="4"/>
  <c r="AC105" i="4"/>
  <c r="Y105" i="4"/>
  <c r="U105" i="4"/>
  <c r="R105" i="4"/>
  <c r="W105" i="4"/>
  <c r="AB105" i="4"/>
  <c r="AA55" i="4"/>
  <c r="W55" i="4"/>
  <c r="S55" i="4"/>
  <c r="R55" i="4"/>
  <c r="X55" i="4"/>
  <c r="AC55" i="4"/>
  <c r="AC61" i="4"/>
  <c r="Y61" i="4"/>
  <c r="U61" i="4"/>
  <c r="R61" i="4"/>
  <c r="W61" i="4"/>
  <c r="AB61" i="4"/>
  <c r="AB66" i="4"/>
  <c r="X66" i="4"/>
  <c r="T66" i="4"/>
  <c r="R66" i="4"/>
  <c r="W66" i="4"/>
  <c r="AC66" i="4"/>
  <c r="AA71" i="4"/>
  <c r="W71" i="4"/>
  <c r="S71" i="4"/>
  <c r="R71" i="4"/>
  <c r="X71" i="4"/>
  <c r="AC71" i="4"/>
  <c r="AC77" i="4"/>
  <c r="Y77" i="4"/>
  <c r="U77" i="4"/>
  <c r="R77" i="4"/>
  <c r="W77" i="4"/>
  <c r="AB77" i="4"/>
  <c r="S78" i="4"/>
  <c r="Y78" i="4"/>
  <c r="AB82" i="4"/>
  <c r="X82" i="4"/>
  <c r="T82" i="4"/>
  <c r="R82" i="4"/>
  <c r="W82" i="4"/>
  <c r="AC82" i="4"/>
  <c r="T83" i="4"/>
  <c r="Y83" i="4"/>
  <c r="AA87" i="4"/>
  <c r="W87" i="4"/>
  <c r="S87" i="4"/>
  <c r="R87" i="4"/>
  <c r="X87" i="4"/>
  <c r="AC87" i="4"/>
  <c r="S89" i="4"/>
  <c r="X89" i="4"/>
  <c r="AC93" i="4"/>
  <c r="Y93" i="4"/>
  <c r="U93" i="4"/>
  <c r="R93" i="4"/>
  <c r="W93" i="4"/>
  <c r="AB93" i="4"/>
  <c r="S94" i="4"/>
  <c r="Y94" i="4"/>
  <c r="AB98" i="4"/>
  <c r="X98" i="4"/>
  <c r="T98" i="4"/>
  <c r="R98" i="4"/>
  <c r="W98" i="4"/>
  <c r="AC98" i="4"/>
  <c r="T99" i="4"/>
  <c r="Y99" i="4"/>
  <c r="AA103" i="4"/>
  <c r="W103" i="4"/>
  <c r="S103" i="4"/>
  <c r="R103" i="4"/>
  <c r="X103" i="4"/>
  <c r="AC103" i="4"/>
  <c r="S105" i="4"/>
  <c r="X105" i="4"/>
  <c r="R44" i="4"/>
  <c r="V44" i="4"/>
  <c r="Z44" i="4"/>
  <c r="R48" i="4"/>
  <c r="V48" i="4"/>
  <c r="Z48" i="4"/>
  <c r="R52" i="4"/>
  <c r="V52" i="4"/>
  <c r="Z52" i="4"/>
  <c r="R56" i="4"/>
  <c r="V56" i="4"/>
  <c r="Z56" i="4"/>
  <c r="R60" i="4"/>
  <c r="V60" i="4"/>
  <c r="Z60" i="4"/>
  <c r="R64" i="4"/>
  <c r="V64" i="4"/>
  <c r="Z64" i="4"/>
  <c r="R68" i="4"/>
  <c r="V68" i="4"/>
  <c r="Z68" i="4"/>
  <c r="R72" i="4"/>
  <c r="V72" i="4"/>
  <c r="Z72" i="4"/>
  <c r="R76" i="4"/>
  <c r="V76" i="4"/>
  <c r="Z76" i="4"/>
  <c r="R80" i="4"/>
  <c r="V80" i="4"/>
  <c r="Z80" i="4"/>
  <c r="R84" i="4"/>
  <c r="V84" i="4"/>
  <c r="Z84" i="4"/>
  <c r="R88" i="4"/>
  <c r="V88" i="4"/>
  <c r="Z88" i="4"/>
  <c r="R92" i="4"/>
  <c r="V92" i="4"/>
  <c r="Z92" i="4"/>
  <c r="R96" i="4"/>
  <c r="V96" i="4"/>
  <c r="Z96" i="4"/>
  <c r="R100" i="4"/>
  <c r="V100" i="4"/>
  <c r="Z100" i="4"/>
  <c r="R104" i="4"/>
  <c r="V104" i="4"/>
  <c r="Z104" i="4"/>
  <c r="AK88" i="4" l="1"/>
  <c r="AL88" i="4"/>
  <c r="AM88" i="4"/>
  <c r="AN88" i="4"/>
  <c r="AO88" i="4"/>
  <c r="AP88" i="4"/>
  <c r="AQ88" i="4"/>
  <c r="AR88" i="4"/>
  <c r="AS88" i="4"/>
  <c r="AJ88" i="4"/>
  <c r="AK64" i="4"/>
  <c r="AL64" i="4"/>
  <c r="AM64" i="4"/>
  <c r="AN64" i="4"/>
  <c r="AO64" i="4"/>
  <c r="AP64" i="4"/>
  <c r="AQ64" i="4"/>
  <c r="AR64" i="4"/>
  <c r="AS64" i="4"/>
  <c r="AJ64" i="4"/>
  <c r="AK91" i="4"/>
  <c r="AL91" i="4"/>
  <c r="AM91" i="4"/>
  <c r="AN91" i="4"/>
  <c r="AO91" i="4"/>
  <c r="AP91" i="4"/>
  <c r="AQ91" i="4"/>
  <c r="AR91" i="4"/>
  <c r="AS91" i="4"/>
  <c r="AJ91" i="4"/>
  <c r="AK67" i="4"/>
  <c r="AL67" i="4"/>
  <c r="AM67" i="4"/>
  <c r="AN67" i="4"/>
  <c r="AO67" i="4"/>
  <c r="AP67" i="4"/>
  <c r="AQ67" i="4"/>
  <c r="AR67" i="4"/>
  <c r="AS67" i="4"/>
  <c r="AJ67" i="4"/>
  <c r="AN46" i="4"/>
  <c r="AO46" i="4"/>
  <c r="AP46" i="4"/>
  <c r="AQ46" i="4"/>
  <c r="AR46" i="4"/>
  <c r="AS46" i="4"/>
  <c r="AK46" i="4"/>
  <c r="AL46" i="4"/>
  <c r="AM46" i="4"/>
  <c r="AJ46" i="4"/>
  <c r="AR86" i="4"/>
  <c r="AS86" i="4"/>
  <c r="AK86" i="4"/>
  <c r="AL86" i="4"/>
  <c r="AM86" i="4"/>
  <c r="AN86" i="4"/>
  <c r="AO86" i="4"/>
  <c r="AP86" i="4"/>
  <c r="AQ86" i="4"/>
  <c r="AJ86" i="4"/>
  <c r="AR62" i="4"/>
  <c r="AS62" i="4"/>
  <c r="AK62" i="4"/>
  <c r="AL62" i="4"/>
  <c r="AM62" i="4"/>
  <c r="AN62" i="4"/>
  <c r="AO62" i="4"/>
  <c r="AP62" i="4"/>
  <c r="AQ62" i="4"/>
  <c r="AJ62" i="4"/>
  <c r="AK89" i="4"/>
  <c r="AL89" i="4"/>
  <c r="AM89" i="4"/>
  <c r="AN89" i="4"/>
  <c r="AO89" i="4"/>
  <c r="AP89" i="4"/>
  <c r="AQ89" i="4"/>
  <c r="AR89" i="4"/>
  <c r="AS89" i="4"/>
  <c r="AJ89" i="4"/>
  <c r="AK65" i="4"/>
  <c r="AL65" i="4"/>
  <c r="AM65" i="4"/>
  <c r="AN65" i="4"/>
  <c r="AO65" i="4"/>
  <c r="AP65" i="4"/>
  <c r="AQ65" i="4"/>
  <c r="AR65" i="4"/>
  <c r="AS65" i="4"/>
  <c r="AJ65" i="4"/>
  <c r="AK42" i="4"/>
  <c r="AL42" i="4"/>
  <c r="AM42" i="4"/>
  <c r="AN42" i="4"/>
  <c r="AO42" i="4"/>
  <c r="AP42" i="4"/>
  <c r="AQ42" i="4"/>
  <c r="AR42" i="4"/>
  <c r="AS42" i="4"/>
  <c r="AJ42" i="4"/>
  <c r="AP84" i="4"/>
  <c r="AQ84" i="4"/>
  <c r="AR84" i="4"/>
  <c r="AS84" i="4"/>
  <c r="AK84" i="4"/>
  <c r="AL84" i="4"/>
  <c r="AM84" i="4"/>
  <c r="AN84" i="4"/>
  <c r="AO84" i="4"/>
  <c r="AJ84" i="4"/>
  <c r="AP60" i="4"/>
  <c r="AQ60" i="4"/>
  <c r="AR60" i="4"/>
  <c r="AS60" i="4"/>
  <c r="AK60" i="4"/>
  <c r="AL60" i="4"/>
  <c r="AM60" i="4"/>
  <c r="AN60" i="4"/>
  <c r="AO60" i="4"/>
  <c r="AJ60" i="4"/>
  <c r="AS87" i="4"/>
  <c r="AK87" i="4"/>
  <c r="AL87" i="4"/>
  <c r="AM87" i="4"/>
  <c r="AN87" i="4"/>
  <c r="AO87" i="4"/>
  <c r="AP87" i="4"/>
  <c r="AQ87" i="4"/>
  <c r="AR87" i="4"/>
  <c r="AJ87" i="4"/>
  <c r="AS63" i="4"/>
  <c r="AK63" i="4"/>
  <c r="AL63" i="4"/>
  <c r="AM63" i="4"/>
  <c r="AN63" i="4"/>
  <c r="AO63" i="4"/>
  <c r="AP63" i="4"/>
  <c r="AQ63" i="4"/>
  <c r="AR63" i="4"/>
  <c r="AJ63" i="4"/>
  <c r="AL32" i="4"/>
  <c r="AM32" i="4"/>
  <c r="AN32" i="4"/>
  <c r="AO32" i="4"/>
  <c r="AP32" i="4"/>
  <c r="AQ32" i="4"/>
  <c r="AR32" i="4"/>
  <c r="AS32" i="4"/>
  <c r="AK32" i="4"/>
  <c r="AJ32" i="4"/>
  <c r="AM106" i="4"/>
  <c r="AN106" i="4"/>
  <c r="AO106" i="4"/>
  <c r="AP106" i="4"/>
  <c r="AQ106" i="4"/>
  <c r="AR106" i="4"/>
  <c r="AS106" i="4"/>
  <c r="AJ106" i="4"/>
  <c r="AK106" i="4"/>
  <c r="AL106" i="4"/>
  <c r="AN82" i="4"/>
  <c r="AO82" i="4"/>
  <c r="AP82" i="4"/>
  <c r="AQ82" i="4"/>
  <c r="AR82" i="4"/>
  <c r="AS82" i="4"/>
  <c r="AK82" i="4"/>
  <c r="AL82" i="4"/>
  <c r="AM82" i="4"/>
  <c r="AJ82" i="4"/>
  <c r="AN58" i="4"/>
  <c r="AO58" i="4"/>
  <c r="AP58" i="4"/>
  <c r="AQ58" i="4"/>
  <c r="AR58" i="4"/>
  <c r="AS58" i="4"/>
  <c r="AK58" i="4"/>
  <c r="AL58" i="4"/>
  <c r="AM58" i="4"/>
  <c r="AJ58" i="4"/>
  <c r="AQ85" i="4"/>
  <c r="AR85" i="4"/>
  <c r="AS85" i="4"/>
  <c r="AK85" i="4"/>
  <c r="AL85" i="4"/>
  <c r="AM85" i="4"/>
  <c r="AN85" i="4"/>
  <c r="AO85" i="4"/>
  <c r="AP85" i="4"/>
  <c r="AJ85" i="4"/>
  <c r="AQ61" i="4"/>
  <c r="AR61" i="4"/>
  <c r="AS61" i="4"/>
  <c r="AK61" i="4"/>
  <c r="AL61" i="4"/>
  <c r="AM61" i="4"/>
  <c r="AN61" i="4"/>
  <c r="AO61" i="4"/>
  <c r="AP61" i="4"/>
  <c r="AJ61" i="4"/>
  <c r="AK55" i="4"/>
  <c r="AL55" i="4"/>
  <c r="AM55" i="4"/>
  <c r="AN55" i="4"/>
  <c r="AO55" i="4"/>
  <c r="AP55" i="4"/>
  <c r="AQ55" i="4"/>
  <c r="AR55" i="4"/>
  <c r="AS55" i="4"/>
  <c r="AJ55" i="4"/>
  <c r="AK104" i="4"/>
  <c r="AL104" i="4"/>
  <c r="AM104" i="4"/>
  <c r="AN104" i="4"/>
  <c r="AO104" i="4"/>
  <c r="AJ104" i="4"/>
  <c r="AP104" i="4"/>
  <c r="AQ104" i="4"/>
  <c r="AR104" i="4"/>
  <c r="AS104" i="4"/>
  <c r="AL80" i="4"/>
  <c r="AM80" i="4"/>
  <c r="AN80" i="4"/>
  <c r="AO80" i="4"/>
  <c r="AP80" i="4"/>
  <c r="AQ80" i="4"/>
  <c r="AR80" i="4"/>
  <c r="AS80" i="4"/>
  <c r="AK80" i="4"/>
  <c r="AJ80" i="4"/>
  <c r="AL56" i="4"/>
  <c r="AM56" i="4"/>
  <c r="AN56" i="4"/>
  <c r="AO56" i="4"/>
  <c r="AP56" i="4"/>
  <c r="AQ56" i="4"/>
  <c r="AR56" i="4"/>
  <c r="AS56" i="4"/>
  <c r="AK56" i="4"/>
  <c r="AJ56" i="4"/>
  <c r="AO83" i="4"/>
  <c r="AP83" i="4"/>
  <c r="AQ83" i="4"/>
  <c r="AR83" i="4"/>
  <c r="AS83" i="4"/>
  <c r="AK83" i="4"/>
  <c r="AL83" i="4"/>
  <c r="AM83" i="4"/>
  <c r="AN83" i="4"/>
  <c r="AJ83" i="4"/>
  <c r="AO59" i="4"/>
  <c r="AP59" i="4"/>
  <c r="AQ59" i="4"/>
  <c r="AR59" i="4"/>
  <c r="AS59" i="4"/>
  <c r="AK59" i="4"/>
  <c r="AL59" i="4"/>
  <c r="AM59" i="4"/>
  <c r="AN59" i="4"/>
  <c r="AJ59" i="4"/>
  <c r="AS51" i="4"/>
  <c r="AK51" i="4"/>
  <c r="AL51" i="4"/>
  <c r="AM51" i="4"/>
  <c r="AN51" i="4"/>
  <c r="AO51" i="4"/>
  <c r="AP51" i="4"/>
  <c r="AQ51" i="4"/>
  <c r="AR51" i="4"/>
  <c r="AJ51" i="4"/>
  <c r="AK102" i="4"/>
  <c r="AJ102" i="4"/>
  <c r="AL102" i="4"/>
  <c r="AM102" i="4"/>
  <c r="AN102" i="4"/>
  <c r="AO102" i="4"/>
  <c r="AP102" i="4"/>
  <c r="AQ102" i="4"/>
  <c r="AR102" i="4"/>
  <c r="AS102" i="4"/>
  <c r="AK78" i="4"/>
  <c r="AL78" i="4"/>
  <c r="AM78" i="4"/>
  <c r="AN78" i="4"/>
  <c r="AO78" i="4"/>
  <c r="AP78" i="4"/>
  <c r="AQ78" i="4"/>
  <c r="AR78" i="4"/>
  <c r="AS78" i="4"/>
  <c r="AJ78" i="4"/>
  <c r="AL105" i="4"/>
  <c r="AM105" i="4"/>
  <c r="AN105" i="4"/>
  <c r="AO105" i="4"/>
  <c r="AP105" i="4"/>
  <c r="AQ105" i="4"/>
  <c r="AR105" i="4"/>
  <c r="AS105" i="4"/>
  <c r="AJ105" i="4"/>
  <c r="AK105" i="4"/>
  <c r="AM81" i="4"/>
  <c r="AN81" i="4"/>
  <c r="AO81" i="4"/>
  <c r="AP81" i="4"/>
  <c r="AQ81" i="4"/>
  <c r="AR81" i="4"/>
  <c r="AS81" i="4"/>
  <c r="AK81" i="4"/>
  <c r="AL81" i="4"/>
  <c r="AJ81" i="4"/>
  <c r="AM57" i="4"/>
  <c r="AN57" i="4"/>
  <c r="AO57" i="4"/>
  <c r="AP57" i="4"/>
  <c r="AQ57" i="4"/>
  <c r="AR57" i="4"/>
  <c r="AS57" i="4"/>
  <c r="AK57" i="4"/>
  <c r="AL57" i="4"/>
  <c r="AJ57" i="4"/>
  <c r="AO47" i="4"/>
  <c r="AP47" i="4"/>
  <c r="AQ47" i="4"/>
  <c r="AR47" i="4"/>
  <c r="AS47" i="4"/>
  <c r="AK47" i="4"/>
  <c r="AL47" i="4"/>
  <c r="AM47" i="4"/>
  <c r="AN47" i="4"/>
  <c r="AJ47" i="4"/>
  <c r="AS100" i="4"/>
  <c r="AK100" i="4"/>
  <c r="AL100" i="4"/>
  <c r="AJ100" i="4"/>
  <c r="AM100" i="4"/>
  <c r="AN100" i="4"/>
  <c r="AO100" i="4"/>
  <c r="AP100" i="4"/>
  <c r="AQ100" i="4"/>
  <c r="AR100" i="4"/>
  <c r="AK76" i="4"/>
  <c r="AL76" i="4"/>
  <c r="AM76" i="4"/>
  <c r="AN76" i="4"/>
  <c r="AO76" i="4"/>
  <c r="AP76" i="4"/>
  <c r="AQ76" i="4"/>
  <c r="AR76" i="4"/>
  <c r="AS76" i="4"/>
  <c r="AJ76" i="4"/>
  <c r="AK103" i="4"/>
  <c r="AL103" i="4"/>
  <c r="AM103" i="4"/>
  <c r="AN103" i="4"/>
  <c r="AO103" i="4"/>
  <c r="AP103" i="4"/>
  <c r="AJ103" i="4"/>
  <c r="AQ103" i="4"/>
  <c r="AR103" i="4"/>
  <c r="AS103" i="4"/>
  <c r="AK79" i="4"/>
  <c r="AL79" i="4"/>
  <c r="AM79" i="4"/>
  <c r="AN79" i="4"/>
  <c r="AO79" i="4"/>
  <c r="AP79" i="4"/>
  <c r="AQ79" i="4"/>
  <c r="AR79" i="4"/>
  <c r="AS79" i="4"/>
  <c r="AJ79" i="4"/>
  <c r="AK52" i="4"/>
  <c r="AL52" i="4"/>
  <c r="AM52" i="4"/>
  <c r="AN52" i="4"/>
  <c r="AO52" i="4"/>
  <c r="AP52" i="4"/>
  <c r="AQ52" i="4"/>
  <c r="AR52" i="4"/>
  <c r="AS52" i="4"/>
  <c r="AJ52" i="4"/>
  <c r="AK43" i="4"/>
  <c r="AL43" i="4"/>
  <c r="AM43" i="4"/>
  <c r="AN43" i="4"/>
  <c r="AO43" i="4"/>
  <c r="AP43" i="4"/>
  <c r="AQ43" i="4"/>
  <c r="AR43" i="4"/>
  <c r="AS43" i="4"/>
  <c r="AJ43" i="4"/>
  <c r="AK98" i="4"/>
  <c r="AL98" i="4"/>
  <c r="AM98" i="4"/>
  <c r="AN98" i="4"/>
  <c r="AO98" i="4"/>
  <c r="AP98" i="4"/>
  <c r="AQ98" i="4"/>
  <c r="AJ98" i="4"/>
  <c r="AR98" i="4"/>
  <c r="AS98" i="4"/>
  <c r="AR74" i="4"/>
  <c r="AS74" i="4"/>
  <c r="AK74" i="4"/>
  <c r="AL74" i="4"/>
  <c r="AM74" i="4"/>
  <c r="AN74" i="4"/>
  <c r="AO74" i="4"/>
  <c r="AP74" i="4"/>
  <c r="AQ74" i="4"/>
  <c r="AJ74" i="4"/>
  <c r="AK101" i="4"/>
  <c r="AJ101" i="4"/>
  <c r="AL101" i="4"/>
  <c r="AM101" i="4"/>
  <c r="AN101" i="4"/>
  <c r="AO101" i="4"/>
  <c r="AP101" i="4"/>
  <c r="AQ101" i="4"/>
  <c r="AR101" i="4"/>
  <c r="AS101" i="4"/>
  <c r="AK77" i="4"/>
  <c r="AL77" i="4"/>
  <c r="AM77" i="4"/>
  <c r="AN77" i="4"/>
  <c r="AO77" i="4"/>
  <c r="AP77" i="4"/>
  <c r="AQ77" i="4"/>
  <c r="AR77" i="4"/>
  <c r="AS77" i="4"/>
  <c r="AJ77" i="4"/>
  <c r="AP48" i="4"/>
  <c r="AQ48" i="4"/>
  <c r="AR48" i="4"/>
  <c r="AS48" i="4"/>
  <c r="AK48" i="4"/>
  <c r="AL48" i="4"/>
  <c r="AM48" i="4"/>
  <c r="AN48" i="4"/>
  <c r="AO48" i="4"/>
  <c r="AJ48" i="4"/>
  <c r="AM33" i="4"/>
  <c r="AN33" i="4"/>
  <c r="AO33" i="4"/>
  <c r="AP33" i="4"/>
  <c r="AQ33" i="4"/>
  <c r="AR33" i="4"/>
  <c r="AS33" i="4"/>
  <c r="AK33" i="4"/>
  <c r="AL33" i="4"/>
  <c r="AJ33" i="4"/>
  <c r="AP96" i="4"/>
  <c r="AQ96" i="4"/>
  <c r="AR96" i="4"/>
  <c r="AS96" i="4"/>
  <c r="AK96" i="4"/>
  <c r="AL96" i="4"/>
  <c r="AM96" i="4"/>
  <c r="AN96" i="4"/>
  <c r="AO96" i="4"/>
  <c r="AJ96" i="4"/>
  <c r="AP72" i="4"/>
  <c r="AQ72" i="4"/>
  <c r="AR72" i="4"/>
  <c r="AS72" i="4"/>
  <c r="AK72" i="4"/>
  <c r="AL72" i="4"/>
  <c r="AM72" i="4"/>
  <c r="AN72" i="4"/>
  <c r="AO72" i="4"/>
  <c r="AJ72" i="4"/>
  <c r="AR99" i="4"/>
  <c r="AS99" i="4"/>
  <c r="AJ99" i="4"/>
  <c r="AK99" i="4"/>
  <c r="AL99" i="4"/>
  <c r="AM99" i="4"/>
  <c r="AN99" i="4"/>
  <c r="AO99" i="4"/>
  <c r="AP99" i="4"/>
  <c r="AQ99" i="4"/>
  <c r="AS75" i="4"/>
  <c r="AK75" i="4"/>
  <c r="AL75" i="4"/>
  <c r="AM75" i="4"/>
  <c r="AN75" i="4"/>
  <c r="AO75" i="4"/>
  <c r="AP75" i="4"/>
  <c r="AQ75" i="4"/>
  <c r="AR75" i="4"/>
  <c r="AJ75" i="4"/>
  <c r="AL44" i="4"/>
  <c r="AM44" i="4"/>
  <c r="AN44" i="4"/>
  <c r="AO44" i="4"/>
  <c r="AP44" i="4"/>
  <c r="AQ44" i="4"/>
  <c r="AR44" i="4"/>
  <c r="AS44" i="4"/>
  <c r="AK44" i="4"/>
  <c r="AJ44" i="4"/>
  <c r="AK53" i="4"/>
  <c r="AL53" i="4"/>
  <c r="AM53" i="4"/>
  <c r="AN53" i="4"/>
  <c r="AO53" i="4"/>
  <c r="AP53" i="4"/>
  <c r="AQ53" i="4"/>
  <c r="AR53" i="4"/>
  <c r="AS53" i="4"/>
  <c r="AJ53" i="4"/>
  <c r="AN94" i="4"/>
  <c r="AO94" i="4"/>
  <c r="AP94" i="4"/>
  <c r="AQ94" i="4"/>
  <c r="AR94" i="4"/>
  <c r="AS94" i="4"/>
  <c r="AK94" i="4"/>
  <c r="AL94" i="4"/>
  <c r="AM94" i="4"/>
  <c r="AJ94" i="4"/>
  <c r="AN70" i="4"/>
  <c r="AO70" i="4"/>
  <c r="AP70" i="4"/>
  <c r="AQ70" i="4"/>
  <c r="AR70" i="4"/>
  <c r="AS70" i="4"/>
  <c r="AK70" i="4"/>
  <c r="AL70" i="4"/>
  <c r="AM70" i="4"/>
  <c r="AJ70" i="4"/>
  <c r="AQ97" i="4"/>
  <c r="AR97" i="4"/>
  <c r="AS97" i="4"/>
  <c r="AK97" i="4"/>
  <c r="AL97" i="4"/>
  <c r="AM97" i="4"/>
  <c r="AN97" i="4"/>
  <c r="AO97" i="4"/>
  <c r="AP97" i="4"/>
  <c r="AJ97" i="4"/>
  <c r="AQ73" i="4"/>
  <c r="AR73" i="4"/>
  <c r="AS73" i="4"/>
  <c r="AK73" i="4"/>
  <c r="AL73" i="4"/>
  <c r="AM73" i="4"/>
  <c r="AN73" i="4"/>
  <c r="AO73" i="4"/>
  <c r="AP73" i="4"/>
  <c r="AJ73" i="4"/>
  <c r="AK31" i="4"/>
  <c r="AL31" i="4"/>
  <c r="AM31" i="4"/>
  <c r="AN31" i="4"/>
  <c r="AO31" i="4"/>
  <c r="AP31" i="4"/>
  <c r="AQ31" i="4"/>
  <c r="AR31" i="4"/>
  <c r="AS31" i="4"/>
  <c r="AJ31" i="4"/>
  <c r="AQ49" i="4"/>
  <c r="AR49" i="4"/>
  <c r="AS49" i="4"/>
  <c r="AK49" i="4"/>
  <c r="AL49" i="4"/>
  <c r="AM49" i="4"/>
  <c r="AN49" i="4"/>
  <c r="AO49" i="4"/>
  <c r="AP49" i="4"/>
  <c r="AJ49" i="4"/>
  <c r="AL92" i="4"/>
  <c r="AM92" i="4"/>
  <c r="AN92" i="4"/>
  <c r="AO92" i="4"/>
  <c r="AP92" i="4"/>
  <c r="AQ92" i="4"/>
  <c r="AR92" i="4"/>
  <c r="AS92" i="4"/>
  <c r="AK92" i="4"/>
  <c r="AJ92" i="4"/>
  <c r="AL68" i="4"/>
  <c r="AM68" i="4"/>
  <c r="AN68" i="4"/>
  <c r="AO68" i="4"/>
  <c r="AP68" i="4"/>
  <c r="AQ68" i="4"/>
  <c r="AR68" i="4"/>
  <c r="AS68" i="4"/>
  <c r="AK68" i="4"/>
  <c r="AJ68" i="4"/>
  <c r="AO95" i="4"/>
  <c r="AP95" i="4"/>
  <c r="AQ95" i="4"/>
  <c r="AR95" i="4"/>
  <c r="AS95" i="4"/>
  <c r="AK95" i="4"/>
  <c r="AL95" i="4"/>
  <c r="AM95" i="4"/>
  <c r="AN95" i="4"/>
  <c r="AJ95" i="4"/>
  <c r="AO71" i="4"/>
  <c r="AP71" i="4"/>
  <c r="AQ71" i="4"/>
  <c r="AR71" i="4"/>
  <c r="AS71" i="4"/>
  <c r="AK71" i="4"/>
  <c r="AL71" i="4"/>
  <c r="AM71" i="4"/>
  <c r="AN71" i="4"/>
  <c r="AJ71" i="4"/>
  <c r="AK54" i="4"/>
  <c r="AL54" i="4"/>
  <c r="AM54" i="4"/>
  <c r="AN54" i="4"/>
  <c r="AO54" i="4"/>
  <c r="AP54" i="4"/>
  <c r="AQ54" i="4"/>
  <c r="AR54" i="4"/>
  <c r="AS54" i="4"/>
  <c r="AJ54" i="4"/>
  <c r="AM45" i="4"/>
  <c r="AN45" i="4"/>
  <c r="AO45" i="4"/>
  <c r="AP45" i="4"/>
  <c r="AQ45" i="4"/>
  <c r="AR45" i="4"/>
  <c r="AS45" i="4"/>
  <c r="AK45" i="4"/>
  <c r="AL45" i="4"/>
  <c r="AJ45" i="4"/>
  <c r="AK90" i="4"/>
  <c r="AL90" i="4"/>
  <c r="AM90" i="4"/>
  <c r="AN90" i="4"/>
  <c r="AO90" i="4"/>
  <c r="AP90" i="4"/>
  <c r="AQ90" i="4"/>
  <c r="AR90" i="4"/>
  <c r="AS90" i="4"/>
  <c r="AJ90" i="4"/>
  <c r="AK66" i="4"/>
  <c r="AL66" i="4"/>
  <c r="AM66" i="4"/>
  <c r="AN66" i="4"/>
  <c r="AO66" i="4"/>
  <c r="AP66" i="4"/>
  <c r="AQ66" i="4"/>
  <c r="AR66" i="4"/>
  <c r="AS66" i="4"/>
  <c r="AJ66" i="4"/>
  <c r="AM93" i="4"/>
  <c r="AN93" i="4"/>
  <c r="AO93" i="4"/>
  <c r="AP93" i="4"/>
  <c r="AQ93" i="4"/>
  <c r="AR93" i="4"/>
  <c r="AS93" i="4"/>
  <c r="AK93" i="4"/>
  <c r="AL93" i="4"/>
  <c r="AJ93" i="4"/>
  <c r="AM69" i="4"/>
  <c r="AN69" i="4"/>
  <c r="AO69" i="4"/>
  <c r="AP69" i="4"/>
  <c r="AQ69" i="4"/>
  <c r="AR69" i="4"/>
  <c r="AS69" i="4"/>
  <c r="AK69" i="4"/>
  <c r="AL69" i="4"/>
  <c r="AJ69" i="4"/>
  <c r="AR50" i="4"/>
  <c r="AS50" i="4"/>
  <c r="AK50" i="4"/>
  <c r="AL50" i="4"/>
  <c r="AM50" i="4"/>
  <c r="AN50" i="4"/>
  <c r="AO50" i="4"/>
  <c r="AP50" i="4"/>
  <c r="AQ50" i="4"/>
  <c r="AJ50" i="4"/>
  <c r="AG26" i="2"/>
  <c r="AG27" i="2" s="1"/>
  <c r="AG28" i="2" s="1"/>
  <c r="AG29" i="2" s="1"/>
  <c r="AG30" i="2" s="1"/>
  <c r="AG31" i="2" s="1"/>
  <c r="AG32" i="2" s="1"/>
  <c r="AG33" i="2" s="1"/>
  <c r="AG34" i="2" s="1"/>
  <c r="AG35" i="2" s="1"/>
  <c r="AG36" i="2" s="1"/>
  <c r="AG37" i="2" s="1"/>
  <c r="AG38" i="2" s="1"/>
  <c r="AG40" i="2" s="1"/>
  <c r="AG41" i="2" s="1"/>
  <c r="AG42" i="2" s="1"/>
  <c r="AG43" i="2" s="1"/>
  <c r="AG44" i="2" s="1"/>
  <c r="AG45" i="2" s="1"/>
  <c r="AI5" i="2"/>
  <c r="V51" i="4"/>
  <c r="AB51" i="4"/>
  <c r="U51" i="4"/>
  <c r="AC51" i="4"/>
  <c r="S43" i="4"/>
  <c r="T43" i="4"/>
  <c r="AC50" i="4"/>
  <c r="S42" i="4"/>
  <c r="AC43" i="4"/>
  <c r="AA48" i="4"/>
  <c r="W50" i="4"/>
  <c r="T50" i="4"/>
  <c r="AB43" i="4"/>
  <c r="W43" i="4"/>
  <c r="T42" i="4"/>
  <c r="W42" i="4"/>
  <c r="Y42" i="4"/>
  <c r="R43" i="4"/>
  <c r="R50" i="4"/>
  <c r="X50" i="4"/>
  <c r="Y43" i="4"/>
  <c r="U43" i="4"/>
  <c r="AA43" i="4"/>
  <c r="X42" i="4"/>
  <c r="AA42" i="4"/>
  <c r="V42" i="4"/>
  <c r="AB50" i="4"/>
  <c r="AC42" i="4"/>
  <c r="X43" i="4"/>
  <c r="Z43" i="4"/>
  <c r="Z42" i="4"/>
  <c r="AB42" i="4"/>
  <c r="S50" i="4"/>
  <c r="V50" i="4"/>
  <c r="Z50" i="4"/>
  <c r="Y50" i="4"/>
  <c r="U50" i="4"/>
  <c r="AA50" i="4"/>
  <c r="AA49" i="4"/>
  <c r="Z49" i="4"/>
  <c r="S49" i="4"/>
  <c r="U49" i="4"/>
  <c r="Y49" i="4"/>
  <c r="R49" i="4"/>
  <c r="W49" i="4"/>
  <c r="V49" i="4"/>
  <c r="T49" i="4"/>
  <c r="AC49" i="4"/>
  <c r="T11" i="5"/>
  <c r="B10" i="6" s="1"/>
  <c r="U11" i="5"/>
  <c r="O12" i="5"/>
  <c r="B9" i="6"/>
  <c r="J12" i="35"/>
  <c r="H14" i="35" s="1"/>
  <c r="T31" i="4"/>
  <c r="R31" i="4"/>
  <c r="V31" i="4"/>
  <c r="AH9" i="4"/>
  <c r="H11" i="6" l="1"/>
  <c r="B11" i="8"/>
  <c r="L11" i="7"/>
  <c r="B11" i="32"/>
  <c r="T12" i="5"/>
  <c r="B11" i="6" s="1"/>
  <c r="U12" i="5"/>
  <c r="O13" i="5"/>
  <c r="AC6" i="3"/>
  <c r="BA6" i="3"/>
  <c r="AY6" i="3"/>
  <c r="AW6" i="3"/>
  <c r="AU6" i="3"/>
  <c r="AS6" i="3"/>
  <c r="AZ6" i="3"/>
  <c r="AX6" i="3"/>
  <c r="AV6" i="3"/>
  <c r="AT6" i="3"/>
  <c r="AR6" i="3"/>
  <c r="AP6" i="3"/>
  <c r="AQ6" i="3"/>
  <c r="AP37" i="3"/>
  <c r="AH10" i="4"/>
  <c r="AM6" i="3"/>
  <c r="AI6" i="3"/>
  <c r="AE6" i="3"/>
  <c r="AK6" i="3"/>
  <c r="AF6" i="3"/>
  <c r="AL6" i="3"/>
  <c r="AH6" i="3"/>
  <c r="AD6" i="3"/>
  <c r="AJ6" i="3"/>
  <c r="AG6" i="3"/>
  <c r="AN6" i="3"/>
  <c r="AE16" i="3" l="1"/>
  <c r="AE17" i="3"/>
  <c r="AE18" i="3"/>
  <c r="AR18" i="3" s="1"/>
  <c r="AE19" i="3"/>
  <c r="AE7" i="3"/>
  <c r="AE15" i="3"/>
  <c r="AE21" i="3"/>
  <c r="AE22" i="3"/>
  <c r="AR22" i="3" s="1"/>
  <c r="AE8" i="3"/>
  <c r="AR8" i="3" s="1"/>
  <c r="AE9" i="3"/>
  <c r="AR9" i="3" s="1"/>
  <c r="AE10" i="3"/>
  <c r="AR10" i="3" s="1"/>
  <c r="AE11" i="3"/>
  <c r="AR11" i="3" s="1"/>
  <c r="AE12" i="3"/>
  <c r="AE13" i="3"/>
  <c r="AE14" i="3"/>
  <c r="AR14" i="3" s="1"/>
  <c r="AE20" i="3"/>
  <c r="AR20" i="3" s="1"/>
  <c r="AG8" i="3"/>
  <c r="AG9" i="3"/>
  <c r="AG10" i="3"/>
  <c r="AG11" i="3"/>
  <c r="AT11" i="3" s="1"/>
  <c r="AG12" i="3"/>
  <c r="AT12" i="3" s="1"/>
  <c r="AG13" i="3"/>
  <c r="AG14" i="3"/>
  <c r="AT14" i="3" s="1"/>
  <c r="AG15" i="3"/>
  <c r="AT15" i="3" s="1"/>
  <c r="AG16" i="3"/>
  <c r="AG17" i="3"/>
  <c r="AG18" i="3"/>
  <c r="AG19" i="3"/>
  <c r="AG20" i="3"/>
  <c r="AG21" i="3"/>
  <c r="AG22" i="3"/>
  <c r="AG7" i="3"/>
  <c r="AT7" i="3" s="1"/>
  <c r="AI14" i="3"/>
  <c r="AV14" i="3" s="1"/>
  <c r="AI7" i="3"/>
  <c r="AV7" i="3" s="1"/>
  <c r="AI13" i="3"/>
  <c r="AV13" i="3" s="1"/>
  <c r="AI16" i="3"/>
  <c r="AV16" i="3" s="1"/>
  <c r="AI17" i="3"/>
  <c r="AI18" i="3"/>
  <c r="AI19" i="3"/>
  <c r="AI20" i="3"/>
  <c r="AV20" i="3" s="1"/>
  <c r="AI8" i="3"/>
  <c r="AI9" i="3"/>
  <c r="AI10" i="3"/>
  <c r="AI11" i="3"/>
  <c r="AV11" i="3" s="1"/>
  <c r="AI12" i="3"/>
  <c r="AV12" i="3" s="1"/>
  <c r="AI15" i="3"/>
  <c r="AV15" i="3" s="1"/>
  <c r="AI21" i="3"/>
  <c r="AV21" i="3" s="1"/>
  <c r="AI22" i="3"/>
  <c r="AV22" i="3" s="1"/>
  <c r="AC8" i="3"/>
  <c r="AC9" i="3"/>
  <c r="AC10" i="3"/>
  <c r="AP10" i="3" s="1"/>
  <c r="AC11" i="3"/>
  <c r="AP11" i="3" s="1"/>
  <c r="AC12" i="3"/>
  <c r="AC13" i="3"/>
  <c r="AC14" i="3"/>
  <c r="AC15" i="3"/>
  <c r="AP15" i="3" s="1"/>
  <c r="AC16" i="3"/>
  <c r="AP16" i="3" s="1"/>
  <c r="AC17" i="3"/>
  <c r="AC18" i="3"/>
  <c r="AP18" i="3" s="1"/>
  <c r="AC19" i="3"/>
  <c r="AP19" i="3" s="1"/>
  <c r="AC20" i="3"/>
  <c r="AC21" i="3"/>
  <c r="AP21" i="3" s="1"/>
  <c r="AC22" i="3"/>
  <c r="AP22" i="3" s="1"/>
  <c r="AC7" i="3"/>
  <c r="AH7" i="3"/>
  <c r="AH8" i="3"/>
  <c r="AH9" i="3"/>
  <c r="AH10" i="3"/>
  <c r="AU10" i="3" s="1"/>
  <c r="AH11" i="3"/>
  <c r="AU11" i="3" s="1"/>
  <c r="AH12" i="3"/>
  <c r="AH13" i="3"/>
  <c r="AU13" i="3" s="1"/>
  <c r="AH14" i="3"/>
  <c r="AU14" i="3" s="1"/>
  <c r="AH15" i="3"/>
  <c r="AH16" i="3"/>
  <c r="AH17" i="3"/>
  <c r="AU17" i="3" s="1"/>
  <c r="AH18" i="3"/>
  <c r="AU18" i="3" s="1"/>
  <c r="AH19" i="3"/>
  <c r="AH20" i="3"/>
  <c r="AH21" i="3"/>
  <c r="AH22" i="3"/>
  <c r="AU22" i="3" s="1"/>
  <c r="AJ7" i="3"/>
  <c r="AW7" i="3" s="1"/>
  <c r="AJ15" i="3"/>
  <c r="AJ16" i="3"/>
  <c r="AW16" i="3" s="1"/>
  <c r="AJ19" i="3"/>
  <c r="AW19" i="3" s="1"/>
  <c r="AJ21" i="3"/>
  <c r="AJ13" i="3"/>
  <c r="AJ22" i="3"/>
  <c r="AJ17" i="3"/>
  <c r="AJ8" i="3"/>
  <c r="AJ9" i="3"/>
  <c r="AJ10" i="3"/>
  <c r="AW10" i="3" s="1"/>
  <c r="AJ11" i="3"/>
  <c r="AW11" i="3" s="1"/>
  <c r="AJ12" i="3"/>
  <c r="AJ14" i="3"/>
  <c r="AJ18" i="3"/>
  <c r="AW18" i="3" s="1"/>
  <c r="AJ20" i="3"/>
  <c r="AW20" i="3" s="1"/>
  <c r="AF13" i="3"/>
  <c r="AF18" i="3"/>
  <c r="AF7" i="3"/>
  <c r="AS7" i="3" s="1"/>
  <c r="AF15" i="3"/>
  <c r="AS15" i="3" s="1"/>
  <c r="AF19" i="3"/>
  <c r="AF16" i="3"/>
  <c r="AF20" i="3"/>
  <c r="AF21" i="3"/>
  <c r="AS21" i="3" s="1"/>
  <c r="AF22" i="3"/>
  <c r="AS22" i="3" s="1"/>
  <c r="AF8" i="3"/>
  <c r="AS8" i="3" s="1"/>
  <c r="AF9" i="3"/>
  <c r="AS9" i="3" s="1"/>
  <c r="AF10" i="3"/>
  <c r="AS10" i="3" s="1"/>
  <c r="AF11" i="3"/>
  <c r="AF12" i="3"/>
  <c r="AF14" i="3"/>
  <c r="AF17" i="3"/>
  <c r="AS17" i="3" s="1"/>
  <c r="AM19" i="3"/>
  <c r="AM20" i="3"/>
  <c r="AM21" i="3"/>
  <c r="AM22" i="3"/>
  <c r="AZ22" i="3" s="1"/>
  <c r="AM7" i="3"/>
  <c r="AZ7" i="3" s="1"/>
  <c r="AM15" i="3"/>
  <c r="AZ15" i="3" s="1"/>
  <c r="AM8" i="3"/>
  <c r="AZ8" i="3" s="1"/>
  <c r="AM9" i="3"/>
  <c r="AZ9" i="3" s="1"/>
  <c r="AM10" i="3"/>
  <c r="AM11" i="3"/>
  <c r="AM12" i="3"/>
  <c r="AM13" i="3"/>
  <c r="AZ13" i="3" s="1"/>
  <c r="AM14" i="3"/>
  <c r="AM16" i="3"/>
  <c r="AM17" i="3"/>
  <c r="AM18" i="3"/>
  <c r="AZ18" i="3" s="1"/>
  <c r="AN22" i="3"/>
  <c r="AN16" i="3"/>
  <c r="AN17" i="3"/>
  <c r="AN20" i="3"/>
  <c r="AN7" i="3"/>
  <c r="AN13" i="3"/>
  <c r="AN18" i="3"/>
  <c r="AN8" i="3"/>
  <c r="AN9" i="3"/>
  <c r="AN10" i="3"/>
  <c r="AN11" i="3"/>
  <c r="AN12" i="3"/>
  <c r="AN14" i="3"/>
  <c r="AN15" i="3"/>
  <c r="AN19" i="3"/>
  <c r="AN21" i="3"/>
  <c r="AL7" i="3"/>
  <c r="AL8" i="3"/>
  <c r="AL9" i="3"/>
  <c r="AY9" i="3" s="1"/>
  <c r="AL10" i="3"/>
  <c r="AY10" i="3" s="1"/>
  <c r="AL11" i="3"/>
  <c r="AL12" i="3"/>
  <c r="AL13" i="3"/>
  <c r="AL14" i="3"/>
  <c r="AY14" i="3" s="1"/>
  <c r="AL15" i="3"/>
  <c r="AY15" i="3" s="1"/>
  <c r="AL16" i="3"/>
  <c r="AL17" i="3"/>
  <c r="AY17" i="3" s="1"/>
  <c r="AL18" i="3"/>
  <c r="AY18" i="3" s="1"/>
  <c r="AL19" i="3"/>
  <c r="AL20" i="3"/>
  <c r="AL21" i="3"/>
  <c r="AL22" i="3"/>
  <c r="AY22" i="3" s="1"/>
  <c r="AD7" i="3"/>
  <c r="AQ7" i="3" s="1"/>
  <c r="AD8" i="3"/>
  <c r="AQ8" i="3" s="1"/>
  <c r="AD9" i="3"/>
  <c r="AQ9" i="3" s="1"/>
  <c r="AD10" i="3"/>
  <c r="AQ10" i="3" s="1"/>
  <c r="AD11" i="3"/>
  <c r="AQ11" i="3" s="1"/>
  <c r="AD12" i="3"/>
  <c r="AQ12" i="3" s="1"/>
  <c r="AD13" i="3"/>
  <c r="AQ13" i="3" s="1"/>
  <c r="AD14" i="3"/>
  <c r="AQ14" i="3" s="1"/>
  <c r="AD15" i="3"/>
  <c r="AQ15" i="3" s="1"/>
  <c r="AD16" i="3"/>
  <c r="AD17" i="3"/>
  <c r="AQ17" i="3" s="1"/>
  <c r="AD18" i="3"/>
  <c r="AQ18" i="3" s="1"/>
  <c r="AD19" i="3"/>
  <c r="AD20" i="3"/>
  <c r="AQ20" i="3" s="1"/>
  <c r="AD21" i="3"/>
  <c r="AD22" i="3"/>
  <c r="AQ22" i="3" s="1"/>
  <c r="AK8" i="3"/>
  <c r="AX8" i="3" s="1"/>
  <c r="AK9" i="3"/>
  <c r="AX9" i="3" s="1"/>
  <c r="AK10" i="3"/>
  <c r="AX10" i="3" s="1"/>
  <c r="AK11" i="3"/>
  <c r="AX11" i="3" s="1"/>
  <c r="AK12" i="3"/>
  <c r="AX12" i="3" s="1"/>
  <c r="AK13" i="3"/>
  <c r="AK14" i="3"/>
  <c r="AX14" i="3" s="1"/>
  <c r="AK15" i="3"/>
  <c r="AK16" i="3"/>
  <c r="AX16" i="3" s="1"/>
  <c r="AK17" i="3"/>
  <c r="AX17" i="3" s="1"/>
  <c r="AK18" i="3"/>
  <c r="AX18" i="3" s="1"/>
  <c r="AK19" i="3"/>
  <c r="AX19" i="3" s="1"/>
  <c r="AK20" i="3"/>
  <c r="AX20" i="3" s="1"/>
  <c r="AK21" i="3"/>
  <c r="AX21" i="3" s="1"/>
  <c r="AK22" i="3"/>
  <c r="AX22" i="3" s="1"/>
  <c r="AK7" i="3"/>
  <c r="AX7" i="3" s="1"/>
  <c r="AT16" i="3"/>
  <c r="AT19" i="3"/>
  <c r="AT22" i="3"/>
  <c r="AT23" i="3"/>
  <c r="AY26" i="3"/>
  <c r="AV23" i="3"/>
  <c r="AV24" i="3"/>
  <c r="AV26" i="3"/>
  <c r="AP41" i="3"/>
  <c r="AP8" i="3"/>
  <c r="AP14" i="3"/>
  <c r="AP26" i="3"/>
  <c r="AW9" i="3"/>
  <c r="AW13" i="3"/>
  <c r="AW17" i="3"/>
  <c r="AW21" i="3"/>
  <c r="AW25" i="3"/>
  <c r="AS13" i="3"/>
  <c r="AS23" i="3"/>
  <c r="AS25" i="3"/>
  <c r="AZ17" i="3"/>
  <c r="AZ21" i="3"/>
  <c r="AZ24" i="3"/>
  <c r="AZ25" i="3"/>
  <c r="AQ23" i="3"/>
  <c r="AQ26" i="3"/>
  <c r="AX23" i="3"/>
  <c r="AX26" i="3"/>
  <c r="AU9" i="3"/>
  <c r="AU15" i="3"/>
  <c r="AU19" i="3"/>
  <c r="AU23" i="3"/>
  <c r="AU24" i="3"/>
  <c r="AU26" i="3"/>
  <c r="AU7" i="3"/>
  <c r="AR15" i="3"/>
  <c r="AR19" i="3"/>
  <c r="AR23" i="3"/>
  <c r="AR24" i="3"/>
  <c r="AR26" i="3"/>
  <c r="AR7" i="3"/>
  <c r="H12" i="6"/>
  <c r="B12" i="8"/>
  <c r="L12" i="7"/>
  <c r="B12" i="32"/>
  <c r="T13" i="5"/>
  <c r="B12" i="6" s="1"/>
  <c r="U13" i="5"/>
  <c r="O14" i="5"/>
  <c r="AP29" i="3"/>
  <c r="AP34" i="3"/>
  <c r="AP40" i="3"/>
  <c r="AP35" i="3"/>
  <c r="AP7" i="3"/>
  <c r="AP30" i="3"/>
  <c r="AP36" i="3"/>
  <c r="AP39" i="3"/>
  <c r="AP38" i="3"/>
  <c r="AT41" i="3"/>
  <c r="AT40" i="3"/>
  <c r="AQ41" i="3"/>
  <c r="AQ40" i="3"/>
  <c r="AY41" i="3"/>
  <c r="AY40" i="3"/>
  <c r="AX41" i="3"/>
  <c r="AX40" i="3"/>
  <c r="AV41" i="3"/>
  <c r="AV40" i="3"/>
  <c r="BA41" i="3"/>
  <c r="BA40" i="3"/>
  <c r="AW41" i="3"/>
  <c r="AW40" i="3"/>
  <c r="AU41" i="3"/>
  <c r="AU40" i="3"/>
  <c r="AS41" i="3"/>
  <c r="AS40" i="3"/>
  <c r="AR41" i="3"/>
  <c r="AR40" i="3"/>
  <c r="AZ41" i="3"/>
  <c r="AZ40" i="3"/>
  <c r="AT39" i="3"/>
  <c r="AT38" i="3"/>
  <c r="AT30" i="3"/>
  <c r="AT29" i="3"/>
  <c r="AT37" i="3"/>
  <c r="AT35" i="3"/>
  <c r="AT36" i="3"/>
  <c r="AY38" i="3"/>
  <c r="AY37" i="3"/>
  <c r="AY36" i="3"/>
  <c r="AY35" i="3"/>
  <c r="AY30" i="3"/>
  <c r="AY29" i="3"/>
  <c r="AV39" i="3"/>
  <c r="AV38" i="3"/>
  <c r="AV37" i="3"/>
  <c r="AV36" i="3"/>
  <c r="AV35" i="3"/>
  <c r="AV30" i="3"/>
  <c r="AV29" i="3"/>
  <c r="AW39" i="3"/>
  <c r="AW38" i="3"/>
  <c r="AW37" i="3"/>
  <c r="AW35" i="3"/>
  <c r="AW29" i="3"/>
  <c r="AW36" i="3"/>
  <c r="AW30" i="3"/>
  <c r="AS39" i="3"/>
  <c r="AS38" i="3"/>
  <c r="AS37" i="3"/>
  <c r="AS36" i="3"/>
  <c r="AS30" i="3"/>
  <c r="AS35" i="3"/>
  <c r="AS29" i="3"/>
  <c r="AZ39" i="3"/>
  <c r="AZ38" i="3"/>
  <c r="AZ37" i="3"/>
  <c r="AZ36" i="3"/>
  <c r="AZ35" i="3"/>
  <c r="AZ30" i="3"/>
  <c r="AZ29" i="3"/>
  <c r="AQ39" i="3"/>
  <c r="AQ38" i="3"/>
  <c r="AQ37" i="3"/>
  <c r="AQ36" i="3"/>
  <c r="AQ35" i="3"/>
  <c r="AQ30" i="3"/>
  <c r="AQ29" i="3"/>
  <c r="AX37" i="3"/>
  <c r="AX35" i="3"/>
  <c r="AX39" i="3"/>
  <c r="AX38" i="3"/>
  <c r="AX36" i="3"/>
  <c r="AX30" i="3"/>
  <c r="AX29" i="3"/>
  <c r="BA39" i="3"/>
  <c r="BA37" i="3"/>
  <c r="AU39" i="3"/>
  <c r="AU38" i="3"/>
  <c r="AU37" i="3"/>
  <c r="AU36" i="3"/>
  <c r="AU35" i="3"/>
  <c r="AU30" i="3"/>
  <c r="AU29" i="3"/>
  <c r="AR39" i="3"/>
  <c r="AR38" i="3"/>
  <c r="AR37" i="3"/>
  <c r="AR36" i="3"/>
  <c r="AR35" i="3"/>
  <c r="AR30" i="3"/>
  <c r="AR29" i="3"/>
  <c r="AW28" i="3"/>
  <c r="AW27" i="3"/>
  <c r="AW26" i="3"/>
  <c r="AW24" i="3"/>
  <c r="AW23" i="3"/>
  <c r="AW22" i="3"/>
  <c r="AW15" i="3"/>
  <c r="AW14" i="3"/>
  <c r="AW12" i="3"/>
  <c r="AW8" i="3"/>
  <c r="AS28" i="3"/>
  <c r="AS27" i="3"/>
  <c r="AS26" i="3"/>
  <c r="AS24" i="3"/>
  <c r="AS20" i="3"/>
  <c r="AS19" i="3"/>
  <c r="AS18" i="3"/>
  <c r="AS16" i="3"/>
  <c r="AS14" i="3"/>
  <c r="AS12" i="3"/>
  <c r="AS11" i="3"/>
  <c r="AV28" i="3"/>
  <c r="AV27" i="3"/>
  <c r="AV25" i="3"/>
  <c r="AV19" i="3"/>
  <c r="AV18" i="3"/>
  <c r="AV17" i="3"/>
  <c r="AV10" i="3"/>
  <c r="AV9" i="3"/>
  <c r="AV8" i="3"/>
  <c r="AQ28" i="3"/>
  <c r="AQ27" i="3"/>
  <c r="AQ25" i="3"/>
  <c r="AQ24" i="3"/>
  <c r="AQ21" i="3"/>
  <c r="AQ19" i="3"/>
  <c r="AQ16" i="3"/>
  <c r="AP28" i="3"/>
  <c r="AP27" i="3"/>
  <c r="AP25" i="3"/>
  <c r="AP24" i="3"/>
  <c r="AP23" i="3"/>
  <c r="AP20" i="3"/>
  <c r="L9" i="8" s="1"/>
  <c r="AP17" i="3"/>
  <c r="AP13" i="3"/>
  <c r="AP12" i="3"/>
  <c r="AP9" i="3"/>
  <c r="AZ28" i="3"/>
  <c r="AZ27" i="3"/>
  <c r="AZ26" i="3"/>
  <c r="AZ23" i="3"/>
  <c r="AZ20" i="3"/>
  <c r="AZ19" i="3"/>
  <c r="AZ16" i="3"/>
  <c r="AZ14" i="3"/>
  <c r="AZ12" i="3"/>
  <c r="AZ11" i="3"/>
  <c r="AZ10" i="3"/>
  <c r="BA7" i="3"/>
  <c r="AU28" i="3"/>
  <c r="AU27" i="3"/>
  <c r="AU25" i="3"/>
  <c r="AU21" i="3"/>
  <c r="AU20" i="3"/>
  <c r="AU16" i="3"/>
  <c r="AU12" i="3"/>
  <c r="AU8" i="3"/>
  <c r="AX28" i="3"/>
  <c r="AX15" i="3"/>
  <c r="AX13" i="3"/>
  <c r="AX27" i="3"/>
  <c r="AX25" i="3"/>
  <c r="AX24" i="3"/>
  <c r="AT10" i="3"/>
  <c r="AT27" i="3"/>
  <c r="AT26" i="3"/>
  <c r="AT25" i="3"/>
  <c r="AT24" i="3"/>
  <c r="AT21" i="3"/>
  <c r="AT20" i="3"/>
  <c r="AT18" i="3"/>
  <c r="AT17" i="3"/>
  <c r="AT28" i="3"/>
  <c r="AT13" i="3"/>
  <c r="AT8" i="3"/>
  <c r="AT9" i="3"/>
  <c r="AY7" i="3"/>
  <c r="AY28" i="3"/>
  <c r="AY27" i="3"/>
  <c r="AY25" i="3"/>
  <c r="AY24" i="3"/>
  <c r="AY23" i="3"/>
  <c r="AY21" i="3"/>
  <c r="AY20" i="3"/>
  <c r="AY19" i="3"/>
  <c r="AY16" i="3"/>
  <c r="AY13" i="3"/>
  <c r="AY12" i="3"/>
  <c r="AY11" i="3"/>
  <c r="AY8" i="3"/>
  <c r="AR28" i="3"/>
  <c r="AR27" i="3"/>
  <c r="AR25" i="3"/>
  <c r="AR21" i="3"/>
  <c r="AR17" i="3"/>
  <c r="AR16" i="3"/>
  <c r="AR13" i="3"/>
  <c r="AR12" i="3"/>
  <c r="AH11" i="4"/>
  <c r="AU9" i="8" l="1"/>
  <c r="AO9" i="8"/>
  <c r="AJ9" i="8"/>
  <c r="AE9" i="8"/>
  <c r="AU14" i="8"/>
  <c r="R14" i="8"/>
  <c r="R14" i="32"/>
  <c r="AU12" i="8"/>
  <c r="AP12" i="8" s="1"/>
  <c r="R12" i="8"/>
  <c r="R12" i="32"/>
  <c r="AU17" i="8"/>
  <c r="AP17" i="8" s="1"/>
  <c r="R17" i="8"/>
  <c r="R17" i="32"/>
  <c r="AU19" i="8"/>
  <c r="AP19" i="8" s="1"/>
  <c r="R19" i="8"/>
  <c r="R19" i="32"/>
  <c r="AU10" i="8"/>
  <c r="R10" i="8"/>
  <c r="R10" i="32"/>
  <c r="AU16" i="8"/>
  <c r="AP16" i="8" s="1"/>
  <c r="R16" i="8"/>
  <c r="R16" i="32"/>
  <c r="AU13" i="8"/>
  <c r="AP13" i="8" s="1"/>
  <c r="R13" i="8"/>
  <c r="R13" i="32"/>
  <c r="AU20" i="8"/>
  <c r="AP20" i="8" s="1"/>
  <c r="R20" i="8"/>
  <c r="R20" i="32"/>
  <c r="AU18" i="8"/>
  <c r="R18" i="8"/>
  <c r="R18" i="32"/>
  <c r="AU11" i="8"/>
  <c r="AP11" i="8" s="1"/>
  <c r="R11" i="8"/>
  <c r="R11" i="32"/>
  <c r="AU15" i="8"/>
  <c r="AP15" i="8" s="1"/>
  <c r="R15" i="8"/>
  <c r="R15" i="32"/>
  <c r="K13" i="8"/>
  <c r="L13" i="8"/>
  <c r="I13" i="8"/>
  <c r="K17" i="8"/>
  <c r="L17" i="8"/>
  <c r="I17" i="8"/>
  <c r="J17" i="8"/>
  <c r="AI14" i="8"/>
  <c r="AG14" i="8"/>
  <c r="L14" i="8"/>
  <c r="I14" i="8"/>
  <c r="K14" i="8"/>
  <c r="J14" i="8"/>
  <c r="AG19" i="8"/>
  <c r="AI19" i="8"/>
  <c r="J19" i="8"/>
  <c r="L19" i="8"/>
  <c r="I19" i="8"/>
  <c r="K19" i="8"/>
  <c r="AG16" i="8"/>
  <c r="AI16" i="8"/>
  <c r="J16" i="8"/>
  <c r="K16" i="8"/>
  <c r="I16" i="8"/>
  <c r="L16" i="8"/>
  <c r="K9" i="8"/>
  <c r="AG15" i="8"/>
  <c r="AI15" i="8"/>
  <c r="I15" i="8"/>
  <c r="J15" i="8"/>
  <c r="L15" i="8"/>
  <c r="K15" i="8"/>
  <c r="I9" i="8"/>
  <c r="I11" i="8"/>
  <c r="K11" i="8"/>
  <c r="L11" i="8"/>
  <c r="AI18" i="8"/>
  <c r="AG18" i="8"/>
  <c r="I18" i="8"/>
  <c r="L18" i="8"/>
  <c r="J18" i="8"/>
  <c r="K18" i="8"/>
  <c r="AG17" i="8"/>
  <c r="AI17" i="8"/>
  <c r="AG10" i="8"/>
  <c r="AI10" i="8"/>
  <c r="L10" i="8"/>
  <c r="I10" i="8"/>
  <c r="K10" i="8"/>
  <c r="AI12" i="8"/>
  <c r="AG12" i="8"/>
  <c r="K12" i="8"/>
  <c r="I12" i="8"/>
  <c r="L12" i="8"/>
  <c r="AG11" i="8"/>
  <c r="AI11" i="8"/>
  <c r="AG13" i="8"/>
  <c r="AI13" i="8"/>
  <c r="F9" i="6"/>
  <c r="H13" i="6"/>
  <c r="B13" i="8"/>
  <c r="L13" i="7"/>
  <c r="B13" i="32"/>
  <c r="BA34" i="3"/>
  <c r="AS34" i="3"/>
  <c r="J12" i="32" s="1"/>
  <c r="AW34" i="3"/>
  <c r="AO16" i="8" s="1"/>
  <c r="AX34" i="3"/>
  <c r="D17" i="32" s="1"/>
  <c r="AT34" i="3"/>
  <c r="AC13" i="8" s="1"/>
  <c r="AR34" i="3"/>
  <c r="J11" i="32" s="1"/>
  <c r="AU34" i="3"/>
  <c r="D14" i="32" s="1"/>
  <c r="AQ34" i="3"/>
  <c r="J10" i="32" s="1"/>
  <c r="AZ34" i="3"/>
  <c r="J19" i="32" s="1"/>
  <c r="AV34" i="3"/>
  <c r="J15" i="32" s="1"/>
  <c r="AY34" i="3"/>
  <c r="U14" i="5"/>
  <c r="T14" i="5"/>
  <c r="M9" i="7"/>
  <c r="AP14" i="8"/>
  <c r="R9" i="32"/>
  <c r="AP10" i="8"/>
  <c r="I9" i="6"/>
  <c r="AP9" i="8"/>
  <c r="AP18" i="8"/>
  <c r="R9" i="8"/>
  <c r="O15" i="5"/>
  <c r="AG9" i="8"/>
  <c r="AI9" i="8"/>
  <c r="BA24" i="3"/>
  <c r="BB24" i="3" s="1"/>
  <c r="AA24" i="3" s="1"/>
  <c r="Y24" i="3" s="1"/>
  <c r="B24" i="4" s="1"/>
  <c r="BA28" i="3"/>
  <c r="BB28" i="3" s="1"/>
  <c r="AA28" i="3" s="1"/>
  <c r="Y28" i="3" s="1"/>
  <c r="B28" i="4" s="1"/>
  <c r="BA9" i="3"/>
  <c r="BB9" i="3" s="1"/>
  <c r="AA9" i="3" s="1"/>
  <c r="Y9" i="3" s="1"/>
  <c r="B9" i="4" s="1"/>
  <c r="BA13" i="3"/>
  <c r="BB13" i="3" s="1"/>
  <c r="AA13" i="3" s="1"/>
  <c r="Y13" i="3" s="1"/>
  <c r="B13" i="4" s="1"/>
  <c r="BA17" i="3"/>
  <c r="BB17" i="3" s="1"/>
  <c r="AA17" i="3" s="1"/>
  <c r="Y17" i="3" s="1"/>
  <c r="B17" i="4" s="1"/>
  <c r="BA21" i="3"/>
  <c r="BB21" i="3" s="1"/>
  <c r="AA21" i="3" s="1"/>
  <c r="Y21" i="3" s="1"/>
  <c r="B21" i="4" s="1"/>
  <c r="BA25" i="3"/>
  <c r="BB25" i="3" s="1"/>
  <c r="AA25" i="3" s="1"/>
  <c r="Y25" i="3" s="1"/>
  <c r="B25" i="4" s="1"/>
  <c r="AY39" i="3"/>
  <c r="BA12" i="3"/>
  <c r="BB12" i="3" s="1"/>
  <c r="AA12" i="3" s="1"/>
  <c r="Y12" i="3" s="1"/>
  <c r="B12" i="4" s="1"/>
  <c r="BA10" i="3"/>
  <c r="BA14" i="3"/>
  <c r="BB14" i="3" s="1"/>
  <c r="AA14" i="3" s="1"/>
  <c r="Y14" i="3" s="1"/>
  <c r="B14" i="4" s="1"/>
  <c r="BA18" i="3"/>
  <c r="BB18" i="3" s="1"/>
  <c r="AA18" i="3" s="1"/>
  <c r="Y18" i="3" s="1"/>
  <c r="B18" i="4" s="1"/>
  <c r="BA22" i="3"/>
  <c r="BB22" i="3" s="1"/>
  <c r="AA22" i="3" s="1"/>
  <c r="BA26" i="3"/>
  <c r="BB26" i="3" s="1"/>
  <c r="AA26" i="3" s="1"/>
  <c r="Y26" i="3" s="1"/>
  <c r="B26" i="4" s="1"/>
  <c r="BA35" i="3"/>
  <c r="BB35" i="3" s="1"/>
  <c r="AA35" i="3" s="1"/>
  <c r="Y35" i="3" s="1"/>
  <c r="B35" i="4" s="1"/>
  <c r="BA16" i="3"/>
  <c r="BA11" i="3"/>
  <c r="BB11" i="3" s="1"/>
  <c r="AA11" i="3" s="1"/>
  <c r="Y11" i="3" s="1"/>
  <c r="B11" i="4" s="1"/>
  <c r="BA15" i="3"/>
  <c r="BB15" i="3" s="1"/>
  <c r="AA15" i="3" s="1"/>
  <c r="Y15" i="3" s="1"/>
  <c r="B15" i="4" s="1"/>
  <c r="BA19" i="3"/>
  <c r="BB19" i="3" s="1"/>
  <c r="AA19" i="3" s="1"/>
  <c r="Y19" i="3" s="1"/>
  <c r="B19" i="4" s="1"/>
  <c r="BA23" i="3"/>
  <c r="BB23" i="3" s="1"/>
  <c r="AA23" i="3" s="1"/>
  <c r="Y23" i="3" s="1"/>
  <c r="B23" i="4" s="1"/>
  <c r="BA27" i="3"/>
  <c r="BB27" i="3" s="1"/>
  <c r="AA27" i="3" s="1"/>
  <c r="Y27" i="3" s="1"/>
  <c r="B27" i="4" s="1"/>
  <c r="BA20" i="3"/>
  <c r="BA29" i="3"/>
  <c r="BB29" i="3" s="1"/>
  <c r="AA29" i="3" s="1"/>
  <c r="Y29" i="3" s="1"/>
  <c r="B29" i="4" s="1"/>
  <c r="BA38" i="3"/>
  <c r="BB38" i="3" s="1"/>
  <c r="AA38" i="3" s="1"/>
  <c r="Y38" i="3" s="1"/>
  <c r="B38" i="4" s="1"/>
  <c r="BA30" i="3"/>
  <c r="BB30" i="3" s="1"/>
  <c r="BA36" i="3"/>
  <c r="BB36" i="3" s="1"/>
  <c r="AA36" i="3" s="1"/>
  <c r="Y36" i="3" s="1"/>
  <c r="B36" i="4" s="1"/>
  <c r="BA8" i="3"/>
  <c r="BB8" i="3" s="1"/>
  <c r="AA8" i="3" s="1"/>
  <c r="Y8" i="3" s="1"/>
  <c r="B8" i="4" s="1"/>
  <c r="B20" i="7"/>
  <c r="F20" i="7"/>
  <c r="J20" i="7"/>
  <c r="N20" i="7"/>
  <c r="R20" i="7"/>
  <c r="V20" i="7"/>
  <c r="Z20" i="7"/>
  <c r="C20" i="7"/>
  <c r="G20" i="7"/>
  <c r="K20" i="7"/>
  <c r="O20" i="7"/>
  <c r="S20" i="7"/>
  <c r="W20" i="7"/>
  <c r="AA20" i="7"/>
  <c r="D20" i="7"/>
  <c r="H20" i="7"/>
  <c r="P20" i="7"/>
  <c r="T20" i="7"/>
  <c r="X20" i="7"/>
  <c r="AB20" i="7"/>
  <c r="E20" i="7"/>
  <c r="M20" i="7"/>
  <c r="Q20" i="7"/>
  <c r="U20" i="7"/>
  <c r="Y20" i="7"/>
  <c r="D18" i="7"/>
  <c r="H18" i="7"/>
  <c r="P18" i="7"/>
  <c r="T18" i="7"/>
  <c r="X18" i="7"/>
  <c r="AB18" i="7"/>
  <c r="E18" i="7"/>
  <c r="M18" i="7"/>
  <c r="Q18" i="7"/>
  <c r="U18" i="7"/>
  <c r="Y18" i="7"/>
  <c r="B18" i="7"/>
  <c r="F18" i="7"/>
  <c r="J18" i="7"/>
  <c r="N18" i="7"/>
  <c r="R18" i="7"/>
  <c r="V18" i="7"/>
  <c r="Z18" i="7"/>
  <c r="C18" i="7"/>
  <c r="G18" i="7"/>
  <c r="K18" i="7"/>
  <c r="O18" i="7"/>
  <c r="S18" i="7"/>
  <c r="W18" i="7"/>
  <c r="AA18" i="7"/>
  <c r="D17" i="7"/>
  <c r="H17" i="7"/>
  <c r="P17" i="7"/>
  <c r="F17" i="7"/>
  <c r="K17" i="7"/>
  <c r="O17" i="7"/>
  <c r="T17" i="7"/>
  <c r="X17" i="7"/>
  <c r="AB17" i="7"/>
  <c r="B17" i="7"/>
  <c r="G17" i="7"/>
  <c r="Q17" i="7"/>
  <c r="U17" i="7"/>
  <c r="Y17" i="7"/>
  <c r="C17" i="7"/>
  <c r="M17" i="7"/>
  <c r="R17" i="7"/>
  <c r="V17" i="7"/>
  <c r="Z17" i="7"/>
  <c r="E17" i="7"/>
  <c r="J17" i="7"/>
  <c r="N17" i="7"/>
  <c r="S17" i="7"/>
  <c r="W17" i="7"/>
  <c r="AA17" i="7"/>
  <c r="B12" i="7"/>
  <c r="F12" i="7"/>
  <c r="J12" i="7"/>
  <c r="N12" i="7"/>
  <c r="R12" i="7"/>
  <c r="V12" i="7"/>
  <c r="Z12" i="7"/>
  <c r="C12" i="7"/>
  <c r="G12" i="7"/>
  <c r="K12" i="7"/>
  <c r="O12" i="7"/>
  <c r="S12" i="7"/>
  <c r="W12" i="7"/>
  <c r="AA12" i="7"/>
  <c r="E12" i="7"/>
  <c r="M12" i="7"/>
  <c r="U12" i="7"/>
  <c r="H12" i="7"/>
  <c r="P12" i="7"/>
  <c r="X12" i="7"/>
  <c r="Q12" i="7"/>
  <c r="Y12" i="7"/>
  <c r="D12" i="7"/>
  <c r="T12" i="7"/>
  <c r="AB12" i="7"/>
  <c r="E19" i="7"/>
  <c r="M19" i="7"/>
  <c r="Q19" i="7"/>
  <c r="U19" i="7"/>
  <c r="Y19" i="7"/>
  <c r="B19" i="7"/>
  <c r="F19" i="7"/>
  <c r="J19" i="7"/>
  <c r="N19" i="7"/>
  <c r="R19" i="7"/>
  <c r="V19" i="7"/>
  <c r="Z19" i="7"/>
  <c r="C19" i="7"/>
  <c r="G19" i="7"/>
  <c r="K19" i="7"/>
  <c r="O19" i="7"/>
  <c r="S19" i="7"/>
  <c r="W19" i="7"/>
  <c r="AA19" i="7"/>
  <c r="D19" i="7"/>
  <c r="H19" i="7"/>
  <c r="P19" i="7"/>
  <c r="T19" i="7"/>
  <c r="X19" i="7"/>
  <c r="AB19" i="7"/>
  <c r="D10" i="7"/>
  <c r="H10" i="7"/>
  <c r="P10" i="7"/>
  <c r="T10" i="7"/>
  <c r="X10" i="7"/>
  <c r="AB10" i="7"/>
  <c r="E10" i="7"/>
  <c r="M10" i="7"/>
  <c r="Q10" i="7"/>
  <c r="U10" i="7"/>
  <c r="Y10" i="7"/>
  <c r="B10" i="7"/>
  <c r="F10" i="7"/>
  <c r="S10" i="7"/>
  <c r="AA10" i="7"/>
  <c r="G10" i="7"/>
  <c r="N10" i="7"/>
  <c r="V10" i="7"/>
  <c r="J10" i="7"/>
  <c r="O10" i="7"/>
  <c r="W10" i="7"/>
  <c r="C10" i="7"/>
  <c r="K10" i="7"/>
  <c r="R10" i="7"/>
  <c r="Z10" i="7"/>
  <c r="E11" i="7"/>
  <c r="M11" i="7"/>
  <c r="Q11" i="7"/>
  <c r="U11" i="7"/>
  <c r="Y11" i="7"/>
  <c r="B11" i="7"/>
  <c r="F11" i="7"/>
  <c r="J11" i="7"/>
  <c r="N11" i="7"/>
  <c r="R11" i="7"/>
  <c r="V11" i="7"/>
  <c r="Z11" i="7"/>
  <c r="H11" i="7"/>
  <c r="P11" i="7"/>
  <c r="X11" i="7"/>
  <c r="C11" i="7"/>
  <c r="K11" i="7"/>
  <c r="S11" i="7"/>
  <c r="AA11" i="7"/>
  <c r="D11" i="7"/>
  <c r="T11" i="7"/>
  <c r="AB11" i="7"/>
  <c r="G11" i="7"/>
  <c r="O11" i="7"/>
  <c r="W11" i="7"/>
  <c r="C13" i="7"/>
  <c r="G13" i="7"/>
  <c r="K13" i="7"/>
  <c r="O13" i="7"/>
  <c r="S13" i="7"/>
  <c r="D13" i="7"/>
  <c r="H13" i="7"/>
  <c r="P13" i="7"/>
  <c r="T13" i="7"/>
  <c r="X13" i="7"/>
  <c r="AB13" i="7"/>
  <c r="B13" i="7"/>
  <c r="J13" i="7"/>
  <c r="Q13" i="7"/>
  <c r="W13" i="7"/>
  <c r="E13" i="7"/>
  <c r="R13" i="7"/>
  <c r="Y13" i="7"/>
  <c r="F13" i="7"/>
  <c r="M13" i="7"/>
  <c r="U13" i="7"/>
  <c r="Z13" i="7"/>
  <c r="N13" i="7"/>
  <c r="V13" i="7"/>
  <c r="AA13" i="7"/>
  <c r="E14" i="7"/>
  <c r="M14" i="7"/>
  <c r="Q14" i="7"/>
  <c r="U14" i="7"/>
  <c r="Y14" i="7"/>
  <c r="B14" i="7"/>
  <c r="G14" i="7"/>
  <c r="R14" i="7"/>
  <c r="W14" i="7"/>
  <c r="AB14" i="7"/>
  <c r="C14" i="7"/>
  <c r="H14" i="7"/>
  <c r="N14" i="7"/>
  <c r="S14" i="7"/>
  <c r="X14" i="7"/>
  <c r="D14" i="7"/>
  <c r="J14" i="7"/>
  <c r="O14" i="7"/>
  <c r="T14" i="7"/>
  <c r="Z14" i="7"/>
  <c r="F14" i="7"/>
  <c r="K14" i="7"/>
  <c r="P14" i="7"/>
  <c r="V14" i="7"/>
  <c r="AA14" i="7"/>
  <c r="B15" i="7"/>
  <c r="F15" i="7"/>
  <c r="J15" i="7"/>
  <c r="N15" i="7"/>
  <c r="R15" i="7"/>
  <c r="V15" i="7"/>
  <c r="Z15" i="7"/>
  <c r="G15" i="7"/>
  <c r="Q15" i="7"/>
  <c r="W15" i="7"/>
  <c r="AB15" i="7"/>
  <c r="C15" i="7"/>
  <c r="H15" i="7"/>
  <c r="M15" i="7"/>
  <c r="S15" i="7"/>
  <c r="X15" i="7"/>
  <c r="D15" i="7"/>
  <c r="O15" i="7"/>
  <c r="T15" i="7"/>
  <c r="Y15" i="7"/>
  <c r="E15" i="7"/>
  <c r="K15" i="7"/>
  <c r="P15" i="7"/>
  <c r="U15" i="7"/>
  <c r="AA15" i="7"/>
  <c r="C16" i="7"/>
  <c r="G16" i="7"/>
  <c r="K16" i="7"/>
  <c r="O16" i="7"/>
  <c r="S16" i="7"/>
  <c r="W16" i="7"/>
  <c r="AA16" i="7"/>
  <c r="F16" i="7"/>
  <c r="Q16" i="7"/>
  <c r="V16" i="7"/>
  <c r="AB16" i="7"/>
  <c r="B16" i="7"/>
  <c r="H16" i="7"/>
  <c r="M16" i="7"/>
  <c r="R16" i="7"/>
  <c r="X16" i="7"/>
  <c r="D16" i="7"/>
  <c r="N16" i="7"/>
  <c r="T16" i="7"/>
  <c r="Y16" i="7"/>
  <c r="E16" i="7"/>
  <c r="J16" i="7"/>
  <c r="P16" i="7"/>
  <c r="U16" i="7"/>
  <c r="Z16" i="7"/>
  <c r="BB37" i="3"/>
  <c r="BB41" i="3"/>
  <c r="BB40" i="3"/>
  <c r="AA40" i="3" s="1"/>
  <c r="Y40" i="3" s="1"/>
  <c r="B40" i="4" s="1"/>
  <c r="AL9" i="8"/>
  <c r="F9" i="32"/>
  <c r="N9" i="32"/>
  <c r="AB9" i="8"/>
  <c r="K9" i="32"/>
  <c r="AN9" i="8"/>
  <c r="D9" i="32"/>
  <c r="L9" i="32"/>
  <c r="I9" i="32"/>
  <c r="Q9" i="32"/>
  <c r="AM9" i="8"/>
  <c r="AH9" i="8"/>
  <c r="G9" i="32"/>
  <c r="P9" i="32"/>
  <c r="AD9" i="8"/>
  <c r="R9" i="6"/>
  <c r="B9" i="7"/>
  <c r="G9" i="7"/>
  <c r="P9" i="7"/>
  <c r="Q9" i="7"/>
  <c r="U9" i="7"/>
  <c r="Y9" i="7"/>
  <c r="F9" i="7"/>
  <c r="G9" i="6"/>
  <c r="N9" i="7"/>
  <c r="E9" i="7"/>
  <c r="J9" i="7"/>
  <c r="R9" i="7"/>
  <c r="V9" i="7"/>
  <c r="Z9" i="7"/>
  <c r="P9" i="6"/>
  <c r="Q9" i="6"/>
  <c r="D9" i="7"/>
  <c r="S9" i="7"/>
  <c r="W9" i="7"/>
  <c r="AA9" i="7"/>
  <c r="K9" i="7"/>
  <c r="C9" i="7"/>
  <c r="H9" i="7"/>
  <c r="O9" i="7"/>
  <c r="T9" i="7"/>
  <c r="X9" i="7"/>
  <c r="AB9" i="7"/>
  <c r="AH12" i="4"/>
  <c r="P40" i="4" l="1"/>
  <c r="Q40" i="4"/>
  <c r="O40" i="4"/>
  <c r="L40" i="4"/>
  <c r="M40" i="4"/>
  <c r="N40" i="4"/>
  <c r="L35" i="4"/>
  <c r="M35" i="4"/>
  <c r="N35" i="4"/>
  <c r="O35" i="4"/>
  <c r="P35" i="4"/>
  <c r="Q35" i="4"/>
  <c r="P36" i="4"/>
  <c r="Q36" i="4"/>
  <c r="O36" i="4"/>
  <c r="L36" i="4"/>
  <c r="M36" i="4"/>
  <c r="N36" i="4"/>
  <c r="P26" i="4"/>
  <c r="Q26" i="4"/>
  <c r="L26" i="4"/>
  <c r="M26" i="4"/>
  <c r="N26" i="4"/>
  <c r="O26" i="4"/>
  <c r="P28" i="4"/>
  <c r="Q28" i="4"/>
  <c r="L28" i="4"/>
  <c r="M28" i="4"/>
  <c r="N28" i="4"/>
  <c r="O28" i="4"/>
  <c r="P38" i="4"/>
  <c r="Q38" i="4"/>
  <c r="L38" i="4"/>
  <c r="M38" i="4"/>
  <c r="N38" i="4"/>
  <c r="O38" i="4"/>
  <c r="L29" i="4"/>
  <c r="M29" i="4"/>
  <c r="N29" i="4"/>
  <c r="O29" i="4"/>
  <c r="P29" i="4"/>
  <c r="Q29" i="4"/>
  <c r="L27" i="4"/>
  <c r="M27" i="4"/>
  <c r="N27" i="4"/>
  <c r="O27" i="4"/>
  <c r="P27" i="4"/>
  <c r="Q27" i="4"/>
  <c r="L23" i="4"/>
  <c r="M23" i="4"/>
  <c r="N23" i="4"/>
  <c r="O23" i="4"/>
  <c r="P23" i="4"/>
  <c r="Q23" i="4"/>
  <c r="AE18" i="8"/>
  <c r="AJ10" i="8"/>
  <c r="AE13" i="8"/>
  <c r="AO18" i="8"/>
  <c r="AO10" i="8"/>
  <c r="AJ13" i="8"/>
  <c r="AE11" i="8"/>
  <c r="AE10" i="8"/>
  <c r="AO13" i="8"/>
  <c r="AJ11" i="8"/>
  <c r="AE20" i="8"/>
  <c r="AE12" i="8"/>
  <c r="AO11" i="8"/>
  <c r="AJ20" i="8"/>
  <c r="AJ12" i="8"/>
  <c r="AJ18" i="8"/>
  <c r="AO20" i="8"/>
  <c r="AO12" i="8"/>
  <c r="AE14" i="8"/>
  <c r="AE16" i="8"/>
  <c r="AJ14" i="8"/>
  <c r="AJ16" i="8"/>
  <c r="AO14" i="8"/>
  <c r="AE17" i="8"/>
  <c r="AE19" i="8"/>
  <c r="AE15" i="8"/>
  <c r="AJ17" i="8"/>
  <c r="AJ19" i="8"/>
  <c r="AJ15" i="8"/>
  <c r="AO17" i="8"/>
  <c r="AO19" i="8"/>
  <c r="AO15" i="8"/>
  <c r="K23" i="4"/>
  <c r="K15" i="4"/>
  <c r="K21" i="4"/>
  <c r="K40" i="4"/>
  <c r="K13" i="4"/>
  <c r="K35" i="4"/>
  <c r="K27" i="4"/>
  <c r="K36" i="4"/>
  <c r="K26" i="4"/>
  <c r="K28" i="4"/>
  <c r="K24" i="4"/>
  <c r="K38" i="4"/>
  <c r="K18" i="4"/>
  <c r="K29" i="4"/>
  <c r="BB34" i="3"/>
  <c r="AA34" i="3" s="1"/>
  <c r="Y22" i="3"/>
  <c r="B22" i="4" s="1"/>
  <c r="T9" i="8"/>
  <c r="H27" i="4"/>
  <c r="J27" i="4"/>
  <c r="I27" i="4"/>
  <c r="G27" i="4"/>
  <c r="I38" i="4"/>
  <c r="J38" i="4"/>
  <c r="H38" i="4"/>
  <c r="G38" i="4"/>
  <c r="H29" i="4"/>
  <c r="J29" i="4"/>
  <c r="I29" i="4"/>
  <c r="G29" i="4"/>
  <c r="J35" i="4"/>
  <c r="G35" i="4"/>
  <c r="H35" i="4"/>
  <c r="I35" i="4"/>
  <c r="I40" i="4"/>
  <c r="J40" i="4"/>
  <c r="H40" i="4"/>
  <c r="G40" i="4"/>
  <c r="J36" i="4"/>
  <c r="G36" i="4"/>
  <c r="H36" i="4"/>
  <c r="I36" i="4"/>
  <c r="H28" i="4"/>
  <c r="J28" i="4"/>
  <c r="G28" i="4"/>
  <c r="I28" i="4"/>
  <c r="E8" i="4"/>
  <c r="P8" i="4" s="1"/>
  <c r="E29" i="4"/>
  <c r="E35" i="4"/>
  <c r="E14" i="4"/>
  <c r="P14" i="4" s="1"/>
  <c r="Q25" i="4"/>
  <c r="E9" i="4"/>
  <c r="L9" i="4" s="1"/>
  <c r="E40" i="4"/>
  <c r="E36" i="4"/>
  <c r="E15" i="4"/>
  <c r="L15" i="4" s="1"/>
  <c r="E26" i="4"/>
  <c r="Q21" i="4"/>
  <c r="E28" i="4"/>
  <c r="E27" i="4"/>
  <c r="E11" i="4"/>
  <c r="Q11" i="4" s="1"/>
  <c r="E12" i="4"/>
  <c r="L17" i="4"/>
  <c r="P24" i="4"/>
  <c r="E38" i="4"/>
  <c r="P18" i="4"/>
  <c r="E13" i="4"/>
  <c r="Q13" i="4" s="1"/>
  <c r="K15" i="32"/>
  <c r="AN15" i="8"/>
  <c r="AL15" i="8"/>
  <c r="T12" i="8"/>
  <c r="T13" i="8"/>
  <c r="T18" i="8"/>
  <c r="T17" i="8"/>
  <c r="T15" i="8"/>
  <c r="BB20" i="3"/>
  <c r="AA20" i="3" s="1"/>
  <c r="Y20" i="3" s="1"/>
  <c r="B20" i="4" s="1"/>
  <c r="K20" i="8"/>
  <c r="I20" i="8"/>
  <c r="L20" i="8"/>
  <c r="J20" i="8"/>
  <c r="T10" i="8"/>
  <c r="T14" i="8"/>
  <c r="BB16" i="3"/>
  <c r="AA16" i="3" s="1"/>
  <c r="Y16" i="3" s="1"/>
  <c r="B16" i="4" s="1"/>
  <c r="AI20" i="8"/>
  <c r="AG20" i="8"/>
  <c r="T19" i="8"/>
  <c r="T11" i="8"/>
  <c r="T16" i="8"/>
  <c r="D18" i="32"/>
  <c r="AH15" i="8"/>
  <c r="G15" i="32"/>
  <c r="AC15" i="8"/>
  <c r="I15" i="32"/>
  <c r="N15" i="32"/>
  <c r="P15" i="32"/>
  <c r="AM15" i="8"/>
  <c r="F15" i="32"/>
  <c r="D15" i="32"/>
  <c r="N16" i="32"/>
  <c r="F16" i="32"/>
  <c r="G16" i="32"/>
  <c r="AB16" i="8"/>
  <c r="Q16" i="32"/>
  <c r="AM19" i="8"/>
  <c r="AD19" i="8"/>
  <c r="L19" i="32"/>
  <c r="G14" i="32"/>
  <c r="AL14" i="8"/>
  <c r="G12" i="6"/>
  <c r="K12" i="32"/>
  <c r="AH12" i="8"/>
  <c r="L12" i="32"/>
  <c r="G12" i="32"/>
  <c r="AB13" i="8"/>
  <c r="Q13" i="32"/>
  <c r="L13" i="32"/>
  <c r="AH13" i="8"/>
  <c r="I13" i="32"/>
  <c r="D13" i="32"/>
  <c r="G11" i="6"/>
  <c r="P11" i="32"/>
  <c r="G11" i="32"/>
  <c r="AM11" i="8"/>
  <c r="P10" i="32"/>
  <c r="F10" i="32"/>
  <c r="AM10" i="8"/>
  <c r="AD10" i="8"/>
  <c r="O10" i="32"/>
  <c r="AH17" i="8"/>
  <c r="AB17" i="8"/>
  <c r="Q17" i="32"/>
  <c r="L17" i="32"/>
  <c r="J17" i="32"/>
  <c r="AL18" i="8"/>
  <c r="K18" i="32"/>
  <c r="L18" i="32"/>
  <c r="I18" i="32"/>
  <c r="AD15" i="8"/>
  <c r="O15" i="32"/>
  <c r="L15" i="32"/>
  <c r="AB15" i="8"/>
  <c r="Q15" i="32"/>
  <c r="AN16" i="8"/>
  <c r="AL16" i="8"/>
  <c r="I16" i="32"/>
  <c r="D16" i="32"/>
  <c r="AN19" i="8"/>
  <c r="K19" i="32"/>
  <c r="P19" i="32"/>
  <c r="Q19" i="32"/>
  <c r="N19" i="32"/>
  <c r="K14" i="32"/>
  <c r="AB14" i="8"/>
  <c r="Q14" i="32"/>
  <c r="I14" i="32"/>
  <c r="AH14" i="8"/>
  <c r="J14" i="32"/>
  <c r="AM12" i="8"/>
  <c r="AD12" i="8"/>
  <c r="O12" i="32"/>
  <c r="I12" i="32"/>
  <c r="AB12" i="8"/>
  <c r="Q12" i="32"/>
  <c r="AM13" i="8"/>
  <c r="AD13" i="8"/>
  <c r="O13" i="32"/>
  <c r="J13" i="32"/>
  <c r="AL11" i="8"/>
  <c r="AC11" i="8"/>
  <c r="AN11" i="8"/>
  <c r="I11" i="32"/>
  <c r="N11" i="32"/>
  <c r="AC10" i="8"/>
  <c r="AN10" i="8"/>
  <c r="L10" i="32"/>
  <c r="N10" i="32"/>
  <c r="D10" i="32"/>
  <c r="AD17" i="8"/>
  <c r="AL17" i="8"/>
  <c r="AM17" i="8"/>
  <c r="I17" i="32"/>
  <c r="P17" i="32"/>
  <c r="AH18" i="8"/>
  <c r="P18" i="32"/>
  <c r="J18" i="32"/>
  <c r="AC16" i="8"/>
  <c r="K16" i="32"/>
  <c r="AH16" i="8"/>
  <c r="L16" i="32"/>
  <c r="P16" i="32"/>
  <c r="J16" i="32"/>
  <c r="AL19" i="8"/>
  <c r="AC19" i="8"/>
  <c r="O19" i="32"/>
  <c r="G19" i="32"/>
  <c r="D19" i="32"/>
  <c r="P14" i="32"/>
  <c r="F14" i="32"/>
  <c r="AM14" i="8"/>
  <c r="AD14" i="8"/>
  <c r="O14" i="32"/>
  <c r="N12" i="32"/>
  <c r="F12" i="32"/>
  <c r="P12" i="32"/>
  <c r="D12" i="32"/>
  <c r="AN13" i="8"/>
  <c r="K13" i="32"/>
  <c r="N13" i="32"/>
  <c r="G13" i="32"/>
  <c r="P13" i="32"/>
  <c r="AH11" i="8"/>
  <c r="K11" i="32"/>
  <c r="F11" i="32"/>
  <c r="D11" i="32"/>
  <c r="F10" i="6"/>
  <c r="G10" i="32"/>
  <c r="AL10" i="8"/>
  <c r="AC17" i="8"/>
  <c r="AN17" i="8"/>
  <c r="K17" i="32"/>
  <c r="N17" i="32"/>
  <c r="O17" i="32"/>
  <c r="AM18" i="8"/>
  <c r="AC18" i="8"/>
  <c r="AB18" i="8"/>
  <c r="Q18" i="32"/>
  <c r="N18" i="32"/>
  <c r="O18" i="32"/>
  <c r="AM16" i="8"/>
  <c r="AD16" i="8"/>
  <c r="O16" i="32"/>
  <c r="AB19" i="8"/>
  <c r="AH19" i="8"/>
  <c r="F19" i="32"/>
  <c r="I19" i="32"/>
  <c r="AC14" i="8"/>
  <c r="AN14" i="8"/>
  <c r="L14" i="32"/>
  <c r="N14" i="32"/>
  <c r="F12" i="6"/>
  <c r="AL12" i="8"/>
  <c r="AC12" i="8"/>
  <c r="AN12" i="8"/>
  <c r="F13" i="32"/>
  <c r="AL13" i="8"/>
  <c r="F11" i="6"/>
  <c r="AD11" i="8"/>
  <c r="O11" i="32"/>
  <c r="L11" i="32"/>
  <c r="AB11" i="8"/>
  <c r="Q11" i="32"/>
  <c r="G10" i="6"/>
  <c r="K10" i="32"/>
  <c r="AB10" i="8"/>
  <c r="Q10" i="32"/>
  <c r="I10" i="32"/>
  <c r="AH10" i="8"/>
  <c r="F17" i="32"/>
  <c r="G17" i="32"/>
  <c r="AD18" i="8"/>
  <c r="AN18" i="8"/>
  <c r="F18" i="32"/>
  <c r="G18" i="32"/>
  <c r="BB10" i="3"/>
  <c r="AA10" i="3" s="1"/>
  <c r="Y10" i="3" s="1"/>
  <c r="B10" i="4" s="1"/>
  <c r="Q20" i="32"/>
  <c r="J20" i="32"/>
  <c r="D20" i="32"/>
  <c r="P20" i="32"/>
  <c r="I20" i="32"/>
  <c r="G20" i="32"/>
  <c r="O20" i="32"/>
  <c r="L20" i="32"/>
  <c r="F20" i="32"/>
  <c r="N20" i="32"/>
  <c r="K20" i="32"/>
  <c r="AD20" i="8"/>
  <c r="AH20" i="8"/>
  <c r="AM20" i="8"/>
  <c r="AB20" i="8"/>
  <c r="AN20" i="8"/>
  <c r="AC20" i="8"/>
  <c r="AL20" i="8"/>
  <c r="Y34" i="3"/>
  <c r="B34" i="4" s="1"/>
  <c r="AA37" i="3"/>
  <c r="Y37" i="3" s="1"/>
  <c r="B37" i="4" s="1"/>
  <c r="J9" i="6"/>
  <c r="H14" i="6"/>
  <c r="B14" i="8"/>
  <c r="L14" i="7"/>
  <c r="AI14" i="7" s="1"/>
  <c r="B14" i="32"/>
  <c r="T15" i="5"/>
  <c r="B14" i="6" s="1"/>
  <c r="U15" i="5"/>
  <c r="AA30" i="3"/>
  <c r="Y30" i="3" s="1"/>
  <c r="B30" i="4" s="1"/>
  <c r="O16" i="5"/>
  <c r="D11" i="4"/>
  <c r="D27" i="4"/>
  <c r="AC27" i="4"/>
  <c r="V27" i="4"/>
  <c r="U27" i="4"/>
  <c r="R27" i="4"/>
  <c r="X27" i="4"/>
  <c r="AB27" i="4"/>
  <c r="Y27" i="4"/>
  <c r="S27" i="4"/>
  <c r="Z27" i="4"/>
  <c r="T27" i="4"/>
  <c r="AA27" i="4"/>
  <c r="D12" i="4"/>
  <c r="D14" i="4"/>
  <c r="D29" i="4"/>
  <c r="Y29" i="4"/>
  <c r="T29" i="4"/>
  <c r="AC29" i="4"/>
  <c r="X29" i="4"/>
  <c r="W29" i="4"/>
  <c r="R29" i="4"/>
  <c r="S29" i="4"/>
  <c r="V29" i="4"/>
  <c r="U29" i="4"/>
  <c r="Z29" i="4"/>
  <c r="AA29" i="4"/>
  <c r="AB29" i="4"/>
  <c r="D19" i="4"/>
  <c r="D35" i="4"/>
  <c r="W35" i="4"/>
  <c r="AC35" i="4"/>
  <c r="S35" i="4"/>
  <c r="Z35" i="4"/>
  <c r="AA35" i="4"/>
  <c r="R35" i="4"/>
  <c r="AB35" i="4"/>
  <c r="L19" i="6" s="1"/>
  <c r="V35" i="4"/>
  <c r="U35" i="4"/>
  <c r="D38" i="4"/>
  <c r="R38" i="4"/>
  <c r="D13" i="4"/>
  <c r="U15" i="4"/>
  <c r="D15" i="4"/>
  <c r="D25" i="4"/>
  <c r="S9" i="4"/>
  <c r="D9" i="4"/>
  <c r="D23" i="4"/>
  <c r="S23" i="4"/>
  <c r="X23" i="4"/>
  <c r="R23" i="4"/>
  <c r="AC23" i="4"/>
  <c r="Y23" i="4"/>
  <c r="AA23" i="4"/>
  <c r="U23" i="4"/>
  <c r="Z23" i="4"/>
  <c r="D18" i="4"/>
  <c r="Y18" i="4"/>
  <c r="R18" i="4"/>
  <c r="D21" i="4"/>
  <c r="U21" i="4"/>
  <c r="Y21" i="4"/>
  <c r="R21" i="4"/>
  <c r="D28" i="4"/>
  <c r="AA28" i="4"/>
  <c r="U28" i="4"/>
  <c r="AB28" i="4"/>
  <c r="Y28" i="4"/>
  <c r="R28" i="4"/>
  <c r="V28" i="4"/>
  <c r="W28" i="4"/>
  <c r="X28" i="4"/>
  <c r="AC28" i="4"/>
  <c r="T28" i="4"/>
  <c r="Z28" i="4"/>
  <c r="S28" i="4"/>
  <c r="D26" i="4"/>
  <c r="X26" i="4"/>
  <c r="AC26" i="4"/>
  <c r="Z26" i="4"/>
  <c r="AA26" i="4"/>
  <c r="V26" i="4"/>
  <c r="U26" i="4"/>
  <c r="AB26" i="4"/>
  <c r="W26" i="4"/>
  <c r="R26" i="4"/>
  <c r="T26" i="4"/>
  <c r="S26" i="4"/>
  <c r="Y26" i="4"/>
  <c r="D17" i="4"/>
  <c r="Y17" i="4"/>
  <c r="AA17" i="4"/>
  <c r="V17" i="4"/>
  <c r="D24" i="4"/>
  <c r="R24" i="4"/>
  <c r="X24" i="4"/>
  <c r="AB24" i="4"/>
  <c r="D36" i="4"/>
  <c r="AC36" i="4"/>
  <c r="T36" i="4"/>
  <c r="S36" i="4"/>
  <c r="Y36" i="4"/>
  <c r="AB36" i="4"/>
  <c r="AA36" i="4"/>
  <c r="Z36" i="4"/>
  <c r="U36" i="4"/>
  <c r="X36" i="4"/>
  <c r="V36" i="4"/>
  <c r="R36" i="4"/>
  <c r="W36" i="4"/>
  <c r="X8" i="4"/>
  <c r="D8" i="4"/>
  <c r="AA41" i="3"/>
  <c r="Y41" i="3" s="1"/>
  <c r="B41" i="4" s="1"/>
  <c r="AA11" i="4"/>
  <c r="AC19" i="7"/>
  <c r="BB39" i="3"/>
  <c r="AA39" i="3" s="1"/>
  <c r="Y39" i="3" s="1"/>
  <c r="B39" i="4" s="1"/>
  <c r="AC13" i="7"/>
  <c r="I19" i="6"/>
  <c r="N19" i="6"/>
  <c r="R19" i="6"/>
  <c r="F19" i="6"/>
  <c r="J19" i="6"/>
  <c r="O19" i="6"/>
  <c r="G19" i="6"/>
  <c r="K19" i="6"/>
  <c r="P19" i="6"/>
  <c r="Q19" i="6"/>
  <c r="Q15" i="6"/>
  <c r="O15" i="6"/>
  <c r="I15" i="6"/>
  <c r="P15" i="6"/>
  <c r="F15" i="6"/>
  <c r="J15" i="6"/>
  <c r="R15" i="6"/>
  <c r="G15" i="6"/>
  <c r="N15" i="6"/>
  <c r="I18" i="6"/>
  <c r="N18" i="6"/>
  <c r="R18" i="6"/>
  <c r="F18" i="6"/>
  <c r="J18" i="6"/>
  <c r="O18" i="6"/>
  <c r="G18" i="6"/>
  <c r="K18" i="6"/>
  <c r="P18" i="6"/>
  <c r="L18" i="6"/>
  <c r="Q18" i="6"/>
  <c r="AC16" i="7"/>
  <c r="AD16" i="7"/>
  <c r="AD15" i="7"/>
  <c r="AC15" i="7"/>
  <c r="AD14" i="7"/>
  <c r="AI13" i="7"/>
  <c r="AD13" i="7"/>
  <c r="AD19" i="7"/>
  <c r="AD12" i="7"/>
  <c r="AD17" i="7"/>
  <c r="I20" i="6"/>
  <c r="N20" i="6"/>
  <c r="F20" i="6"/>
  <c r="J20" i="6"/>
  <c r="O20" i="6"/>
  <c r="G20" i="6"/>
  <c r="K20" i="6"/>
  <c r="P20" i="6"/>
  <c r="L20" i="6"/>
  <c r="Q20" i="6"/>
  <c r="R20" i="6"/>
  <c r="L14" i="6"/>
  <c r="Q14" i="6"/>
  <c r="F14" i="6"/>
  <c r="J14" i="6"/>
  <c r="K14" i="6"/>
  <c r="O14" i="6"/>
  <c r="G14" i="6"/>
  <c r="P14" i="6"/>
  <c r="R14" i="6"/>
  <c r="I14" i="6"/>
  <c r="N14" i="6"/>
  <c r="AC14" i="7"/>
  <c r="AC17" i="7"/>
  <c r="Q11" i="6"/>
  <c r="I11" i="6"/>
  <c r="N11" i="6"/>
  <c r="R11" i="6"/>
  <c r="J11" i="6"/>
  <c r="O11" i="6"/>
  <c r="P11" i="6"/>
  <c r="G16" i="6"/>
  <c r="P16" i="6"/>
  <c r="O16" i="6"/>
  <c r="I16" i="6"/>
  <c r="Q16" i="6"/>
  <c r="J16" i="6"/>
  <c r="R16" i="6"/>
  <c r="F16" i="6"/>
  <c r="N16" i="6"/>
  <c r="G17" i="6"/>
  <c r="I17" i="6"/>
  <c r="N17" i="6"/>
  <c r="R17" i="6"/>
  <c r="J17" i="6"/>
  <c r="O17" i="6"/>
  <c r="F17" i="6"/>
  <c r="K17" i="6"/>
  <c r="P17" i="6"/>
  <c r="L17" i="6"/>
  <c r="Q17" i="6"/>
  <c r="AC10" i="7"/>
  <c r="AI10" i="7"/>
  <c r="AD18" i="7"/>
  <c r="AC18" i="7"/>
  <c r="I10" i="6"/>
  <c r="N10" i="6"/>
  <c r="R10" i="6"/>
  <c r="J10" i="6"/>
  <c r="O10" i="6"/>
  <c r="K10" i="6"/>
  <c r="P10" i="6"/>
  <c r="T10" i="6"/>
  <c r="L10" i="6"/>
  <c r="Q10" i="6"/>
  <c r="U10" i="6"/>
  <c r="I12" i="6"/>
  <c r="N12" i="6"/>
  <c r="R12" i="6"/>
  <c r="J12" i="6"/>
  <c r="O12" i="6"/>
  <c r="K12" i="6"/>
  <c r="P12" i="6"/>
  <c r="L12" i="6"/>
  <c r="M12" i="6"/>
  <c r="Q12" i="6"/>
  <c r="I13" i="6"/>
  <c r="N13" i="6"/>
  <c r="R13" i="6"/>
  <c r="G13" i="6"/>
  <c r="K13" i="6"/>
  <c r="P13" i="6"/>
  <c r="L13" i="6"/>
  <c r="F13" i="6"/>
  <c r="O13" i="6"/>
  <c r="Q13" i="6"/>
  <c r="J13" i="6"/>
  <c r="AD11" i="7"/>
  <c r="AC11" i="7"/>
  <c r="AI11" i="7"/>
  <c r="AD10" i="7"/>
  <c r="AI12" i="7"/>
  <c r="AC12" i="7"/>
  <c r="AD20" i="7"/>
  <c r="AC20" i="7"/>
  <c r="U19" i="4"/>
  <c r="X19" i="4"/>
  <c r="W19" i="4"/>
  <c r="AA19" i="4"/>
  <c r="T19" i="4"/>
  <c r="Z19" i="4"/>
  <c r="V19" i="4"/>
  <c r="Y19" i="4"/>
  <c r="S19" i="4"/>
  <c r="X35" i="4"/>
  <c r="Y35" i="4"/>
  <c r="AD9" i="7"/>
  <c r="T35" i="4"/>
  <c r="AC9" i="7"/>
  <c r="T9" i="32"/>
  <c r="D40" i="4"/>
  <c r="BB7" i="3"/>
  <c r="AA7" i="3" s="1"/>
  <c r="Y7" i="3" s="1"/>
  <c r="B7" i="4" s="1"/>
  <c r="AI9" i="7"/>
  <c r="AR9" i="8"/>
  <c r="AH13" i="4"/>
  <c r="B13" i="6"/>
  <c r="K19" i="4" l="1"/>
  <c r="P25" i="4"/>
  <c r="P13" i="4"/>
  <c r="P11" i="4"/>
  <c r="P21" i="4"/>
  <c r="K12" i="4"/>
  <c r="O25" i="4"/>
  <c r="O13" i="4"/>
  <c r="O11" i="4"/>
  <c r="O21" i="4"/>
  <c r="K9" i="4"/>
  <c r="N25" i="4"/>
  <c r="N13" i="4"/>
  <c r="N11" i="4"/>
  <c r="N21" i="4"/>
  <c r="M25" i="4"/>
  <c r="M13" i="4"/>
  <c r="M11" i="4"/>
  <c r="M21" i="4"/>
  <c r="K8" i="4"/>
  <c r="L25" i="4"/>
  <c r="H15" i="32" s="1"/>
  <c r="L13" i="4"/>
  <c r="L11" i="4"/>
  <c r="L21" i="4"/>
  <c r="K14" i="4"/>
  <c r="Q19" i="4"/>
  <c r="N12" i="4"/>
  <c r="N14" i="4"/>
  <c r="N18" i="4"/>
  <c r="N24" i="4"/>
  <c r="Q9" i="4"/>
  <c r="O8" i="4"/>
  <c r="Q17" i="4"/>
  <c r="Q15" i="4"/>
  <c r="K17" i="4"/>
  <c r="P19" i="4"/>
  <c r="M12" i="4"/>
  <c r="O14" i="4"/>
  <c r="M18" i="4"/>
  <c r="M24" i="4"/>
  <c r="P9" i="4"/>
  <c r="N8" i="4"/>
  <c r="P17" i="4"/>
  <c r="P15" i="4"/>
  <c r="K11" i="4"/>
  <c r="O19" i="4"/>
  <c r="O12" i="4"/>
  <c r="M14" i="4"/>
  <c r="L18" i="4"/>
  <c r="L24" i="4"/>
  <c r="O9" i="4"/>
  <c r="M8" i="4"/>
  <c r="O17" i="4"/>
  <c r="O15" i="4"/>
  <c r="N19" i="4"/>
  <c r="L12" i="4"/>
  <c r="L14" i="4"/>
  <c r="O18" i="4"/>
  <c r="O24" i="4"/>
  <c r="N9" i="4"/>
  <c r="L8" i="4"/>
  <c r="N17" i="4"/>
  <c r="N15" i="4"/>
  <c r="M19" i="4"/>
  <c r="Q12" i="4"/>
  <c r="Q14" i="4"/>
  <c r="Q18" i="4"/>
  <c r="Q24" i="4"/>
  <c r="M9" i="4"/>
  <c r="Q8" i="4"/>
  <c r="M17" i="4"/>
  <c r="M15" i="4"/>
  <c r="L19" i="4"/>
  <c r="P12" i="4"/>
  <c r="K25" i="4"/>
  <c r="AK28" i="4"/>
  <c r="AL28" i="4"/>
  <c r="AM28" i="4"/>
  <c r="AN28" i="4"/>
  <c r="AO28" i="4"/>
  <c r="AP28" i="4"/>
  <c r="AQ28" i="4"/>
  <c r="AR28" i="4"/>
  <c r="AS28" i="4"/>
  <c r="AJ28" i="4"/>
  <c r="H8" i="4"/>
  <c r="AL8" i="4"/>
  <c r="AM8" i="4"/>
  <c r="AN8" i="4"/>
  <c r="AO8" i="4"/>
  <c r="AP8" i="4"/>
  <c r="AQ8" i="4"/>
  <c r="AR8" i="4"/>
  <c r="AS8" i="4"/>
  <c r="AK8" i="4"/>
  <c r="AJ8" i="4"/>
  <c r="H21" i="4"/>
  <c r="AM21" i="4"/>
  <c r="AN21" i="4"/>
  <c r="AO21" i="4"/>
  <c r="AP21" i="4"/>
  <c r="AQ21" i="4"/>
  <c r="AR21" i="4"/>
  <c r="AS21" i="4"/>
  <c r="AK21" i="4"/>
  <c r="AL21" i="4"/>
  <c r="AJ21" i="4"/>
  <c r="AR26" i="4"/>
  <c r="AS26" i="4"/>
  <c r="AK26" i="4"/>
  <c r="AL26" i="4"/>
  <c r="AM26" i="4"/>
  <c r="AN26" i="4"/>
  <c r="AO26" i="4"/>
  <c r="AP26" i="4"/>
  <c r="AQ26" i="4"/>
  <c r="AJ26" i="4"/>
  <c r="H13" i="4"/>
  <c r="AQ13" i="4"/>
  <c r="AR13" i="4"/>
  <c r="AS13" i="4"/>
  <c r="AK13" i="4"/>
  <c r="AL13" i="4"/>
  <c r="AM13" i="4"/>
  <c r="AN13" i="4"/>
  <c r="AO13" i="4"/>
  <c r="AP13" i="4"/>
  <c r="AJ13" i="4"/>
  <c r="H15" i="4"/>
  <c r="AS15" i="4"/>
  <c r="AK15" i="4"/>
  <c r="AL15" i="4"/>
  <c r="AM15" i="4"/>
  <c r="AN15" i="4"/>
  <c r="AO15" i="4"/>
  <c r="AP15" i="4"/>
  <c r="AQ15" i="4"/>
  <c r="AR15" i="4"/>
  <c r="AJ15" i="4"/>
  <c r="H18" i="4"/>
  <c r="AK18" i="4"/>
  <c r="AL18" i="4"/>
  <c r="AM18" i="4"/>
  <c r="AN18" i="4"/>
  <c r="AO18" i="4"/>
  <c r="AP18" i="4"/>
  <c r="AQ18" i="4"/>
  <c r="AR18" i="4"/>
  <c r="AS18" i="4"/>
  <c r="AJ18" i="4"/>
  <c r="AP36" i="4"/>
  <c r="AQ36" i="4"/>
  <c r="AR36" i="4"/>
  <c r="AS36" i="4"/>
  <c r="AK36" i="4"/>
  <c r="AL36" i="4"/>
  <c r="AM36" i="4"/>
  <c r="AN36" i="4"/>
  <c r="AO36" i="4"/>
  <c r="AJ36" i="4"/>
  <c r="AO23" i="4"/>
  <c r="AP23" i="4"/>
  <c r="AQ23" i="4"/>
  <c r="AR23" i="4"/>
  <c r="AS23" i="4"/>
  <c r="AK23" i="4"/>
  <c r="AL23" i="4"/>
  <c r="AM23" i="4"/>
  <c r="AN23" i="4"/>
  <c r="AJ23" i="4"/>
  <c r="AK40" i="4"/>
  <c r="AL40" i="4"/>
  <c r="AM40" i="4"/>
  <c r="AN40" i="4"/>
  <c r="AO40" i="4"/>
  <c r="AP40" i="4"/>
  <c r="AQ40" i="4"/>
  <c r="AR40" i="4"/>
  <c r="AS40" i="4"/>
  <c r="AJ40" i="4"/>
  <c r="AR38" i="4"/>
  <c r="AS38" i="4"/>
  <c r="AK38" i="4"/>
  <c r="AL38" i="4"/>
  <c r="AM38" i="4"/>
  <c r="AN38" i="4"/>
  <c r="AO38" i="4"/>
  <c r="AP38" i="4"/>
  <c r="AQ38" i="4"/>
  <c r="AJ38" i="4"/>
  <c r="H9" i="4"/>
  <c r="S11" i="6" s="1"/>
  <c r="AM9" i="4"/>
  <c r="AN9" i="4"/>
  <c r="AO9" i="4"/>
  <c r="AP9" i="4"/>
  <c r="AQ9" i="4"/>
  <c r="AR9" i="4"/>
  <c r="AS9" i="4"/>
  <c r="AK9" i="4"/>
  <c r="AL9" i="4"/>
  <c r="AJ9" i="4"/>
  <c r="AP24" i="4"/>
  <c r="AQ24" i="4"/>
  <c r="AR24" i="4"/>
  <c r="AS24" i="4"/>
  <c r="AK24" i="4"/>
  <c r="AL24" i="4"/>
  <c r="AM24" i="4"/>
  <c r="AN24" i="4"/>
  <c r="AO24" i="4"/>
  <c r="AJ24" i="4"/>
  <c r="AQ25" i="4"/>
  <c r="AR25" i="4"/>
  <c r="AS25" i="4"/>
  <c r="AK25" i="4"/>
  <c r="AL25" i="4"/>
  <c r="AM25" i="4"/>
  <c r="AN25" i="4"/>
  <c r="AO25" i="4"/>
  <c r="AP25" i="4"/>
  <c r="AJ25" i="4"/>
  <c r="H17" i="4"/>
  <c r="AK17" i="4"/>
  <c r="AL17" i="4"/>
  <c r="AM17" i="4"/>
  <c r="AN17" i="4"/>
  <c r="AO17" i="4"/>
  <c r="AP17" i="4"/>
  <c r="AQ17" i="4"/>
  <c r="AR17" i="4"/>
  <c r="AS17" i="4"/>
  <c r="AJ17" i="4"/>
  <c r="H14" i="4"/>
  <c r="AR14" i="4"/>
  <c r="AS14" i="4"/>
  <c r="AK14" i="4"/>
  <c r="AL14" i="4"/>
  <c r="AM14" i="4"/>
  <c r="AN14" i="4"/>
  <c r="AO14" i="4"/>
  <c r="AP14" i="4"/>
  <c r="AQ14" i="4"/>
  <c r="AJ14" i="4"/>
  <c r="H12" i="4"/>
  <c r="AP12" i="4"/>
  <c r="AQ12" i="4"/>
  <c r="AR12" i="4"/>
  <c r="AS12" i="4"/>
  <c r="AK12" i="4"/>
  <c r="AL12" i="4"/>
  <c r="AM12" i="4"/>
  <c r="AN12" i="4"/>
  <c r="AO12" i="4"/>
  <c r="AJ12" i="4"/>
  <c r="AO35" i="4"/>
  <c r="AP35" i="4"/>
  <c r="AQ35" i="4"/>
  <c r="AR35" i="4"/>
  <c r="AS35" i="4"/>
  <c r="AK35" i="4"/>
  <c r="AL35" i="4"/>
  <c r="AM35" i="4"/>
  <c r="AN35" i="4"/>
  <c r="AJ35" i="4"/>
  <c r="H11" i="4"/>
  <c r="AO11" i="4"/>
  <c r="AP11" i="4"/>
  <c r="AQ11" i="4"/>
  <c r="AR11" i="4"/>
  <c r="AS11" i="4"/>
  <c r="AK11" i="4"/>
  <c r="AL11" i="4"/>
  <c r="AM11" i="4"/>
  <c r="AN11" i="4"/>
  <c r="AJ11" i="4"/>
  <c r="H19" i="4"/>
  <c r="AK19" i="4"/>
  <c r="AL19" i="4"/>
  <c r="AM19" i="4"/>
  <c r="AN19" i="4"/>
  <c r="AO19" i="4"/>
  <c r="AP19" i="4"/>
  <c r="AQ19" i="4"/>
  <c r="AR19" i="4"/>
  <c r="AS19" i="4"/>
  <c r="AJ19" i="4"/>
  <c r="AS27" i="4"/>
  <c r="AK27" i="4"/>
  <c r="AL27" i="4"/>
  <c r="AM27" i="4"/>
  <c r="AN27" i="4"/>
  <c r="AO27" i="4"/>
  <c r="AP27" i="4"/>
  <c r="AQ27" i="4"/>
  <c r="AR27" i="4"/>
  <c r="AJ27" i="4"/>
  <c r="M9" i="6"/>
  <c r="AK29" i="4"/>
  <c r="AL29" i="4"/>
  <c r="AM29" i="4"/>
  <c r="AN29" i="4"/>
  <c r="AO29" i="4"/>
  <c r="AP29" i="4"/>
  <c r="AQ29" i="4"/>
  <c r="AR29" i="4"/>
  <c r="AS29" i="4"/>
  <c r="AJ29" i="4"/>
  <c r="L37" i="4"/>
  <c r="M37" i="4"/>
  <c r="N37" i="4"/>
  <c r="O37" i="4"/>
  <c r="P37" i="4"/>
  <c r="Q37" i="4"/>
  <c r="P30" i="4"/>
  <c r="Q30" i="4"/>
  <c r="L30" i="4"/>
  <c r="M30" i="4"/>
  <c r="O30" i="4"/>
  <c r="N30" i="4"/>
  <c r="P22" i="4"/>
  <c r="Q22" i="4"/>
  <c r="L22" i="4"/>
  <c r="M22" i="4"/>
  <c r="N22" i="4"/>
  <c r="O22" i="4"/>
  <c r="L39" i="4"/>
  <c r="M39" i="4"/>
  <c r="N39" i="4"/>
  <c r="O39" i="4"/>
  <c r="P39" i="4"/>
  <c r="Q39" i="4"/>
  <c r="P34" i="4"/>
  <c r="Q34" i="4"/>
  <c r="O34" i="4"/>
  <c r="L34" i="4"/>
  <c r="M34" i="4"/>
  <c r="N34" i="4"/>
  <c r="L41" i="4"/>
  <c r="M41" i="4"/>
  <c r="N41" i="4"/>
  <c r="O41" i="4"/>
  <c r="P41" i="4"/>
  <c r="Q41" i="4"/>
  <c r="K22" i="4"/>
  <c r="K30" i="4"/>
  <c r="K34" i="4"/>
  <c r="K39" i="4"/>
  <c r="K41" i="4"/>
  <c r="K37" i="4"/>
  <c r="D20" i="4"/>
  <c r="D16" i="4"/>
  <c r="U24" i="4"/>
  <c r="V24" i="4"/>
  <c r="T24" i="4"/>
  <c r="AA25" i="4"/>
  <c r="E18" i="32" s="1"/>
  <c r="S24" i="4"/>
  <c r="AA24" i="4"/>
  <c r="Z24" i="4"/>
  <c r="AC24" i="4"/>
  <c r="Y24" i="4"/>
  <c r="G23" i="4"/>
  <c r="J26" i="4"/>
  <c r="H23" i="4"/>
  <c r="I26" i="4"/>
  <c r="H26" i="4"/>
  <c r="J23" i="4"/>
  <c r="J25" i="4"/>
  <c r="H25" i="4"/>
  <c r="J24" i="4"/>
  <c r="H24" i="4"/>
  <c r="G26" i="4"/>
  <c r="G25" i="4"/>
  <c r="I24" i="4"/>
  <c r="G24" i="4"/>
  <c r="I25" i="4"/>
  <c r="I23" i="4"/>
  <c r="D22" i="4"/>
  <c r="V21" i="4"/>
  <c r="X21" i="4"/>
  <c r="T21" i="4"/>
  <c r="AA21" i="4"/>
  <c r="Z21" i="4"/>
  <c r="I17" i="7" s="1"/>
  <c r="S21" i="4"/>
  <c r="I21" i="4"/>
  <c r="J21" i="4"/>
  <c r="G21" i="4"/>
  <c r="J19" i="4"/>
  <c r="I8" i="4"/>
  <c r="G15" i="4"/>
  <c r="J14" i="4"/>
  <c r="I19" i="4"/>
  <c r="J15" i="4"/>
  <c r="I14" i="4"/>
  <c r="J12" i="4"/>
  <c r="I15" i="4"/>
  <c r="G19" i="4"/>
  <c r="J8" i="4"/>
  <c r="I12" i="4"/>
  <c r="I41" i="4"/>
  <c r="J41" i="4"/>
  <c r="G41" i="4"/>
  <c r="H41" i="4"/>
  <c r="H30" i="4"/>
  <c r="J30" i="4"/>
  <c r="G30" i="4"/>
  <c r="I30" i="4"/>
  <c r="I37" i="4"/>
  <c r="J37" i="4"/>
  <c r="G37" i="4"/>
  <c r="H37" i="4"/>
  <c r="D10" i="4"/>
  <c r="J13" i="4"/>
  <c r="I13" i="4"/>
  <c r="J18" i="4"/>
  <c r="I18" i="4"/>
  <c r="J17" i="4"/>
  <c r="I17" i="4"/>
  <c r="G11" i="4"/>
  <c r="J11" i="4"/>
  <c r="I11" i="4"/>
  <c r="I39" i="4"/>
  <c r="J39" i="4"/>
  <c r="G39" i="4"/>
  <c r="H39" i="4"/>
  <c r="J34" i="4"/>
  <c r="H34" i="4"/>
  <c r="I34" i="4"/>
  <c r="G34" i="4"/>
  <c r="G12" i="4"/>
  <c r="G14" i="4"/>
  <c r="G8" i="4"/>
  <c r="G13" i="4"/>
  <c r="G18" i="4"/>
  <c r="G17" i="4"/>
  <c r="S18" i="6"/>
  <c r="S9" i="6"/>
  <c r="S14" i="6"/>
  <c r="G9" i="4"/>
  <c r="S10" i="6" s="1"/>
  <c r="S20" i="6"/>
  <c r="S19" i="6"/>
  <c r="S17" i="6"/>
  <c r="S16" i="6"/>
  <c r="S15" i="6"/>
  <c r="J9" i="4"/>
  <c r="S13" i="6" s="1"/>
  <c r="I9" i="4"/>
  <c r="S12" i="6" s="1"/>
  <c r="M10" i="6"/>
  <c r="O9" i="32"/>
  <c r="N9" i="6"/>
  <c r="O9" i="6"/>
  <c r="M11" i="6"/>
  <c r="M13" i="6"/>
  <c r="D39" i="4"/>
  <c r="E39" i="4"/>
  <c r="E30" i="4"/>
  <c r="E37" i="4"/>
  <c r="E10" i="4"/>
  <c r="P10" i="4" s="1"/>
  <c r="E34" i="4"/>
  <c r="E41" i="4"/>
  <c r="E16" i="4"/>
  <c r="P16" i="4" s="1"/>
  <c r="S13" i="4"/>
  <c r="U13" i="4"/>
  <c r="AR15" i="8"/>
  <c r="AR19" i="8"/>
  <c r="AR14" i="8"/>
  <c r="T15" i="32"/>
  <c r="X25" i="4"/>
  <c r="E15" i="32" s="1"/>
  <c r="V25" i="4"/>
  <c r="E13" i="32" s="1"/>
  <c r="U13" i="32" s="1"/>
  <c r="U25" i="4"/>
  <c r="E12" i="32" s="1"/>
  <c r="U12" i="32" s="1"/>
  <c r="Y25" i="4"/>
  <c r="E16" i="32" s="1"/>
  <c r="S25" i="4"/>
  <c r="E10" i="32" s="1"/>
  <c r="U10" i="32" s="1"/>
  <c r="T25" i="4"/>
  <c r="E11" i="32" s="1"/>
  <c r="U11" i="32" s="1"/>
  <c r="Z25" i="4"/>
  <c r="E17" i="32" s="1"/>
  <c r="R25" i="4"/>
  <c r="E9" i="32" s="1"/>
  <c r="M16" i="32"/>
  <c r="AR13" i="8"/>
  <c r="AR17" i="8"/>
  <c r="T18" i="32"/>
  <c r="AR16" i="8"/>
  <c r="T12" i="32"/>
  <c r="T16" i="32"/>
  <c r="T17" i="32"/>
  <c r="T11" i="32"/>
  <c r="T20" i="8"/>
  <c r="AR18" i="8"/>
  <c r="T13" i="32"/>
  <c r="T14" i="32"/>
  <c r="T10" i="32"/>
  <c r="AR12" i="8"/>
  <c r="T19" i="32"/>
  <c r="AR10" i="8"/>
  <c r="AR11" i="8"/>
  <c r="T18" i="4"/>
  <c r="V23" i="4"/>
  <c r="T23" i="4"/>
  <c r="AB23" i="4"/>
  <c r="R17" i="4"/>
  <c r="S17" i="4"/>
  <c r="Z18" i="4"/>
  <c r="U18" i="4"/>
  <c r="T38" i="4"/>
  <c r="Z17" i="4"/>
  <c r="T17" i="4"/>
  <c r="AA18" i="4"/>
  <c r="V18" i="4"/>
  <c r="R15" i="4"/>
  <c r="U17" i="4"/>
  <c r="X17" i="4"/>
  <c r="X18" i="4"/>
  <c r="S18" i="4"/>
  <c r="R19" i="4"/>
  <c r="I9" i="7" s="1"/>
  <c r="W25" i="4"/>
  <c r="E14" i="32" s="1"/>
  <c r="U14" i="32" s="1"/>
  <c r="AC22" i="4"/>
  <c r="S22" i="4"/>
  <c r="X22" i="4"/>
  <c r="W24" i="4"/>
  <c r="W21" i="4"/>
  <c r="W27" i="4"/>
  <c r="AR20" i="8"/>
  <c r="W17" i="4"/>
  <c r="W18" i="4"/>
  <c r="T22" i="4"/>
  <c r="U22" i="4"/>
  <c r="T20" i="32"/>
  <c r="W23" i="4"/>
  <c r="AB22" i="4"/>
  <c r="V22" i="4"/>
  <c r="D34" i="4"/>
  <c r="L16" i="6"/>
  <c r="K16" i="6"/>
  <c r="K11" i="6"/>
  <c r="K15" i="6"/>
  <c r="E7" i="4"/>
  <c r="D7" i="4"/>
  <c r="L15" i="6"/>
  <c r="L9" i="6"/>
  <c r="K9" i="6"/>
  <c r="L11" i="6"/>
  <c r="D41" i="4"/>
  <c r="V41" i="4"/>
  <c r="AB37" i="4"/>
  <c r="D37" i="4"/>
  <c r="R39" i="4"/>
  <c r="U37" i="4"/>
  <c r="H15" i="6"/>
  <c r="B15" i="8"/>
  <c r="L15" i="7"/>
  <c r="AI15" i="7" s="1"/>
  <c r="B15" i="32"/>
  <c r="U15" i="32" s="1"/>
  <c r="I14" i="7"/>
  <c r="AJ14" i="7" s="1"/>
  <c r="I12" i="7"/>
  <c r="AE12" i="7" s="1"/>
  <c r="AF12" i="7" s="1"/>
  <c r="I16" i="7"/>
  <c r="U14" i="8"/>
  <c r="U16" i="5"/>
  <c r="T16" i="5"/>
  <c r="B15" i="6" s="1"/>
  <c r="I13" i="7"/>
  <c r="Y30" i="4"/>
  <c r="D30" i="4"/>
  <c r="R30" i="4"/>
  <c r="J9" i="32" s="1"/>
  <c r="Z30" i="4"/>
  <c r="I20" i="7"/>
  <c r="I11" i="7"/>
  <c r="AE11" i="7" s="1"/>
  <c r="AF11" i="7" s="1"/>
  <c r="V15" i="4"/>
  <c r="Y38" i="4"/>
  <c r="W38" i="4"/>
  <c r="I18" i="7"/>
  <c r="I15" i="7"/>
  <c r="Y15" i="4"/>
  <c r="Z38" i="4"/>
  <c r="T15" i="4"/>
  <c r="X38" i="4"/>
  <c r="X11" i="4"/>
  <c r="O17" i="5"/>
  <c r="W11" i="4"/>
  <c r="S11" i="4"/>
  <c r="U11" i="4"/>
  <c r="AC11" i="4"/>
  <c r="V11" i="4"/>
  <c r="I10" i="7"/>
  <c r="AE10" i="7" s="1"/>
  <c r="AF10" i="7" s="1"/>
  <c r="T11" i="4"/>
  <c r="R11" i="4"/>
  <c r="AB11" i="4"/>
  <c r="AA38" i="4"/>
  <c r="X13" i="4"/>
  <c r="I19" i="7"/>
  <c r="R12" i="4"/>
  <c r="Y13" i="4"/>
  <c r="T12" i="4"/>
  <c r="AA12" i="4"/>
  <c r="AC13" i="4"/>
  <c r="S38" i="4"/>
  <c r="X12" i="4"/>
  <c r="Y11" i="4"/>
  <c r="Z12" i="4"/>
  <c r="Z11" i="4"/>
  <c r="Z8" i="4"/>
  <c r="S14" i="4"/>
  <c r="V12" i="4"/>
  <c r="AB12" i="4"/>
  <c r="U12" i="4"/>
  <c r="S15" i="4"/>
  <c r="W12" i="4"/>
  <c r="Y12" i="4"/>
  <c r="AB15" i="4"/>
  <c r="Z15" i="4"/>
  <c r="AC15" i="4"/>
  <c r="AA15" i="4"/>
  <c r="V38" i="4"/>
  <c r="AB38" i="4"/>
  <c r="AC12" i="4"/>
  <c r="S12" i="4"/>
  <c r="Z14" i="4"/>
  <c r="AB14" i="4"/>
  <c r="W14" i="4"/>
  <c r="V14" i="4"/>
  <c r="U14" i="4"/>
  <c r="V10" i="4"/>
  <c r="W15" i="4"/>
  <c r="R13" i="4"/>
  <c r="Z13" i="4"/>
  <c r="T14" i="4"/>
  <c r="R14" i="4"/>
  <c r="X14" i="4"/>
  <c r="Y9" i="4"/>
  <c r="V13" i="4"/>
  <c r="AA13" i="4"/>
  <c r="AB13" i="4"/>
  <c r="AA14" i="4"/>
  <c r="Y14" i="4"/>
  <c r="AC14" i="4"/>
  <c r="AA9" i="4"/>
  <c r="R9" i="4"/>
  <c r="T9" i="6" s="1"/>
  <c r="X9" i="4"/>
  <c r="Z9" i="4"/>
  <c r="U38" i="4"/>
  <c r="T9" i="4"/>
  <c r="AB9" i="4"/>
  <c r="AC9" i="4"/>
  <c r="V9" i="4"/>
  <c r="X15" i="4"/>
  <c r="AC38" i="4"/>
  <c r="W9" i="4"/>
  <c r="U9" i="4"/>
  <c r="T13" i="4"/>
  <c r="Z39" i="4"/>
  <c r="Y39" i="4"/>
  <c r="V8" i="4"/>
  <c r="W8" i="4"/>
  <c r="T8" i="4"/>
  <c r="S8" i="4"/>
  <c r="AA8" i="4"/>
  <c r="AB8" i="4"/>
  <c r="Y8" i="4"/>
  <c r="U8" i="4"/>
  <c r="R8" i="4"/>
  <c r="X39" i="4"/>
  <c r="AC8" i="4"/>
  <c r="W39" i="4"/>
  <c r="AA39" i="4"/>
  <c r="AB39" i="4"/>
  <c r="AC39" i="4"/>
  <c r="V39" i="4"/>
  <c r="S39" i="4"/>
  <c r="T39" i="4"/>
  <c r="U39" i="4"/>
  <c r="T34" i="4"/>
  <c r="U34" i="4"/>
  <c r="AA34" i="4"/>
  <c r="S34" i="4"/>
  <c r="AB34" i="4"/>
  <c r="Y34" i="4"/>
  <c r="X34" i="4"/>
  <c r="W34" i="4"/>
  <c r="V34" i="4"/>
  <c r="Z34" i="4"/>
  <c r="R34" i="4"/>
  <c r="R41" i="4"/>
  <c r="U15" i="8"/>
  <c r="T40" i="4"/>
  <c r="W40" i="4"/>
  <c r="AB40" i="4"/>
  <c r="U40" i="4"/>
  <c r="R40" i="4"/>
  <c r="U41" i="4"/>
  <c r="T41" i="4"/>
  <c r="Y41" i="4"/>
  <c r="Y40" i="4"/>
  <c r="AC40" i="4"/>
  <c r="Z40" i="4"/>
  <c r="S40" i="4"/>
  <c r="X40" i="4"/>
  <c r="AA40" i="4"/>
  <c r="V40" i="4"/>
  <c r="X41" i="4"/>
  <c r="AC41" i="4"/>
  <c r="AB41" i="4"/>
  <c r="AH14" i="4"/>
  <c r="H13" i="32" l="1"/>
  <c r="M13" i="32"/>
  <c r="C13" i="32"/>
  <c r="Q7" i="4"/>
  <c r="N20" i="4"/>
  <c r="K7" i="4"/>
  <c r="P7" i="4"/>
  <c r="M20" i="4"/>
  <c r="O7" i="4"/>
  <c r="L20" i="4"/>
  <c r="N7" i="4"/>
  <c r="O20" i="4"/>
  <c r="M7" i="4"/>
  <c r="Q20" i="4"/>
  <c r="K20" i="4"/>
  <c r="L7" i="4"/>
  <c r="P20" i="4"/>
  <c r="O16" i="4"/>
  <c r="N10" i="4"/>
  <c r="H14" i="32"/>
  <c r="M14" i="32"/>
  <c r="C14" i="32"/>
  <c r="C10" i="32"/>
  <c r="H10" i="32"/>
  <c r="M10" i="32"/>
  <c r="N16" i="4"/>
  <c r="M10" i="4"/>
  <c r="M12" i="32"/>
  <c r="C12" i="32"/>
  <c r="H12" i="32"/>
  <c r="K10" i="4"/>
  <c r="M16" i="4"/>
  <c r="L10" i="4"/>
  <c r="L16" i="4"/>
  <c r="O10" i="4"/>
  <c r="Q16" i="4"/>
  <c r="Q10" i="4"/>
  <c r="H11" i="32"/>
  <c r="C11" i="32"/>
  <c r="M11" i="32"/>
  <c r="K16" i="4"/>
  <c r="AN34" i="4"/>
  <c r="AO34" i="4"/>
  <c r="AP34" i="4"/>
  <c r="AQ34" i="4"/>
  <c r="AR34" i="4"/>
  <c r="AS34" i="4"/>
  <c r="AK34" i="4"/>
  <c r="AL34" i="4"/>
  <c r="AM34" i="4"/>
  <c r="AJ34" i="4"/>
  <c r="I10" i="4"/>
  <c r="AN10" i="4"/>
  <c r="AO10" i="4"/>
  <c r="AP10" i="4"/>
  <c r="AQ10" i="4"/>
  <c r="AR10" i="4"/>
  <c r="AS10" i="4"/>
  <c r="AK10" i="4"/>
  <c r="AL10" i="4"/>
  <c r="AM10" i="4"/>
  <c r="AJ10" i="4"/>
  <c r="AQ37" i="4"/>
  <c r="AR37" i="4"/>
  <c r="AS37" i="4"/>
  <c r="AK37" i="4"/>
  <c r="AL37" i="4"/>
  <c r="AM37" i="4"/>
  <c r="AN37" i="4"/>
  <c r="AO37" i="4"/>
  <c r="AP37" i="4"/>
  <c r="AJ37" i="4"/>
  <c r="AB7" i="4"/>
  <c r="AK7" i="4"/>
  <c r="AL7" i="4"/>
  <c r="AM7" i="4"/>
  <c r="AN7" i="4"/>
  <c r="AO7" i="4"/>
  <c r="AP7" i="4"/>
  <c r="AQ7" i="4"/>
  <c r="AR7" i="4"/>
  <c r="AS7" i="4"/>
  <c r="AJ7" i="4"/>
  <c r="AK30" i="4"/>
  <c r="AL30" i="4"/>
  <c r="AM30" i="4"/>
  <c r="AN30" i="4"/>
  <c r="AO30" i="4"/>
  <c r="AP30" i="4"/>
  <c r="AQ30" i="4"/>
  <c r="AR30" i="4"/>
  <c r="AS30" i="4"/>
  <c r="AJ30" i="4"/>
  <c r="AS39" i="4"/>
  <c r="AK39" i="4"/>
  <c r="AL39" i="4"/>
  <c r="AM39" i="4"/>
  <c r="AN39" i="4"/>
  <c r="AO39" i="4"/>
  <c r="AP39" i="4"/>
  <c r="AQ39" i="4"/>
  <c r="AR39" i="4"/>
  <c r="AJ39" i="4"/>
  <c r="AL20" i="4"/>
  <c r="AM20" i="4"/>
  <c r="AN20" i="4"/>
  <c r="AO20" i="4"/>
  <c r="AP20" i="4"/>
  <c r="AQ20" i="4"/>
  <c r="AR20" i="4"/>
  <c r="AS20" i="4"/>
  <c r="AK20" i="4"/>
  <c r="AJ20" i="4"/>
  <c r="AK16" i="4"/>
  <c r="AL16" i="4"/>
  <c r="AM16" i="4"/>
  <c r="AN16" i="4"/>
  <c r="AO16" i="4"/>
  <c r="AP16" i="4"/>
  <c r="AQ16" i="4"/>
  <c r="AR16" i="4"/>
  <c r="AS16" i="4"/>
  <c r="AJ16" i="4"/>
  <c r="AK41" i="4"/>
  <c r="AL41" i="4"/>
  <c r="AM41" i="4"/>
  <c r="AN41" i="4"/>
  <c r="AO41" i="4"/>
  <c r="AP41" i="4"/>
  <c r="AQ41" i="4"/>
  <c r="AR41" i="4"/>
  <c r="AS41" i="4"/>
  <c r="AJ41" i="4"/>
  <c r="AN22" i="4"/>
  <c r="AO22" i="4"/>
  <c r="AP22" i="4"/>
  <c r="AQ22" i="4"/>
  <c r="AR22" i="4"/>
  <c r="AS22" i="4"/>
  <c r="AK22" i="4"/>
  <c r="AL22" i="4"/>
  <c r="AM22" i="4"/>
  <c r="AJ22" i="4"/>
  <c r="H18" i="8"/>
  <c r="S18" i="8" s="1"/>
  <c r="J22" i="4"/>
  <c r="Y22" i="4"/>
  <c r="Z22" i="4"/>
  <c r="H22" i="4"/>
  <c r="R22" i="4"/>
  <c r="G22" i="4"/>
  <c r="I22" i="4"/>
  <c r="AA22" i="4"/>
  <c r="AE15" i="7"/>
  <c r="AF15" i="7" s="1"/>
  <c r="C15" i="30" s="1"/>
  <c r="X20" i="4"/>
  <c r="D15" i="6" s="1"/>
  <c r="W20" i="4"/>
  <c r="Y20" i="4"/>
  <c r="D16" i="6" s="1"/>
  <c r="AA20" i="4"/>
  <c r="D18" i="6" s="1"/>
  <c r="H20" i="4"/>
  <c r="H16" i="4"/>
  <c r="H14" i="8"/>
  <c r="S14" i="8" s="1"/>
  <c r="V14" i="8" s="1"/>
  <c r="J20" i="4"/>
  <c r="I20" i="4"/>
  <c r="G16" i="4"/>
  <c r="J16" i="4"/>
  <c r="I16" i="4"/>
  <c r="G10" i="4"/>
  <c r="H15" i="8"/>
  <c r="S15" i="8" s="1"/>
  <c r="V15" i="8" s="1"/>
  <c r="G20" i="4"/>
  <c r="H19" i="8"/>
  <c r="S19" i="8" s="1"/>
  <c r="H10" i="4"/>
  <c r="H20" i="8"/>
  <c r="S20" i="8" s="1"/>
  <c r="J10" i="4"/>
  <c r="U9" i="6"/>
  <c r="U11" i="6"/>
  <c r="T11" i="6"/>
  <c r="U16" i="6"/>
  <c r="T16" i="6"/>
  <c r="T12" i="6"/>
  <c r="U12" i="6"/>
  <c r="U13" i="6"/>
  <c r="T13" i="6"/>
  <c r="U18" i="6"/>
  <c r="T18" i="6"/>
  <c r="U14" i="6"/>
  <c r="T14" i="6"/>
  <c r="U20" i="6"/>
  <c r="T20" i="6"/>
  <c r="U17" i="6"/>
  <c r="T17" i="6"/>
  <c r="U19" i="6"/>
  <c r="T19" i="6"/>
  <c r="T15" i="6"/>
  <c r="U15" i="6"/>
  <c r="C11" i="30"/>
  <c r="C10" i="30"/>
  <c r="C12" i="30"/>
  <c r="U9" i="32"/>
  <c r="M14" i="6"/>
  <c r="Z20" i="4"/>
  <c r="D17" i="6" s="1"/>
  <c r="W13" i="4"/>
  <c r="D14" i="6" s="1"/>
  <c r="S10" i="4"/>
  <c r="Z10" i="4"/>
  <c r="H7" i="4"/>
  <c r="I7" i="4"/>
  <c r="G7" i="4"/>
  <c r="J7" i="4"/>
  <c r="T15" i="33"/>
  <c r="U15" i="33" s="1"/>
  <c r="AA7" i="4"/>
  <c r="W16" i="4"/>
  <c r="H16" i="32"/>
  <c r="C16" i="32"/>
  <c r="M19" i="32"/>
  <c r="H19" i="32"/>
  <c r="C19" i="32"/>
  <c r="AF18" i="8"/>
  <c r="H20" i="32"/>
  <c r="M20" i="32"/>
  <c r="C20" i="32"/>
  <c r="AF19" i="8"/>
  <c r="AF20" i="8"/>
  <c r="M17" i="32"/>
  <c r="H17" i="32"/>
  <c r="C17" i="32"/>
  <c r="M15" i="32"/>
  <c r="H18" i="32"/>
  <c r="C18" i="32"/>
  <c r="M18" i="32"/>
  <c r="C15" i="32"/>
  <c r="AF17" i="8"/>
  <c r="R29" i="33"/>
  <c r="S29" i="33" s="1"/>
  <c r="S101" i="36"/>
  <c r="T101" i="36" s="1"/>
  <c r="R10" i="33"/>
  <c r="S10" i="33" s="1"/>
  <c r="S72" i="36"/>
  <c r="T72" i="36" s="1"/>
  <c r="Q117" i="36"/>
  <c r="R117" i="36" s="1"/>
  <c r="S70" i="37"/>
  <c r="T70" i="37" s="1"/>
  <c r="T21" i="33"/>
  <c r="U21" i="33" s="1"/>
  <c r="N21" i="33"/>
  <c r="O21" i="33" s="1"/>
  <c r="O37" i="36"/>
  <c r="P37" i="36" s="1"/>
  <c r="Q133" i="36"/>
  <c r="R133" i="36" s="1"/>
  <c r="Q9" i="36"/>
  <c r="R9" i="36" s="1"/>
  <c r="AA10" i="4"/>
  <c r="AE14" i="7"/>
  <c r="AF14" i="7" s="1"/>
  <c r="X7" i="4"/>
  <c r="Z7" i="4"/>
  <c r="Y7" i="4"/>
  <c r="AE9" i="7"/>
  <c r="AF9" i="7" s="1"/>
  <c r="AJ9" i="7"/>
  <c r="R20" i="4"/>
  <c r="J9" i="8" s="1"/>
  <c r="U9" i="8" s="1"/>
  <c r="AB16" i="4"/>
  <c r="AC16" i="4"/>
  <c r="AA16" i="4"/>
  <c r="S16" i="4"/>
  <c r="R16" i="4"/>
  <c r="Z16" i="4"/>
  <c r="T16" i="4"/>
  <c r="U16" i="4"/>
  <c r="X16" i="4"/>
  <c r="V16" i="4"/>
  <c r="Y16" i="4"/>
  <c r="M13" i="41"/>
  <c r="N13" i="41" s="1"/>
  <c r="Q19" i="41"/>
  <c r="R19" i="41" s="1"/>
  <c r="S31" i="41"/>
  <c r="T31" i="41" s="1"/>
  <c r="M37" i="41"/>
  <c r="N37" i="41" s="1"/>
  <c r="Q49" i="41"/>
  <c r="R49" i="41" s="1"/>
  <c r="Q43" i="41"/>
  <c r="R43" i="41" s="1"/>
  <c r="Q61" i="41"/>
  <c r="R61" i="41" s="1"/>
  <c r="Q13" i="41"/>
  <c r="R13" i="41" s="1"/>
  <c r="S19" i="41"/>
  <c r="T19" i="41" s="1"/>
  <c r="O31" i="41"/>
  <c r="P31" i="41" s="1"/>
  <c r="Q37" i="41"/>
  <c r="R37" i="41" s="1"/>
  <c r="M49" i="41"/>
  <c r="N49" i="41" s="1"/>
  <c r="S43" i="41"/>
  <c r="T43" i="41" s="1"/>
  <c r="M61" i="41"/>
  <c r="N61" i="41" s="1"/>
  <c r="O13" i="41"/>
  <c r="P13" i="41" s="1"/>
  <c r="O19" i="41"/>
  <c r="P19" i="41" s="1"/>
  <c r="M31" i="41"/>
  <c r="N31" i="41" s="1"/>
  <c r="O37" i="41"/>
  <c r="P37" i="41" s="1"/>
  <c r="O49" i="41"/>
  <c r="P49" i="41" s="1"/>
  <c r="M43" i="41"/>
  <c r="N43" i="41" s="1"/>
  <c r="O61" i="41"/>
  <c r="P61" i="41" s="1"/>
  <c r="S13" i="41"/>
  <c r="T13" i="41" s="1"/>
  <c r="M19" i="41"/>
  <c r="N19" i="41" s="1"/>
  <c r="Q31" i="41"/>
  <c r="R31" i="41" s="1"/>
  <c r="S37" i="41"/>
  <c r="T37" i="41" s="1"/>
  <c r="O43" i="41"/>
  <c r="P43" i="41" s="1"/>
  <c r="S49" i="41"/>
  <c r="T49" i="41" s="1"/>
  <c r="S61" i="41"/>
  <c r="T61" i="41" s="1"/>
  <c r="AA12" i="8"/>
  <c r="AC10" i="4"/>
  <c r="R10" i="4"/>
  <c r="U10" i="4"/>
  <c r="AB10" i="4"/>
  <c r="T10" i="4"/>
  <c r="X10" i="4"/>
  <c r="Y10" i="4"/>
  <c r="Y37" i="4"/>
  <c r="W10" i="4"/>
  <c r="AA13" i="8"/>
  <c r="O55" i="36"/>
  <c r="P55" i="36" s="1"/>
  <c r="M109" i="36"/>
  <c r="N109" i="36" s="1"/>
  <c r="Q53" i="36"/>
  <c r="R53" i="36" s="1"/>
  <c r="M32" i="36"/>
  <c r="N32" i="36" s="1"/>
  <c r="S43" i="36"/>
  <c r="T43" i="36" s="1"/>
  <c r="S66" i="36"/>
  <c r="T66" i="36" s="1"/>
  <c r="M85" i="36"/>
  <c r="N85" i="36" s="1"/>
  <c r="O98" i="36"/>
  <c r="P98" i="36" s="1"/>
  <c r="O120" i="36"/>
  <c r="P120" i="36" s="1"/>
  <c r="M130" i="36"/>
  <c r="N130" i="36" s="1"/>
  <c r="Q120" i="36"/>
  <c r="R120" i="36" s="1"/>
  <c r="M52" i="36"/>
  <c r="N52" i="36" s="1"/>
  <c r="O110" i="36"/>
  <c r="P110" i="36" s="1"/>
  <c r="Q52" i="36"/>
  <c r="R52" i="36" s="1"/>
  <c r="O31" i="36"/>
  <c r="P31" i="36" s="1"/>
  <c r="M65" i="36"/>
  <c r="N65" i="36" s="1"/>
  <c r="O63" i="36"/>
  <c r="P63" i="36" s="1"/>
  <c r="M84" i="36"/>
  <c r="N84" i="36" s="1"/>
  <c r="S96" i="36"/>
  <c r="T96" i="36" s="1"/>
  <c r="S106" i="36"/>
  <c r="T106" i="36" s="1"/>
  <c r="Q30" i="36"/>
  <c r="R30" i="36" s="1"/>
  <c r="Q32" i="36"/>
  <c r="R32" i="36" s="1"/>
  <c r="S52" i="36"/>
  <c r="T52" i="36" s="1"/>
  <c r="S120" i="36"/>
  <c r="T120" i="36" s="1"/>
  <c r="M22" i="36"/>
  <c r="N22" i="36" s="1"/>
  <c r="S33" i="36"/>
  <c r="T33" i="36" s="1"/>
  <c r="S41" i="36"/>
  <c r="T41" i="36" s="1"/>
  <c r="S53" i="36"/>
  <c r="T53" i="36" s="1"/>
  <c r="M74" i="36"/>
  <c r="N74" i="36" s="1"/>
  <c r="S110" i="36"/>
  <c r="T110" i="36" s="1"/>
  <c r="S121" i="36"/>
  <c r="T121" i="36" s="1"/>
  <c r="Q97" i="36"/>
  <c r="R97" i="36" s="1"/>
  <c r="Q85" i="36"/>
  <c r="R85" i="36" s="1"/>
  <c r="Q31" i="36"/>
  <c r="R31" i="36" s="1"/>
  <c r="S21" i="36"/>
  <c r="T21" i="36" s="1"/>
  <c r="Q119" i="36"/>
  <c r="R119" i="36" s="1"/>
  <c r="M41" i="36"/>
  <c r="N41" i="36" s="1"/>
  <c r="O62" i="36"/>
  <c r="P62" i="36" s="1"/>
  <c r="O85" i="36"/>
  <c r="P85" i="36" s="1"/>
  <c r="O108" i="36"/>
  <c r="P108" i="36" s="1"/>
  <c r="M121" i="36"/>
  <c r="N121" i="36" s="1"/>
  <c r="M129" i="36"/>
  <c r="N129" i="36" s="1"/>
  <c r="Q23" i="36"/>
  <c r="R23" i="36" s="1"/>
  <c r="S42" i="36"/>
  <c r="T42" i="36" s="1"/>
  <c r="Q54" i="36"/>
  <c r="R54" i="36" s="1"/>
  <c r="S76" i="36"/>
  <c r="T76" i="36" s="1"/>
  <c r="M87" i="36"/>
  <c r="N87" i="36" s="1"/>
  <c r="Q107" i="36"/>
  <c r="R107" i="36" s="1"/>
  <c r="Q129" i="36"/>
  <c r="R129" i="36" s="1"/>
  <c r="Q110" i="36"/>
  <c r="R110" i="36" s="1"/>
  <c r="S29" i="36"/>
  <c r="T29" i="36" s="1"/>
  <c r="Q51" i="36"/>
  <c r="R51" i="36" s="1"/>
  <c r="Q75" i="36"/>
  <c r="R75" i="36" s="1"/>
  <c r="Q95" i="36"/>
  <c r="R95" i="36" s="1"/>
  <c r="M119" i="36"/>
  <c r="N119" i="36" s="1"/>
  <c r="AA14" i="8"/>
  <c r="AA10" i="8"/>
  <c r="M53" i="36"/>
  <c r="N53" i="36" s="1"/>
  <c r="M128" i="36"/>
  <c r="N128" i="36" s="1"/>
  <c r="S23" i="36"/>
  <c r="T23" i="36" s="1"/>
  <c r="S31" i="36"/>
  <c r="T31" i="36" s="1"/>
  <c r="M40" i="36"/>
  <c r="N40" i="36" s="1"/>
  <c r="O64" i="36"/>
  <c r="P64" i="36" s="1"/>
  <c r="S88" i="36"/>
  <c r="T88" i="36" s="1"/>
  <c r="S97" i="36"/>
  <c r="T97" i="36" s="1"/>
  <c r="S119" i="36"/>
  <c r="T119" i="36" s="1"/>
  <c r="Q118" i="36"/>
  <c r="R118" i="36" s="1"/>
  <c r="Q40" i="36"/>
  <c r="R40" i="36" s="1"/>
  <c r="O53" i="36"/>
  <c r="P53" i="36" s="1"/>
  <c r="O121" i="36"/>
  <c r="P121" i="36" s="1"/>
  <c r="O23" i="36"/>
  <c r="P23" i="36" s="1"/>
  <c r="S30" i="36"/>
  <c r="T30" i="36" s="1"/>
  <c r="O66" i="36"/>
  <c r="P66" i="36" s="1"/>
  <c r="O75" i="36"/>
  <c r="P75" i="36" s="1"/>
  <c r="S87" i="36"/>
  <c r="T87" i="36" s="1"/>
  <c r="M97" i="36"/>
  <c r="N97" i="36" s="1"/>
  <c r="O119" i="36"/>
  <c r="P119" i="36" s="1"/>
  <c r="Q63" i="36"/>
  <c r="R63" i="36" s="1"/>
  <c r="O22" i="36"/>
  <c r="P22" i="36" s="1"/>
  <c r="S64" i="36"/>
  <c r="T64" i="36" s="1"/>
  <c r="Q130" i="36"/>
  <c r="R130" i="36" s="1"/>
  <c r="S22" i="36"/>
  <c r="T22" i="36" s="1"/>
  <c r="Q29" i="36"/>
  <c r="R29" i="36" s="1"/>
  <c r="O42" i="36"/>
  <c r="P42" i="36" s="1"/>
  <c r="O65" i="36"/>
  <c r="P65" i="36" s="1"/>
  <c r="O74" i="36"/>
  <c r="P74" i="36" s="1"/>
  <c r="Q108" i="36"/>
  <c r="R108" i="36" s="1"/>
  <c r="M118" i="36"/>
  <c r="N118" i="36" s="1"/>
  <c r="Q19" i="36"/>
  <c r="R19" i="36" s="1"/>
  <c r="Q76" i="36"/>
  <c r="R76" i="36" s="1"/>
  <c r="M66" i="36"/>
  <c r="N66" i="36" s="1"/>
  <c r="S86" i="36"/>
  <c r="T86" i="36" s="1"/>
  <c r="M23" i="36"/>
  <c r="N23" i="36" s="1"/>
  <c r="M51" i="36"/>
  <c r="N51" i="36" s="1"/>
  <c r="Q66" i="36"/>
  <c r="R66" i="36" s="1"/>
  <c r="Q88" i="36"/>
  <c r="R88" i="36" s="1"/>
  <c r="S109" i="36"/>
  <c r="T109" i="36" s="1"/>
  <c r="S118" i="36"/>
  <c r="T118" i="36" s="1"/>
  <c r="Q98" i="36"/>
  <c r="R98" i="36" s="1"/>
  <c r="O29" i="36"/>
  <c r="P29" i="36" s="1"/>
  <c r="Q41" i="36"/>
  <c r="R41" i="36" s="1"/>
  <c r="Q62" i="36"/>
  <c r="R62" i="36" s="1"/>
  <c r="M75" i="36"/>
  <c r="N75" i="36" s="1"/>
  <c r="O95" i="36"/>
  <c r="P95" i="36" s="1"/>
  <c r="O117" i="36"/>
  <c r="P117" i="36" s="1"/>
  <c r="M77" i="36"/>
  <c r="N77" i="36" s="1"/>
  <c r="O131" i="36"/>
  <c r="P131" i="36" s="1"/>
  <c r="S32" i="36"/>
  <c r="T32" i="36" s="1"/>
  <c r="S62" i="36"/>
  <c r="T62" i="36" s="1"/>
  <c r="S84" i="36"/>
  <c r="T84" i="36" s="1"/>
  <c r="M98" i="36"/>
  <c r="N98" i="36" s="1"/>
  <c r="M132" i="36"/>
  <c r="N132" i="36" s="1"/>
  <c r="AF13" i="8"/>
  <c r="AK13" i="8"/>
  <c r="AA11" i="8"/>
  <c r="O33" i="36"/>
  <c r="P33" i="36" s="1"/>
  <c r="M73" i="36"/>
  <c r="N73" i="36" s="1"/>
  <c r="Q42" i="36"/>
  <c r="R42" i="36" s="1"/>
  <c r="M21" i="36"/>
  <c r="N21" i="36" s="1"/>
  <c r="M43" i="36"/>
  <c r="N43" i="36" s="1"/>
  <c r="O40" i="36"/>
  <c r="P40" i="36" s="1"/>
  <c r="S63" i="36"/>
  <c r="T63" i="36" s="1"/>
  <c r="Q84" i="36"/>
  <c r="R84" i="36" s="1"/>
  <c r="S107" i="36"/>
  <c r="T107" i="36" s="1"/>
  <c r="M131" i="36"/>
  <c r="N131" i="36" s="1"/>
  <c r="Q43" i="36"/>
  <c r="R43" i="36" s="1"/>
  <c r="Q65" i="36"/>
  <c r="R65" i="36" s="1"/>
  <c r="M76" i="36"/>
  <c r="N76" i="36" s="1"/>
  <c r="S132" i="36"/>
  <c r="T132" i="36" s="1"/>
  <c r="O20" i="36"/>
  <c r="P20" i="36" s="1"/>
  <c r="O43" i="36"/>
  <c r="P43" i="36" s="1"/>
  <c r="S65" i="36"/>
  <c r="T65" i="36" s="1"/>
  <c r="S74" i="36"/>
  <c r="T74" i="36" s="1"/>
  <c r="M96" i="36"/>
  <c r="N96" i="36" s="1"/>
  <c r="O97" i="36"/>
  <c r="P97" i="36" s="1"/>
  <c r="S129" i="36"/>
  <c r="T129" i="36" s="1"/>
  <c r="Q106" i="36"/>
  <c r="R106" i="36" s="1"/>
  <c r="S44" i="36"/>
  <c r="T44" i="36" s="1"/>
  <c r="O77" i="36"/>
  <c r="P77" i="36" s="1"/>
  <c r="Q131" i="36"/>
  <c r="R131" i="36" s="1"/>
  <c r="M19" i="36"/>
  <c r="N19" i="36" s="1"/>
  <c r="M30" i="36"/>
  <c r="N30" i="36" s="1"/>
  <c r="S55" i="36"/>
  <c r="T55" i="36" s="1"/>
  <c r="S77" i="36"/>
  <c r="T77" i="36" s="1"/>
  <c r="O87" i="36"/>
  <c r="P87" i="36" s="1"/>
  <c r="M106" i="36"/>
  <c r="N106" i="36" s="1"/>
  <c r="O129" i="36"/>
  <c r="P129" i="36" s="1"/>
  <c r="Q22" i="36"/>
  <c r="R22" i="36" s="1"/>
  <c r="Q20" i="36"/>
  <c r="R20" i="36" s="1"/>
  <c r="S51" i="36"/>
  <c r="T51" i="36" s="1"/>
  <c r="O109" i="36"/>
  <c r="P109" i="36" s="1"/>
  <c r="M33" i="36"/>
  <c r="N33" i="36" s="1"/>
  <c r="M55" i="36"/>
  <c r="N55" i="36" s="1"/>
  <c r="O76" i="36"/>
  <c r="P76" i="36" s="1"/>
  <c r="M95" i="36"/>
  <c r="N95" i="36" s="1"/>
  <c r="M107" i="36"/>
  <c r="N107" i="36" s="1"/>
  <c r="O130" i="36"/>
  <c r="P130" i="36" s="1"/>
  <c r="O118" i="36"/>
  <c r="P118" i="36" s="1"/>
  <c r="O32" i="36"/>
  <c r="P32" i="36" s="1"/>
  <c r="O51" i="36"/>
  <c r="P51" i="36" s="1"/>
  <c r="M64" i="36"/>
  <c r="N64" i="36" s="1"/>
  <c r="O84" i="36"/>
  <c r="P84" i="36" s="1"/>
  <c r="Q99" i="36"/>
  <c r="R99" i="36" s="1"/>
  <c r="Q121" i="36"/>
  <c r="R121" i="36" s="1"/>
  <c r="M88" i="36"/>
  <c r="N88" i="36" s="1"/>
  <c r="O21" i="36"/>
  <c r="P21" i="36" s="1"/>
  <c r="M31" i="36"/>
  <c r="N31" i="36" s="1"/>
  <c r="Q64" i="36"/>
  <c r="R64" i="36" s="1"/>
  <c r="O86" i="36"/>
  <c r="P86" i="36" s="1"/>
  <c r="M110" i="36"/>
  <c r="N110" i="36" s="1"/>
  <c r="AF14" i="8"/>
  <c r="AK14" i="8"/>
  <c r="AC9" i="8"/>
  <c r="AS9" i="8" s="1"/>
  <c r="AF10" i="8"/>
  <c r="AK10" i="8"/>
  <c r="AF12" i="8"/>
  <c r="AK12" i="8"/>
  <c r="U56" i="40"/>
  <c r="V56" i="40" s="1"/>
  <c r="W22" i="4"/>
  <c r="O41" i="36"/>
  <c r="P41" i="36" s="1"/>
  <c r="M86" i="36"/>
  <c r="N86" i="36" s="1"/>
  <c r="Q86" i="36"/>
  <c r="R86" i="36" s="1"/>
  <c r="S20" i="36"/>
  <c r="T20" i="36" s="1"/>
  <c r="O44" i="36"/>
  <c r="P44" i="36" s="1"/>
  <c r="O52" i="36"/>
  <c r="P52" i="36" s="1"/>
  <c r="S75" i="36"/>
  <c r="T75" i="36" s="1"/>
  <c r="S99" i="36"/>
  <c r="T99" i="36" s="1"/>
  <c r="M120" i="36"/>
  <c r="N120" i="36" s="1"/>
  <c r="O132" i="36"/>
  <c r="P132" i="36" s="1"/>
  <c r="Q74" i="36"/>
  <c r="R74" i="36" s="1"/>
  <c r="M29" i="36"/>
  <c r="N29" i="36" s="1"/>
  <c r="S98" i="36"/>
  <c r="T98" i="36" s="1"/>
  <c r="O128" i="36"/>
  <c r="P128" i="36" s="1"/>
  <c r="S19" i="36"/>
  <c r="T19" i="36" s="1"/>
  <c r="S54" i="36"/>
  <c r="T54" i="36" s="1"/>
  <c r="M63" i="36"/>
  <c r="N63" i="36" s="1"/>
  <c r="O88" i="36"/>
  <c r="P88" i="36" s="1"/>
  <c r="O99" i="36"/>
  <c r="P99" i="36" s="1"/>
  <c r="O107" i="36"/>
  <c r="P107" i="36" s="1"/>
  <c r="Q109" i="36"/>
  <c r="R109" i="36" s="1"/>
  <c r="Q21" i="36"/>
  <c r="R21" i="36" s="1"/>
  <c r="S40" i="36"/>
  <c r="T40" i="36" s="1"/>
  <c r="M108" i="36"/>
  <c r="N108" i="36" s="1"/>
  <c r="Q128" i="36"/>
  <c r="R128" i="36" s="1"/>
  <c r="O19" i="36"/>
  <c r="P19" i="36" s="1"/>
  <c r="O30" i="36"/>
  <c r="P30" i="36" s="1"/>
  <c r="O54" i="36"/>
  <c r="P54" i="36" s="1"/>
  <c r="Q73" i="36"/>
  <c r="R73" i="36" s="1"/>
  <c r="O96" i="36"/>
  <c r="P96" i="36" s="1"/>
  <c r="O106" i="36"/>
  <c r="P106" i="36" s="1"/>
  <c r="S128" i="36"/>
  <c r="T128" i="36" s="1"/>
  <c r="Q96" i="36"/>
  <c r="R96" i="36" s="1"/>
  <c r="M62" i="36"/>
  <c r="N62" i="36" s="1"/>
  <c r="Q44" i="36"/>
  <c r="R44" i="36" s="1"/>
  <c r="S117" i="36"/>
  <c r="T117" i="36" s="1"/>
  <c r="M42" i="36"/>
  <c r="N42" i="36" s="1"/>
  <c r="M54" i="36"/>
  <c r="N54" i="36" s="1"/>
  <c r="Q77" i="36"/>
  <c r="R77" i="36" s="1"/>
  <c r="M99" i="36"/>
  <c r="N99" i="36" s="1"/>
  <c r="M117" i="36"/>
  <c r="N117" i="36" s="1"/>
  <c r="S131" i="36"/>
  <c r="T131" i="36" s="1"/>
  <c r="Q132" i="36"/>
  <c r="R132" i="36" s="1"/>
  <c r="Q33" i="36"/>
  <c r="R33" i="36" s="1"/>
  <c r="Q55" i="36"/>
  <c r="R55" i="36" s="1"/>
  <c r="O73" i="36"/>
  <c r="P73" i="36" s="1"/>
  <c r="S85" i="36"/>
  <c r="T85" i="36" s="1"/>
  <c r="S108" i="36"/>
  <c r="T108" i="36" s="1"/>
  <c r="S130" i="36"/>
  <c r="T130" i="36" s="1"/>
  <c r="S95" i="36"/>
  <c r="T95" i="36" s="1"/>
  <c r="M20" i="36"/>
  <c r="N20" i="36" s="1"/>
  <c r="M44" i="36"/>
  <c r="N44" i="36" s="1"/>
  <c r="S73" i="36"/>
  <c r="T73" i="36" s="1"/>
  <c r="Q87" i="36"/>
  <c r="R87" i="36" s="1"/>
  <c r="AC34" i="4"/>
  <c r="E16" i="6"/>
  <c r="E17" i="6"/>
  <c r="P24" i="33"/>
  <c r="Q24" i="33" s="1"/>
  <c r="P11" i="33"/>
  <c r="Q11" i="33" s="1"/>
  <c r="X30" i="4"/>
  <c r="E15" i="6" s="1"/>
  <c r="T30" i="4"/>
  <c r="S30" i="4"/>
  <c r="T37" i="4"/>
  <c r="W37" i="4"/>
  <c r="AC37" i="4"/>
  <c r="S41" i="4"/>
  <c r="Z41" i="4"/>
  <c r="AA41" i="4"/>
  <c r="W41" i="4"/>
  <c r="P22" i="33"/>
  <c r="Q22" i="33" s="1"/>
  <c r="R20" i="33"/>
  <c r="S20" i="33" s="1"/>
  <c r="S136" i="36"/>
  <c r="T136" i="36" s="1"/>
  <c r="Q114" i="36"/>
  <c r="R114" i="36" s="1"/>
  <c r="S91" i="36"/>
  <c r="T91" i="36" s="1"/>
  <c r="O59" i="36"/>
  <c r="P59" i="36" s="1"/>
  <c r="Q18" i="36"/>
  <c r="R18" i="36" s="1"/>
  <c r="S58" i="37"/>
  <c r="T58" i="37" s="1"/>
  <c r="W21" i="37"/>
  <c r="X21" i="37" s="1"/>
  <c r="W30" i="4"/>
  <c r="E14" i="6" s="1"/>
  <c r="AB30" i="4"/>
  <c r="V30" i="4"/>
  <c r="AC30" i="4"/>
  <c r="V37" i="4"/>
  <c r="X37" i="4"/>
  <c r="H9" i="8"/>
  <c r="S9" i="8" s="1"/>
  <c r="W7" i="4"/>
  <c r="AC7" i="4"/>
  <c r="V7" i="4"/>
  <c r="U7" i="4"/>
  <c r="T18" i="33"/>
  <c r="U18" i="33" s="1"/>
  <c r="N25" i="33"/>
  <c r="O25" i="33" s="1"/>
  <c r="Q123" i="36"/>
  <c r="R123" i="36" s="1"/>
  <c r="S100" i="36"/>
  <c r="T100" i="36" s="1"/>
  <c r="O68" i="36"/>
  <c r="P68" i="36" s="1"/>
  <c r="S36" i="36"/>
  <c r="T36" i="36" s="1"/>
  <c r="W64" i="37"/>
  <c r="X64" i="37" s="1"/>
  <c r="W55" i="37"/>
  <c r="X55" i="37" s="1"/>
  <c r="R6" i="33"/>
  <c r="S6" i="33" s="1"/>
  <c r="Q135" i="36"/>
  <c r="R135" i="36" s="1"/>
  <c r="S111" i="36"/>
  <c r="T111" i="36" s="1"/>
  <c r="O91" i="36"/>
  <c r="P91" i="36" s="1"/>
  <c r="O56" i="36"/>
  <c r="P56" i="36" s="1"/>
  <c r="S15" i="36"/>
  <c r="T15" i="36" s="1"/>
  <c r="W18" i="37"/>
  <c r="X18" i="37" s="1"/>
  <c r="W42" i="37"/>
  <c r="X42" i="37" s="1"/>
  <c r="E9" i="6"/>
  <c r="U30" i="4"/>
  <c r="AA30" i="4"/>
  <c r="S24" i="38"/>
  <c r="T24" i="38" s="1"/>
  <c r="AA37" i="4"/>
  <c r="S37" i="4"/>
  <c r="Z37" i="4"/>
  <c r="T7" i="4"/>
  <c r="R7" i="4"/>
  <c r="S7" i="4"/>
  <c r="R37" i="4"/>
  <c r="AJ12" i="7"/>
  <c r="AG12" i="7" s="1"/>
  <c r="P25" i="33"/>
  <c r="Q25" i="33" s="1"/>
  <c r="T17" i="33"/>
  <c r="U17" i="33" s="1"/>
  <c r="P26" i="33"/>
  <c r="Q26" i="33" s="1"/>
  <c r="T9" i="33"/>
  <c r="U9" i="33" s="1"/>
  <c r="N13" i="33"/>
  <c r="O13" i="33" s="1"/>
  <c r="Q125" i="36"/>
  <c r="R125" i="36" s="1"/>
  <c r="S124" i="36"/>
  <c r="T124" i="36" s="1"/>
  <c r="O122" i="36"/>
  <c r="P122" i="36" s="1"/>
  <c r="M102" i="36"/>
  <c r="N102" i="36" s="1"/>
  <c r="O90" i="36"/>
  <c r="P90" i="36" s="1"/>
  <c r="S70" i="36"/>
  <c r="T70" i="36" s="1"/>
  <c r="O50" i="36"/>
  <c r="P50" i="36" s="1"/>
  <c r="P27" i="33"/>
  <c r="Q27" i="33" s="1"/>
  <c r="P29" i="33"/>
  <c r="Q29" i="33" s="1"/>
  <c r="P16" i="33"/>
  <c r="Q16" i="33" s="1"/>
  <c r="T14" i="33"/>
  <c r="U14" i="33" s="1"/>
  <c r="R25" i="33"/>
  <c r="S25" i="33" s="1"/>
  <c r="N9" i="33"/>
  <c r="O9" i="33" s="1"/>
  <c r="Q134" i="36"/>
  <c r="R134" i="36" s="1"/>
  <c r="Q116" i="36"/>
  <c r="R116" i="36" s="1"/>
  <c r="Q105" i="36"/>
  <c r="R105" i="36" s="1"/>
  <c r="O101" i="36"/>
  <c r="P101" i="36" s="1"/>
  <c r="Q72" i="36"/>
  <c r="R72" i="36" s="1"/>
  <c r="S69" i="36"/>
  <c r="T69" i="36" s="1"/>
  <c r="S61" i="36"/>
  <c r="T61" i="36" s="1"/>
  <c r="O47" i="36"/>
  <c r="P47" i="36" s="1"/>
  <c r="M26" i="36"/>
  <c r="N26" i="36" s="1"/>
  <c r="S26" i="36"/>
  <c r="T26" i="36" s="1"/>
  <c r="Q14" i="36"/>
  <c r="R14" i="36" s="1"/>
  <c r="Q8" i="36"/>
  <c r="R8" i="36" s="1"/>
  <c r="W57" i="37"/>
  <c r="X57" i="37" s="1"/>
  <c r="S48" i="37"/>
  <c r="T48" i="37" s="1"/>
  <c r="Q63" i="37"/>
  <c r="R63" i="37" s="1"/>
  <c r="S14" i="37"/>
  <c r="T14" i="37" s="1"/>
  <c r="Q75" i="37"/>
  <c r="R75" i="37" s="1"/>
  <c r="U45" i="37"/>
  <c r="V45" i="37" s="1"/>
  <c r="U13" i="37"/>
  <c r="V13" i="37" s="1"/>
  <c r="P19" i="33"/>
  <c r="Q19" i="33" s="1"/>
  <c r="P10" i="33"/>
  <c r="Q10" i="33" s="1"/>
  <c r="T10" i="33"/>
  <c r="U10" i="33" s="1"/>
  <c r="T11" i="33"/>
  <c r="U11" i="33" s="1"/>
  <c r="P8" i="33"/>
  <c r="Q8" i="33" s="1"/>
  <c r="P13" i="33"/>
  <c r="Q13" i="33" s="1"/>
  <c r="T13" i="33"/>
  <c r="U13" i="33" s="1"/>
  <c r="T26" i="33"/>
  <c r="U26" i="33" s="1"/>
  <c r="T29" i="33"/>
  <c r="U29" i="33" s="1"/>
  <c r="N11" i="33"/>
  <c r="O11" i="33" s="1"/>
  <c r="N19" i="33"/>
  <c r="O19" i="33" s="1"/>
  <c r="O127" i="36"/>
  <c r="P127" i="36" s="1"/>
  <c r="Q127" i="36"/>
  <c r="R127" i="36" s="1"/>
  <c r="O123" i="36"/>
  <c r="P123" i="36" s="1"/>
  <c r="S114" i="36"/>
  <c r="T114" i="36" s="1"/>
  <c r="S113" i="36"/>
  <c r="T113" i="36" s="1"/>
  <c r="Q113" i="36"/>
  <c r="R113" i="36" s="1"/>
  <c r="M92" i="36"/>
  <c r="N92" i="36" s="1"/>
  <c r="S81" i="36"/>
  <c r="T81" i="36" s="1"/>
  <c r="Q90" i="36"/>
  <c r="R90" i="36" s="1"/>
  <c r="Q70" i="36"/>
  <c r="R70" i="36" s="1"/>
  <c r="O78" i="36"/>
  <c r="P78" i="36" s="1"/>
  <c r="M59" i="36"/>
  <c r="N59" i="36" s="1"/>
  <c r="Q57" i="36"/>
  <c r="R57" i="36" s="1"/>
  <c r="S39" i="36"/>
  <c r="T39" i="36" s="1"/>
  <c r="Q26" i="36"/>
  <c r="R26" i="36" s="1"/>
  <c r="Q35" i="36"/>
  <c r="R35" i="36" s="1"/>
  <c r="O6" i="36"/>
  <c r="P6" i="36" s="1"/>
  <c r="Q10" i="36"/>
  <c r="R10" i="36" s="1"/>
  <c r="U54" i="37"/>
  <c r="V54" i="37" s="1"/>
  <c r="U55" i="37"/>
  <c r="V55" i="37" s="1"/>
  <c r="W61" i="37"/>
  <c r="X61" i="37" s="1"/>
  <c r="W74" i="37"/>
  <c r="X74" i="37" s="1"/>
  <c r="U46" i="37"/>
  <c r="V46" i="37" s="1"/>
  <c r="Q70" i="37"/>
  <c r="R70" i="37" s="1"/>
  <c r="Q76" i="37"/>
  <c r="R76" i="37" s="1"/>
  <c r="S73" i="37"/>
  <c r="T73" i="37" s="1"/>
  <c r="R11" i="33"/>
  <c r="S11" i="33" s="1"/>
  <c r="T24" i="33"/>
  <c r="U24" i="33" s="1"/>
  <c r="R9" i="33"/>
  <c r="S9" i="33" s="1"/>
  <c r="R26" i="33"/>
  <c r="S26" i="33" s="1"/>
  <c r="P21" i="33"/>
  <c r="Q21" i="33" s="1"/>
  <c r="R27" i="33"/>
  <c r="S27" i="33" s="1"/>
  <c r="T7" i="33"/>
  <c r="U7" i="33" s="1"/>
  <c r="R14" i="33"/>
  <c r="S14" i="33" s="1"/>
  <c r="P6" i="33"/>
  <c r="Q6" i="33" s="1"/>
  <c r="N18" i="33"/>
  <c r="O18" i="33" s="1"/>
  <c r="Q136" i="36"/>
  <c r="R136" i="36" s="1"/>
  <c r="O134" i="36"/>
  <c r="P134" i="36" s="1"/>
  <c r="S135" i="36"/>
  <c r="T135" i="36" s="1"/>
  <c r="O124" i="36"/>
  <c r="P124" i="36" s="1"/>
  <c r="O116" i="36"/>
  <c r="P116" i="36" s="1"/>
  <c r="O113" i="36"/>
  <c r="P113" i="36" s="1"/>
  <c r="Q112" i="36"/>
  <c r="R112" i="36" s="1"/>
  <c r="S92" i="36"/>
  <c r="T92" i="36" s="1"/>
  <c r="S89" i="36"/>
  <c r="T89" i="36" s="1"/>
  <c r="O81" i="36"/>
  <c r="P81" i="36" s="1"/>
  <c r="O70" i="36"/>
  <c r="P70" i="36" s="1"/>
  <c r="S59" i="36"/>
  <c r="T59" i="36" s="1"/>
  <c r="O67" i="36"/>
  <c r="P67" i="36" s="1"/>
  <c r="S57" i="36"/>
  <c r="T57" i="36" s="1"/>
  <c r="O45" i="36"/>
  <c r="P45" i="36" s="1"/>
  <c r="O36" i="36"/>
  <c r="P36" i="36" s="1"/>
  <c r="S24" i="36"/>
  <c r="T24" i="36" s="1"/>
  <c r="M14" i="36"/>
  <c r="N14" i="36" s="1"/>
  <c r="Q11" i="36"/>
  <c r="R11" i="36" s="1"/>
  <c r="U40" i="37"/>
  <c r="V40" i="37" s="1"/>
  <c r="U15" i="37"/>
  <c r="V15" i="37" s="1"/>
  <c r="Q40" i="37"/>
  <c r="R40" i="37" s="1"/>
  <c r="W75" i="37"/>
  <c r="X75" i="37" s="1"/>
  <c r="W24" i="37"/>
  <c r="X24" i="37" s="1"/>
  <c r="W58" i="37"/>
  <c r="X58" i="37" s="1"/>
  <c r="U18" i="37"/>
  <c r="V18" i="37" s="1"/>
  <c r="S24" i="39"/>
  <c r="T24" i="39" s="1"/>
  <c r="S11" i="41"/>
  <c r="T11" i="41" s="1"/>
  <c r="O13" i="39"/>
  <c r="P13" i="39" s="1"/>
  <c r="U31" i="40"/>
  <c r="V31" i="40" s="1"/>
  <c r="S7" i="41"/>
  <c r="T7" i="41" s="1"/>
  <c r="M21" i="38"/>
  <c r="N21" i="38" s="1"/>
  <c r="S48" i="40"/>
  <c r="T48" i="40" s="1"/>
  <c r="Q25" i="38"/>
  <c r="R25" i="38" s="1"/>
  <c r="N7" i="33"/>
  <c r="O7" i="33" s="1"/>
  <c r="Q10" i="37"/>
  <c r="R10" i="37" s="1"/>
  <c r="S9" i="37"/>
  <c r="T9" i="37" s="1"/>
  <c r="U21" i="37"/>
  <c r="V21" i="37" s="1"/>
  <c r="S37" i="37"/>
  <c r="T37" i="37" s="1"/>
  <c r="W19" i="37"/>
  <c r="X19" i="37" s="1"/>
  <c r="U39" i="37"/>
  <c r="V39" i="37" s="1"/>
  <c r="S36" i="37"/>
  <c r="T36" i="37" s="1"/>
  <c r="S68" i="37"/>
  <c r="T68" i="37" s="1"/>
  <c r="Q52" i="37"/>
  <c r="R52" i="37" s="1"/>
  <c r="W72" i="37"/>
  <c r="X72" i="37" s="1"/>
  <c r="S16" i="37"/>
  <c r="T16" i="37" s="1"/>
  <c r="U25" i="37"/>
  <c r="V25" i="37" s="1"/>
  <c r="S74" i="37"/>
  <c r="T74" i="37" s="1"/>
  <c r="W50" i="37"/>
  <c r="X50" i="37" s="1"/>
  <c r="Q64" i="37"/>
  <c r="R64" i="37" s="1"/>
  <c r="U33" i="37"/>
  <c r="V33" i="37" s="1"/>
  <c r="S22" i="37"/>
  <c r="T22" i="37" s="1"/>
  <c r="S28" i="37"/>
  <c r="T28" i="37" s="1"/>
  <c r="W14" i="37"/>
  <c r="X14" i="37" s="1"/>
  <c r="W22" i="37"/>
  <c r="X22" i="37" s="1"/>
  <c r="U49" i="37"/>
  <c r="V49" i="37" s="1"/>
  <c r="U51" i="37"/>
  <c r="V51" i="37" s="1"/>
  <c r="U50" i="37"/>
  <c r="V50" i="37" s="1"/>
  <c r="U76" i="37"/>
  <c r="V76" i="37" s="1"/>
  <c r="S72" i="37"/>
  <c r="T72" i="37" s="1"/>
  <c r="U27" i="37"/>
  <c r="V27" i="37" s="1"/>
  <c r="W73" i="37"/>
  <c r="X73" i="37" s="1"/>
  <c r="S75" i="37"/>
  <c r="T75" i="37" s="1"/>
  <c r="U42" i="37"/>
  <c r="V42" i="37" s="1"/>
  <c r="U69" i="37"/>
  <c r="V69" i="37" s="1"/>
  <c r="S26" i="37"/>
  <c r="T26" i="37" s="1"/>
  <c r="S9" i="36"/>
  <c r="T9" i="36" s="1"/>
  <c r="O12" i="36"/>
  <c r="P12" i="36" s="1"/>
  <c r="S12" i="36"/>
  <c r="T12" i="36" s="1"/>
  <c r="S11" i="36"/>
  <c r="T11" i="36" s="1"/>
  <c r="S13" i="36"/>
  <c r="T13" i="36" s="1"/>
  <c r="O14" i="36"/>
  <c r="P14" i="36" s="1"/>
  <c r="O13" i="36"/>
  <c r="P13" i="36" s="1"/>
  <c r="O15" i="36"/>
  <c r="P15" i="36" s="1"/>
  <c r="O17" i="36"/>
  <c r="P17" i="36" s="1"/>
  <c r="S35" i="36"/>
  <c r="T35" i="36" s="1"/>
  <c r="O24" i="36"/>
  <c r="P24" i="36" s="1"/>
  <c r="O35" i="36"/>
  <c r="P35" i="36" s="1"/>
  <c r="S17" i="36"/>
  <c r="T17" i="36" s="1"/>
  <c r="Q36" i="36"/>
  <c r="R36" i="36" s="1"/>
  <c r="M36" i="36"/>
  <c r="N36" i="36" s="1"/>
  <c r="O26" i="36"/>
  <c r="P26" i="36" s="1"/>
  <c r="Q46" i="36"/>
  <c r="R46" i="36" s="1"/>
  <c r="Q37" i="36"/>
  <c r="R37" i="36" s="1"/>
  <c r="M37" i="36"/>
  <c r="N37" i="36" s="1"/>
  <c r="S47" i="36"/>
  <c r="T47" i="36" s="1"/>
  <c r="M58" i="36"/>
  <c r="N58" i="36" s="1"/>
  <c r="Q58" i="36"/>
  <c r="R58" i="36" s="1"/>
  <c r="Q50" i="36"/>
  <c r="R50" i="36" s="1"/>
  <c r="O57" i="36"/>
  <c r="P57" i="36" s="1"/>
  <c r="S67" i="36"/>
  <c r="T67" i="36" s="1"/>
  <c r="O61" i="36"/>
  <c r="P61" i="36" s="1"/>
  <c r="Q67" i="36"/>
  <c r="R67" i="36" s="1"/>
  <c r="Q61" i="36"/>
  <c r="R61" i="36" s="1"/>
  <c r="Q80" i="36"/>
  <c r="R80" i="36" s="1"/>
  <c r="M80" i="36"/>
  <c r="N80" i="36" s="1"/>
  <c r="O80" i="36"/>
  <c r="P80" i="36" s="1"/>
  <c r="M78" i="36"/>
  <c r="N78" i="36" s="1"/>
  <c r="O72" i="36"/>
  <c r="P72" i="36" s="1"/>
  <c r="O89" i="36"/>
  <c r="P89" i="36" s="1"/>
  <c r="Q89" i="36"/>
  <c r="R89" i="36" s="1"/>
  <c r="Q81" i="36"/>
  <c r="R81" i="36" s="1"/>
  <c r="Q83" i="36"/>
  <c r="R83" i="36" s="1"/>
  <c r="O102" i="36"/>
  <c r="P102" i="36" s="1"/>
  <c r="S102" i="36"/>
  <c r="T102" i="36" s="1"/>
  <c r="Q102" i="36"/>
  <c r="R102" i="36" s="1"/>
  <c r="Q94" i="36"/>
  <c r="R94" i="36" s="1"/>
  <c r="S112" i="36"/>
  <c r="T112" i="36" s="1"/>
  <c r="Q111" i="36"/>
  <c r="R111" i="36" s="1"/>
  <c r="S103" i="36"/>
  <c r="T103" i="36" s="1"/>
  <c r="Q103" i="36"/>
  <c r="R103" i="36" s="1"/>
  <c r="O103" i="36"/>
  <c r="P103" i="36" s="1"/>
  <c r="O11" i="39"/>
  <c r="P11" i="39" s="1"/>
  <c r="M17" i="38"/>
  <c r="N17" i="38" s="1"/>
  <c r="U37" i="40"/>
  <c r="V37" i="40" s="1"/>
  <c r="S16" i="41"/>
  <c r="T16" i="41" s="1"/>
  <c r="S50" i="40"/>
  <c r="T50" i="40" s="1"/>
  <c r="S26" i="39"/>
  <c r="T26" i="39" s="1"/>
  <c r="S57" i="41"/>
  <c r="T57" i="41" s="1"/>
  <c r="Q9" i="37"/>
  <c r="R9" i="37" s="1"/>
  <c r="U10" i="37"/>
  <c r="V10" i="37" s="1"/>
  <c r="S14" i="40"/>
  <c r="T14" i="40" s="1"/>
  <c r="Q16" i="38"/>
  <c r="R16" i="38" s="1"/>
  <c r="O7" i="39"/>
  <c r="P7" i="39" s="1"/>
  <c r="O24" i="41"/>
  <c r="P24" i="41" s="1"/>
  <c r="U69" i="40"/>
  <c r="V69" i="40" s="1"/>
  <c r="S57" i="40"/>
  <c r="T57" i="40" s="1"/>
  <c r="Q51" i="41"/>
  <c r="R51" i="41" s="1"/>
  <c r="W8" i="37"/>
  <c r="X8" i="37" s="1"/>
  <c r="Q22" i="37"/>
  <c r="R22" i="37" s="1"/>
  <c r="U32" i="37"/>
  <c r="V32" i="37" s="1"/>
  <c r="S54" i="37"/>
  <c r="T54" i="37" s="1"/>
  <c r="W37" i="37"/>
  <c r="X37" i="37" s="1"/>
  <c r="W63" i="37"/>
  <c r="X63" i="37" s="1"/>
  <c r="U67" i="37"/>
  <c r="V67" i="37" s="1"/>
  <c r="S21" i="37"/>
  <c r="T21" i="37" s="1"/>
  <c r="S42" i="37"/>
  <c r="T42" i="37" s="1"/>
  <c r="W7" i="37"/>
  <c r="X7" i="37" s="1"/>
  <c r="W13" i="37"/>
  <c r="X13" i="37" s="1"/>
  <c r="W60" i="37"/>
  <c r="X60" i="37" s="1"/>
  <c r="S43" i="37"/>
  <c r="T43" i="37" s="1"/>
  <c r="W48" i="37"/>
  <c r="X48" i="37" s="1"/>
  <c r="W70" i="37"/>
  <c r="X70" i="37" s="1"/>
  <c r="W43" i="37"/>
  <c r="X43" i="37" s="1"/>
  <c r="W20" i="37"/>
  <c r="X20" i="37" s="1"/>
  <c r="U70" i="37"/>
  <c r="V70" i="37" s="1"/>
  <c r="S60" i="37"/>
  <c r="T60" i="37" s="1"/>
  <c r="Q57" i="37"/>
  <c r="R57" i="37" s="1"/>
  <c r="W31" i="37"/>
  <c r="X31" i="37" s="1"/>
  <c r="U43" i="37"/>
  <c r="V43" i="37" s="1"/>
  <c r="S27" i="37"/>
  <c r="T27" i="37" s="1"/>
  <c r="S40" i="37"/>
  <c r="T40" i="37" s="1"/>
  <c r="U57" i="37"/>
  <c r="V57" i="37" s="1"/>
  <c r="W33" i="37"/>
  <c r="X33" i="37" s="1"/>
  <c r="U38" i="37"/>
  <c r="V38" i="37" s="1"/>
  <c r="W44" i="37"/>
  <c r="X44" i="37" s="1"/>
  <c r="U19" i="37"/>
  <c r="V19" i="37" s="1"/>
  <c r="U36" i="37"/>
  <c r="V36" i="37" s="1"/>
  <c r="S67" i="37"/>
  <c r="T67" i="37" s="1"/>
  <c r="Q12" i="36"/>
  <c r="R12" i="36" s="1"/>
  <c r="O10" i="36"/>
  <c r="P10" i="36" s="1"/>
  <c r="O9" i="36"/>
  <c r="P9" i="36" s="1"/>
  <c r="M15" i="36"/>
  <c r="N15" i="36" s="1"/>
  <c r="S6" i="36"/>
  <c r="T6" i="36" s="1"/>
  <c r="Q15" i="36"/>
  <c r="R15" i="36" s="1"/>
  <c r="Q6" i="36"/>
  <c r="R6" i="36" s="1"/>
  <c r="Q7" i="36"/>
  <c r="R7" i="36" s="1"/>
  <c r="S34" i="36"/>
  <c r="T34" i="36" s="1"/>
  <c r="S18" i="36"/>
  <c r="T18" i="36" s="1"/>
  <c r="O34" i="36"/>
  <c r="P34" i="36" s="1"/>
  <c r="Q28" i="36"/>
  <c r="R28" i="36" s="1"/>
  <c r="S25" i="36"/>
  <c r="T25" i="36" s="1"/>
  <c r="M25" i="36"/>
  <c r="N25" i="36" s="1"/>
  <c r="O18" i="36"/>
  <c r="P18" i="36" s="1"/>
  <c r="S37" i="36"/>
  <c r="T37" i="36" s="1"/>
  <c r="S45" i="36"/>
  <c r="T45" i="36" s="1"/>
  <c r="Q45" i="36"/>
  <c r="R45" i="36" s="1"/>
  <c r="S46" i="36"/>
  <c r="T46" i="36" s="1"/>
  <c r="S56" i="36"/>
  <c r="T56" i="36" s="1"/>
  <c r="Q56" i="36"/>
  <c r="R56" i="36" s="1"/>
  <c r="Q48" i="36"/>
  <c r="R48" i="36" s="1"/>
  <c r="M48" i="36"/>
  <c r="N48" i="36" s="1"/>
  <c r="O58" i="36"/>
  <c r="P58" i="36" s="1"/>
  <c r="P15" i="33"/>
  <c r="Q15" i="33" s="1"/>
  <c r="R24" i="33"/>
  <c r="S24" i="33" s="1"/>
  <c r="T28" i="33"/>
  <c r="U28" i="33" s="1"/>
  <c r="R16" i="33"/>
  <c r="S16" i="33" s="1"/>
  <c r="R8" i="33"/>
  <c r="S8" i="33" s="1"/>
  <c r="P23" i="33"/>
  <c r="Q23" i="33" s="1"/>
  <c r="P9" i="33"/>
  <c r="Q9" i="33" s="1"/>
  <c r="R23" i="33"/>
  <c r="S23" i="33" s="1"/>
  <c r="R22" i="33"/>
  <c r="S22" i="33" s="1"/>
  <c r="P7" i="33"/>
  <c r="Q7" i="33" s="1"/>
  <c r="R28" i="33"/>
  <c r="S28" i="33" s="1"/>
  <c r="R19" i="33"/>
  <c r="S19" i="33" s="1"/>
  <c r="T6" i="33"/>
  <c r="U6" i="33" s="1"/>
  <c r="T12" i="33"/>
  <c r="U12" i="33" s="1"/>
  <c r="R18" i="33"/>
  <c r="S18" i="33" s="1"/>
  <c r="T19" i="33"/>
  <c r="U19" i="33" s="1"/>
  <c r="T22" i="33"/>
  <c r="U22" i="33" s="1"/>
  <c r="N10" i="33"/>
  <c r="O10" i="33" s="1"/>
  <c r="N23" i="33"/>
  <c r="O23" i="33" s="1"/>
  <c r="N14" i="33"/>
  <c r="O14" i="33" s="1"/>
  <c r="M136" i="36"/>
  <c r="N136" i="36" s="1"/>
  <c r="M125" i="36"/>
  <c r="N125" i="36" s="1"/>
  <c r="S125" i="36"/>
  <c r="T125" i="36" s="1"/>
  <c r="O125" i="36"/>
  <c r="P125" i="36" s="1"/>
  <c r="O133" i="36"/>
  <c r="P133" i="36" s="1"/>
  <c r="S133" i="36"/>
  <c r="T133" i="36" s="1"/>
  <c r="S122" i="36"/>
  <c r="T122" i="36" s="1"/>
  <c r="S123" i="36"/>
  <c r="T123" i="36" s="1"/>
  <c r="M114" i="36"/>
  <c r="N114" i="36" s="1"/>
  <c r="Q122" i="36"/>
  <c r="R122" i="36" s="1"/>
  <c r="O111" i="36"/>
  <c r="P111" i="36" s="1"/>
  <c r="M113" i="36"/>
  <c r="N113" i="36" s="1"/>
  <c r="S105" i="36"/>
  <c r="T105" i="36" s="1"/>
  <c r="S94" i="36"/>
  <c r="T94" i="36" s="1"/>
  <c r="O100" i="36"/>
  <c r="P100" i="36" s="1"/>
  <c r="O94" i="36"/>
  <c r="P94" i="36" s="1"/>
  <c r="M81" i="36"/>
  <c r="N81" i="36" s="1"/>
  <c r="O83" i="36"/>
  <c r="P83" i="36" s="1"/>
  <c r="S90" i="36"/>
  <c r="T90" i="36" s="1"/>
  <c r="Q79" i="36"/>
  <c r="R79" i="36" s="1"/>
  <c r="S79" i="36"/>
  <c r="T79" i="36" s="1"/>
  <c r="Q78" i="36"/>
  <c r="R78" i="36" s="1"/>
  <c r="S78" i="36"/>
  <c r="T78" i="36" s="1"/>
  <c r="M69" i="36"/>
  <c r="N69" i="36" s="1"/>
  <c r="Q69" i="36"/>
  <c r="R69" i="36" s="1"/>
  <c r="Q68" i="36"/>
  <c r="R68" i="36" s="1"/>
  <c r="S58" i="36"/>
  <c r="T58" i="36" s="1"/>
  <c r="S48" i="36"/>
  <c r="T48" i="36" s="1"/>
  <c r="Q47" i="36"/>
  <c r="R47" i="36" s="1"/>
  <c r="O46" i="36"/>
  <c r="P46" i="36" s="1"/>
  <c r="O28" i="36"/>
  <c r="P28" i="36" s="1"/>
  <c r="Q17" i="36"/>
  <c r="R17" i="36" s="1"/>
  <c r="Q34" i="36"/>
  <c r="R34" i="36" s="1"/>
  <c r="O25" i="36"/>
  <c r="P25" i="36" s="1"/>
  <c r="S7" i="36"/>
  <c r="T7" i="36" s="1"/>
  <c r="O7" i="36"/>
  <c r="P7" i="36" s="1"/>
  <c r="O8" i="36"/>
  <c r="P8" i="36" s="1"/>
  <c r="O11" i="36"/>
  <c r="P11" i="36" s="1"/>
  <c r="U22" i="37"/>
  <c r="V22" i="37" s="1"/>
  <c r="U26" i="37"/>
  <c r="V26" i="37" s="1"/>
  <c r="W49" i="37"/>
  <c r="X49" i="37" s="1"/>
  <c r="U20" i="37"/>
  <c r="V20" i="37" s="1"/>
  <c r="S66" i="37"/>
  <c r="T66" i="37" s="1"/>
  <c r="Q16" i="37"/>
  <c r="R16" i="37" s="1"/>
  <c r="S52" i="37"/>
  <c r="T52" i="37" s="1"/>
  <c r="W28" i="37"/>
  <c r="X28" i="37" s="1"/>
  <c r="U30" i="37"/>
  <c r="V30" i="37" s="1"/>
  <c r="U24" i="37"/>
  <c r="V24" i="37" s="1"/>
  <c r="U62" i="37"/>
  <c r="V62" i="37" s="1"/>
  <c r="S76" i="37"/>
  <c r="T76" i="37" s="1"/>
  <c r="W45" i="37"/>
  <c r="X45" i="37" s="1"/>
  <c r="Q39" i="37"/>
  <c r="R39" i="37" s="1"/>
  <c r="U73" i="37"/>
  <c r="V73" i="37" s="1"/>
  <c r="S24" i="41"/>
  <c r="T24" i="41" s="1"/>
  <c r="S20" i="39"/>
  <c r="T20" i="39" s="1"/>
  <c r="Q39" i="40"/>
  <c r="R39" i="40" s="1"/>
  <c r="M17" i="36"/>
  <c r="N17" i="36" s="1"/>
  <c r="P20" i="33"/>
  <c r="Q20" i="33" s="1"/>
  <c r="R7" i="33"/>
  <c r="S7" i="33" s="1"/>
  <c r="R21" i="33"/>
  <c r="S21" i="33" s="1"/>
  <c r="T20" i="33"/>
  <c r="U20" i="33" s="1"/>
  <c r="R12" i="33"/>
  <c r="S12" i="33" s="1"/>
  <c r="P28" i="33"/>
  <c r="Q28" i="33" s="1"/>
  <c r="P12" i="33"/>
  <c r="Q12" i="33" s="1"/>
  <c r="T27" i="33"/>
  <c r="U27" i="33" s="1"/>
  <c r="T25" i="33"/>
  <c r="U25" i="33" s="1"/>
  <c r="R17" i="33"/>
  <c r="S17" i="33" s="1"/>
  <c r="P18" i="33"/>
  <c r="Q18" i="33" s="1"/>
  <c r="T23" i="33"/>
  <c r="U23" i="33" s="1"/>
  <c r="R15" i="33"/>
  <c r="S15" i="33" s="1"/>
  <c r="P17" i="33"/>
  <c r="Q17" i="33" s="1"/>
  <c r="P14" i="33"/>
  <c r="Q14" i="33" s="1"/>
  <c r="R13" i="33"/>
  <c r="S13" i="33" s="1"/>
  <c r="T8" i="33"/>
  <c r="U8" i="33" s="1"/>
  <c r="T16" i="33"/>
  <c r="U16" i="33" s="1"/>
  <c r="M39" i="36"/>
  <c r="N39" i="36" s="1"/>
  <c r="N16" i="33"/>
  <c r="O16" i="33" s="1"/>
  <c r="N17" i="33"/>
  <c r="O17" i="33" s="1"/>
  <c r="G17" i="33" s="1"/>
  <c r="N29" i="33"/>
  <c r="O29" i="33" s="1"/>
  <c r="G29" i="33" s="1"/>
  <c r="O136" i="36"/>
  <c r="P136" i="36" s="1"/>
  <c r="M135" i="36"/>
  <c r="N135" i="36" s="1"/>
  <c r="O135" i="36"/>
  <c r="P135" i="36" s="1"/>
  <c r="S134" i="36"/>
  <c r="T134" i="36" s="1"/>
  <c r="S127" i="36"/>
  <c r="T127" i="36" s="1"/>
  <c r="M124" i="36"/>
  <c r="N124" i="36" s="1"/>
  <c r="Q124" i="36"/>
  <c r="R124" i="36" s="1"/>
  <c r="O114" i="36"/>
  <c r="P114" i="36" s="1"/>
  <c r="S116" i="36"/>
  <c r="T116" i="36" s="1"/>
  <c r="M103" i="36"/>
  <c r="N103" i="36" s="1"/>
  <c r="O105" i="36"/>
  <c r="P105" i="36" s="1"/>
  <c r="O112" i="36"/>
  <c r="P112" i="36" s="1"/>
  <c r="Q101" i="36"/>
  <c r="R101" i="36" s="1"/>
  <c r="O92" i="36"/>
  <c r="P92" i="36" s="1"/>
  <c r="Q92" i="36"/>
  <c r="R92" i="36" s="1"/>
  <c r="Q100" i="36"/>
  <c r="R100" i="36" s="1"/>
  <c r="Q91" i="36"/>
  <c r="R91" i="36" s="1"/>
  <c r="S83" i="36"/>
  <c r="T83" i="36" s="1"/>
  <c r="M91" i="36"/>
  <c r="N91" i="36" s="1"/>
  <c r="O79" i="36"/>
  <c r="P79" i="36" s="1"/>
  <c r="M70" i="36"/>
  <c r="N70" i="36" s="1"/>
  <c r="S80" i="36"/>
  <c r="T80" i="36" s="1"/>
  <c r="O69" i="36"/>
  <c r="P69" i="36" s="1"/>
  <c r="S68" i="36"/>
  <c r="T68" i="36" s="1"/>
  <c r="Q59" i="36"/>
  <c r="R59" i="36" s="1"/>
  <c r="S50" i="36"/>
  <c r="T50" i="36" s="1"/>
  <c r="O48" i="36"/>
  <c r="P48" i="36" s="1"/>
  <c r="M47" i="36"/>
  <c r="N47" i="36" s="1"/>
  <c r="Q39" i="36"/>
  <c r="R39" i="36" s="1"/>
  <c r="O39" i="36"/>
  <c r="P39" i="36" s="1"/>
  <c r="S28" i="36"/>
  <c r="T28" i="36" s="1"/>
  <c r="Q25" i="36"/>
  <c r="R25" i="36" s="1"/>
  <c r="Q24" i="36"/>
  <c r="R24" i="36" s="1"/>
  <c r="S14" i="36"/>
  <c r="T14" i="36" s="1"/>
  <c r="Q13" i="36"/>
  <c r="R13" i="36" s="1"/>
  <c r="S10" i="36"/>
  <c r="T10" i="36" s="1"/>
  <c r="S8" i="36"/>
  <c r="T8" i="36" s="1"/>
  <c r="S39" i="37"/>
  <c r="T39" i="37" s="1"/>
  <c r="U63" i="37"/>
  <c r="V63" i="37" s="1"/>
  <c r="S15" i="37"/>
  <c r="T15" i="37" s="1"/>
  <c r="W25" i="37"/>
  <c r="X25" i="37" s="1"/>
  <c r="W68" i="37"/>
  <c r="X68" i="37" s="1"/>
  <c r="U68" i="37"/>
  <c r="V68" i="37" s="1"/>
  <c r="S25" i="37"/>
  <c r="T25" i="37" s="1"/>
  <c r="U74" i="37"/>
  <c r="V74" i="37" s="1"/>
  <c r="S49" i="37"/>
  <c r="T49" i="37" s="1"/>
  <c r="U64" i="37"/>
  <c r="V64" i="37" s="1"/>
  <c r="Q69" i="37"/>
  <c r="R69" i="37" s="1"/>
  <c r="S24" i="37"/>
  <c r="T24" i="37" s="1"/>
  <c r="S46" i="37"/>
  <c r="T46" i="37" s="1"/>
  <c r="S20" i="37"/>
  <c r="T20" i="37" s="1"/>
  <c r="W52" i="37"/>
  <c r="X52" i="37" s="1"/>
  <c r="Q52" i="41"/>
  <c r="R52" i="41" s="1"/>
  <c r="O32" i="41"/>
  <c r="P32" i="41" s="1"/>
  <c r="N12" i="33"/>
  <c r="O12" i="33" s="1"/>
  <c r="H16" i="6"/>
  <c r="B16" i="8"/>
  <c r="U16" i="8" s="1"/>
  <c r="L16" i="7"/>
  <c r="AI16" i="7" s="1"/>
  <c r="B16" i="32"/>
  <c r="U16" i="32" s="1"/>
  <c r="N22" i="33"/>
  <c r="O22" i="33" s="1"/>
  <c r="N8" i="33"/>
  <c r="O8" i="33" s="1"/>
  <c r="N26" i="33"/>
  <c r="O26" i="33" s="1"/>
  <c r="N24" i="33"/>
  <c r="O24" i="33" s="1"/>
  <c r="M56" i="36"/>
  <c r="N56" i="36" s="1"/>
  <c r="M33" i="41"/>
  <c r="N33" i="41" s="1"/>
  <c r="M53" i="41"/>
  <c r="N53" i="41" s="1"/>
  <c r="M16" i="41"/>
  <c r="N16" i="41" s="1"/>
  <c r="N20" i="33"/>
  <c r="O20" i="33" s="1"/>
  <c r="T17" i="5"/>
  <c r="B16" i="6" s="1"/>
  <c r="U17" i="5"/>
  <c r="M13" i="36"/>
  <c r="N13" i="36" s="1"/>
  <c r="Q67" i="40"/>
  <c r="R67" i="40" s="1"/>
  <c r="S39" i="40"/>
  <c r="T39" i="40" s="1"/>
  <c r="O29" i="38"/>
  <c r="P29" i="38" s="1"/>
  <c r="M27" i="39"/>
  <c r="N27" i="39" s="1"/>
  <c r="M29" i="39"/>
  <c r="N29" i="39" s="1"/>
  <c r="U75" i="40"/>
  <c r="V75" i="40" s="1"/>
  <c r="S28" i="40"/>
  <c r="T28" i="40" s="1"/>
  <c r="W26" i="40"/>
  <c r="X26" i="40" s="1"/>
  <c r="S38" i="40"/>
  <c r="T38" i="40" s="1"/>
  <c r="Q23" i="41"/>
  <c r="R23" i="41" s="1"/>
  <c r="O24" i="39"/>
  <c r="P24" i="39" s="1"/>
  <c r="Q57" i="41"/>
  <c r="R57" i="41" s="1"/>
  <c r="S10" i="40"/>
  <c r="T10" i="40" s="1"/>
  <c r="M7" i="39"/>
  <c r="N7" i="39" s="1"/>
  <c r="U25" i="40"/>
  <c r="V25" i="40" s="1"/>
  <c r="Q9" i="40"/>
  <c r="R9" i="40" s="1"/>
  <c r="S16" i="38"/>
  <c r="T16" i="38" s="1"/>
  <c r="O8" i="38"/>
  <c r="P8" i="38" s="1"/>
  <c r="W9" i="40"/>
  <c r="X9" i="40" s="1"/>
  <c r="Q6" i="40"/>
  <c r="R6" i="40" s="1"/>
  <c r="M9" i="38"/>
  <c r="N9" i="38" s="1"/>
  <c r="Q8" i="38"/>
  <c r="R8" i="38" s="1"/>
  <c r="Q8" i="41"/>
  <c r="R8" i="41" s="1"/>
  <c r="S14" i="38"/>
  <c r="T14" i="38" s="1"/>
  <c r="S18" i="38"/>
  <c r="T18" i="38" s="1"/>
  <c r="S9" i="38"/>
  <c r="T9" i="38" s="1"/>
  <c r="S22" i="40"/>
  <c r="T22" i="40" s="1"/>
  <c r="Q38" i="40"/>
  <c r="R38" i="40" s="1"/>
  <c r="O6" i="38"/>
  <c r="P6" i="38" s="1"/>
  <c r="M9" i="39"/>
  <c r="N9" i="39" s="1"/>
  <c r="U68" i="40"/>
  <c r="V68" i="40" s="1"/>
  <c r="W58" i="40"/>
  <c r="X58" i="40" s="1"/>
  <c r="S38" i="41"/>
  <c r="T38" i="41" s="1"/>
  <c r="S74" i="40"/>
  <c r="T74" i="40" s="1"/>
  <c r="S23" i="38"/>
  <c r="T23" i="38" s="1"/>
  <c r="W40" i="40"/>
  <c r="X40" i="40" s="1"/>
  <c r="S28" i="38"/>
  <c r="T28" i="38" s="1"/>
  <c r="O48" i="41"/>
  <c r="P48" i="41" s="1"/>
  <c r="O52" i="41"/>
  <c r="P52" i="41" s="1"/>
  <c r="W46" i="40"/>
  <c r="X46" i="40" s="1"/>
  <c r="U67" i="40"/>
  <c r="V67" i="40" s="1"/>
  <c r="Q26" i="39"/>
  <c r="R26" i="39" s="1"/>
  <c r="M24" i="39"/>
  <c r="N24" i="39" s="1"/>
  <c r="S44" i="41"/>
  <c r="T44" i="41" s="1"/>
  <c r="Q13" i="39"/>
  <c r="R13" i="39" s="1"/>
  <c r="O57" i="41"/>
  <c r="P57" i="41" s="1"/>
  <c r="Q54" i="41"/>
  <c r="R54" i="41" s="1"/>
  <c r="S56" i="41"/>
  <c r="T56" i="41" s="1"/>
  <c r="S26" i="41"/>
  <c r="T26" i="41" s="1"/>
  <c r="S18" i="41"/>
  <c r="T18" i="41" s="1"/>
  <c r="U16" i="40"/>
  <c r="V16" i="40" s="1"/>
  <c r="S12" i="41"/>
  <c r="T12" i="41" s="1"/>
  <c r="O10" i="38"/>
  <c r="P10" i="38" s="1"/>
  <c r="Q12" i="39"/>
  <c r="R12" i="39" s="1"/>
  <c r="Q21" i="40"/>
  <c r="R21" i="40" s="1"/>
  <c r="O12" i="41"/>
  <c r="P12" i="41" s="1"/>
  <c r="O9" i="38"/>
  <c r="P9" i="38" s="1"/>
  <c r="Q21" i="41"/>
  <c r="R21" i="41" s="1"/>
  <c r="U13" i="40"/>
  <c r="V13" i="40" s="1"/>
  <c r="O14" i="38"/>
  <c r="P14" i="38" s="1"/>
  <c r="Q6" i="38"/>
  <c r="R6" i="38" s="1"/>
  <c r="U14" i="40"/>
  <c r="V14" i="40" s="1"/>
  <c r="M13" i="39"/>
  <c r="N13" i="39" s="1"/>
  <c r="S28" i="41"/>
  <c r="T28" i="41" s="1"/>
  <c r="Q7" i="39"/>
  <c r="R7" i="39" s="1"/>
  <c r="Q19" i="40"/>
  <c r="R19" i="40" s="1"/>
  <c r="O63" i="41"/>
  <c r="P63" i="41" s="1"/>
  <c r="Q64" i="40"/>
  <c r="R64" i="40" s="1"/>
  <c r="W63" i="40"/>
  <c r="X63" i="40" s="1"/>
  <c r="O20" i="38"/>
  <c r="P20" i="38" s="1"/>
  <c r="S18" i="39"/>
  <c r="T18" i="39" s="1"/>
  <c r="Q74" i="40"/>
  <c r="R74" i="40" s="1"/>
  <c r="S55" i="40"/>
  <c r="T55" i="40" s="1"/>
  <c r="M20" i="38"/>
  <c r="N20" i="38" s="1"/>
  <c r="W44" i="40"/>
  <c r="X44" i="40" s="1"/>
  <c r="M26" i="39"/>
  <c r="N26" i="39" s="1"/>
  <c r="Q48" i="41"/>
  <c r="R48" i="41" s="1"/>
  <c r="O33" i="41"/>
  <c r="P33" i="41" s="1"/>
  <c r="W72" i="40"/>
  <c r="X72" i="40" s="1"/>
  <c r="S25" i="38"/>
  <c r="T25" i="38" s="1"/>
  <c r="O22" i="38"/>
  <c r="P22" i="38" s="1"/>
  <c r="Q20" i="39"/>
  <c r="R20" i="39" s="1"/>
  <c r="S8" i="37"/>
  <c r="T8" i="37" s="1"/>
  <c r="W9" i="37"/>
  <c r="X9" i="37" s="1"/>
  <c r="S10" i="37"/>
  <c r="T10" i="37" s="1"/>
  <c r="W27" i="37"/>
  <c r="X27" i="37" s="1"/>
  <c r="W38" i="37"/>
  <c r="X38" i="37" s="1"/>
  <c r="W36" i="37"/>
  <c r="X36" i="37" s="1"/>
  <c r="U48" i="37"/>
  <c r="V48" i="37" s="1"/>
  <c r="Q51" i="37"/>
  <c r="R51" i="37" s="1"/>
  <c r="U6" i="37"/>
  <c r="V6" i="37" s="1"/>
  <c r="W40" i="37"/>
  <c r="X40" i="37" s="1"/>
  <c r="U61" i="37"/>
  <c r="V61" i="37" s="1"/>
  <c r="S61" i="37"/>
  <c r="T61" i="37" s="1"/>
  <c r="W12" i="37"/>
  <c r="X12" i="37" s="1"/>
  <c r="S62" i="37"/>
  <c r="T62" i="37" s="1"/>
  <c r="U16" i="37"/>
  <c r="V16" i="37" s="1"/>
  <c r="S19" i="37"/>
  <c r="T19" i="37" s="1"/>
  <c r="U44" i="37"/>
  <c r="V44" i="37" s="1"/>
  <c r="U60" i="37"/>
  <c r="V60" i="37" s="1"/>
  <c r="S69" i="37"/>
  <c r="T69" i="37" s="1"/>
  <c r="U28" i="37"/>
  <c r="V28" i="37" s="1"/>
  <c r="Q27" i="37"/>
  <c r="R27" i="37" s="1"/>
  <c r="Q34" i="37"/>
  <c r="R34" i="37" s="1"/>
  <c r="W30" i="37"/>
  <c r="X30" i="37" s="1"/>
  <c r="W39" i="37"/>
  <c r="X39" i="37" s="1"/>
  <c r="U14" i="37"/>
  <c r="V14" i="37" s="1"/>
  <c r="U12" i="37"/>
  <c r="V12" i="37" s="1"/>
  <c r="S63" i="37"/>
  <c r="T63" i="37" s="1"/>
  <c r="W67" i="37"/>
  <c r="X67" i="37" s="1"/>
  <c r="U66" i="37"/>
  <c r="V66" i="37" s="1"/>
  <c r="W6" i="37"/>
  <c r="X6" i="37" s="1"/>
  <c r="S34" i="37"/>
  <c r="T34" i="37" s="1"/>
  <c r="S55" i="37"/>
  <c r="T55" i="37" s="1"/>
  <c r="S57" i="37"/>
  <c r="T57" i="37" s="1"/>
  <c r="S31" i="37"/>
  <c r="T31" i="37" s="1"/>
  <c r="Q33" i="37"/>
  <c r="R33" i="37" s="1"/>
  <c r="Q46" i="37"/>
  <c r="R46" i="37" s="1"/>
  <c r="W15" i="37"/>
  <c r="X15" i="37" s="1"/>
  <c r="S38" i="37"/>
  <c r="T38" i="37" s="1"/>
  <c r="U7" i="37"/>
  <c r="V7" i="37" s="1"/>
  <c r="S33" i="37"/>
  <c r="T33" i="37" s="1"/>
  <c r="Q15" i="37"/>
  <c r="R15" i="37" s="1"/>
  <c r="O56" i="41"/>
  <c r="P56" i="41" s="1"/>
  <c r="W49" i="40"/>
  <c r="X49" i="40" s="1"/>
  <c r="O59" i="41"/>
  <c r="P59" i="41" s="1"/>
  <c r="S17" i="39"/>
  <c r="T17" i="39" s="1"/>
  <c r="S15" i="38"/>
  <c r="T15" i="38" s="1"/>
  <c r="M11" i="38"/>
  <c r="N11" i="38" s="1"/>
  <c r="S17" i="41"/>
  <c r="T17" i="41" s="1"/>
  <c r="S24" i="40"/>
  <c r="T24" i="40" s="1"/>
  <c r="U38" i="40"/>
  <c r="V38" i="40" s="1"/>
  <c r="U33" i="40"/>
  <c r="V33" i="40" s="1"/>
  <c r="S19" i="40"/>
  <c r="T19" i="40" s="1"/>
  <c r="O13" i="38"/>
  <c r="P13" i="38" s="1"/>
  <c r="O23" i="41"/>
  <c r="P23" i="41" s="1"/>
  <c r="S11" i="39"/>
  <c r="T11" i="39" s="1"/>
  <c r="W7" i="40"/>
  <c r="X7" i="40" s="1"/>
  <c r="Q27" i="41"/>
  <c r="R27" i="41" s="1"/>
  <c r="U32" i="40"/>
  <c r="V32" i="40" s="1"/>
  <c r="U8" i="40"/>
  <c r="V8" i="40" s="1"/>
  <c r="S26" i="40"/>
  <c r="T26" i="40" s="1"/>
  <c r="O28" i="39"/>
  <c r="P28" i="39" s="1"/>
  <c r="S25" i="39"/>
  <c r="T25" i="39" s="1"/>
  <c r="S51" i="41"/>
  <c r="T51" i="41" s="1"/>
  <c r="S51" i="40"/>
  <c r="T51" i="40" s="1"/>
  <c r="S45" i="40"/>
  <c r="T45" i="40" s="1"/>
  <c r="W64" i="40"/>
  <c r="X64" i="40" s="1"/>
  <c r="S62" i="40"/>
  <c r="T62" i="40" s="1"/>
  <c r="S46" i="40"/>
  <c r="T46" i="40" s="1"/>
  <c r="S76" i="40"/>
  <c r="T76" i="40" s="1"/>
  <c r="W69" i="40"/>
  <c r="X69" i="40" s="1"/>
  <c r="S58" i="40"/>
  <c r="T58" i="40" s="1"/>
  <c r="Q40" i="40"/>
  <c r="R40" i="40" s="1"/>
  <c r="S72" i="40"/>
  <c r="T72" i="40" s="1"/>
  <c r="W55" i="40"/>
  <c r="X55" i="40" s="1"/>
  <c r="S37" i="40"/>
  <c r="T37" i="40" s="1"/>
  <c r="N15" i="33"/>
  <c r="O15" i="33" s="1"/>
  <c r="G15" i="33" s="1"/>
  <c r="U9" i="37"/>
  <c r="V9" i="37" s="1"/>
  <c r="U8" i="37"/>
  <c r="V8" i="37" s="1"/>
  <c r="W10" i="37"/>
  <c r="X10" i="37" s="1"/>
  <c r="S50" i="37"/>
  <c r="T50" i="37" s="1"/>
  <c r="S51" i="37"/>
  <c r="T51" i="37" s="1"/>
  <c r="W26" i="37"/>
  <c r="X26" i="37" s="1"/>
  <c r="W76" i="37"/>
  <c r="X76" i="37" s="1"/>
  <c r="U75" i="37"/>
  <c r="V75" i="37" s="1"/>
  <c r="U31" i="37"/>
  <c r="V31" i="37" s="1"/>
  <c r="W51" i="37"/>
  <c r="X51" i="37" s="1"/>
  <c r="U72" i="37"/>
  <c r="V72" i="37" s="1"/>
  <c r="S32" i="37"/>
  <c r="T32" i="37" s="1"/>
  <c r="S56" i="37"/>
  <c r="T56" i="37" s="1"/>
  <c r="Q21" i="37"/>
  <c r="R21" i="37" s="1"/>
  <c r="W32" i="37"/>
  <c r="X32" i="37" s="1"/>
  <c r="U56" i="37"/>
  <c r="V56" i="37" s="1"/>
  <c r="W54" i="37"/>
  <c r="X54" i="37" s="1"/>
  <c r="S13" i="37"/>
  <c r="T13" i="37" s="1"/>
  <c r="S12" i="37"/>
  <c r="T12" i="37" s="1"/>
  <c r="W46" i="37"/>
  <c r="X46" i="37" s="1"/>
  <c r="Q45" i="37"/>
  <c r="R45" i="37" s="1"/>
  <c r="U58" i="37"/>
  <c r="V58" i="37" s="1"/>
  <c r="W62" i="37"/>
  <c r="X62" i="37" s="1"/>
  <c r="S7" i="37"/>
  <c r="T7" i="37" s="1"/>
  <c r="U37" i="37"/>
  <c r="V37" i="37" s="1"/>
  <c r="S44" i="37"/>
  <c r="T44" i="37" s="1"/>
  <c r="S6" i="37"/>
  <c r="T6" i="37" s="1"/>
  <c r="W16" i="37"/>
  <c r="X16" i="37" s="1"/>
  <c r="S18" i="37"/>
  <c r="T18" i="37" s="1"/>
  <c r="Q28" i="37"/>
  <c r="R28" i="37" s="1"/>
  <c r="U52" i="37"/>
  <c r="V52" i="37" s="1"/>
  <c r="W69" i="37"/>
  <c r="X69" i="37" s="1"/>
  <c r="S45" i="37"/>
  <c r="T45" i="37" s="1"/>
  <c r="W56" i="37"/>
  <c r="X56" i="37" s="1"/>
  <c r="Q58" i="37"/>
  <c r="R58" i="37" s="1"/>
  <c r="U34" i="37"/>
  <c r="V34" i="37" s="1"/>
  <c r="S30" i="37"/>
  <c r="T30" i="37" s="1"/>
  <c r="S64" i="37"/>
  <c r="T64" i="37" s="1"/>
  <c r="W34" i="37"/>
  <c r="X34" i="37" s="1"/>
  <c r="W66" i="37"/>
  <c r="X66" i="37" s="1"/>
  <c r="AJ13" i="7"/>
  <c r="AE13" i="7"/>
  <c r="AF13" i="7" s="1"/>
  <c r="M57" i="41"/>
  <c r="N57" i="41" s="1"/>
  <c r="Q62" i="40"/>
  <c r="R62" i="40" s="1"/>
  <c r="Q42" i="40"/>
  <c r="R42" i="40" s="1"/>
  <c r="M41" i="41"/>
  <c r="N41" i="41" s="1"/>
  <c r="Q31" i="40"/>
  <c r="R31" i="40" s="1"/>
  <c r="M24" i="41"/>
  <c r="N24" i="41" s="1"/>
  <c r="M14" i="41"/>
  <c r="N14" i="41" s="1"/>
  <c r="M26" i="41"/>
  <c r="N26" i="41" s="1"/>
  <c r="M122" i="36"/>
  <c r="N122" i="36" s="1"/>
  <c r="F122" i="36" s="1"/>
  <c r="M72" i="36"/>
  <c r="N72" i="36" s="1"/>
  <c r="F72" i="36" s="1"/>
  <c r="M116" i="36"/>
  <c r="N116" i="36" s="1"/>
  <c r="F116" i="36" s="1"/>
  <c r="M123" i="36"/>
  <c r="N123" i="36" s="1"/>
  <c r="M79" i="36"/>
  <c r="N79" i="36" s="1"/>
  <c r="E79" i="36" s="1"/>
  <c r="Q60" i="40"/>
  <c r="R60" i="40" s="1"/>
  <c r="M112" i="36"/>
  <c r="N112" i="36" s="1"/>
  <c r="E112" i="36" s="1"/>
  <c r="Q74" i="37"/>
  <c r="R74" i="37" s="1"/>
  <c r="H74" i="37" s="1"/>
  <c r="Q73" i="37"/>
  <c r="R73" i="37" s="1"/>
  <c r="Q7" i="37"/>
  <c r="R7" i="37" s="1"/>
  <c r="M18" i="38"/>
  <c r="N18" i="38" s="1"/>
  <c r="M10" i="38"/>
  <c r="N10" i="38" s="1"/>
  <c r="U6" i="40"/>
  <c r="V6" i="40" s="1"/>
  <c r="M14" i="39"/>
  <c r="N14" i="39" s="1"/>
  <c r="S58" i="41"/>
  <c r="T58" i="41" s="1"/>
  <c r="S54" i="41"/>
  <c r="T54" i="41" s="1"/>
  <c r="O38" i="41"/>
  <c r="P38" i="41" s="1"/>
  <c r="S63" i="41"/>
  <c r="T63" i="41" s="1"/>
  <c r="Q53" i="41"/>
  <c r="R53" i="41" s="1"/>
  <c r="M21" i="39"/>
  <c r="N21" i="39" s="1"/>
  <c r="O44" i="41"/>
  <c r="P44" i="41" s="1"/>
  <c r="U74" i="40"/>
  <c r="V74" i="40" s="1"/>
  <c r="U64" i="40"/>
  <c r="V64" i="40" s="1"/>
  <c r="Q22" i="38"/>
  <c r="R22" i="38" s="1"/>
  <c r="Q46" i="40"/>
  <c r="R46" i="40" s="1"/>
  <c r="O58" i="41"/>
  <c r="P58" i="41" s="1"/>
  <c r="M24" i="38"/>
  <c r="N24" i="38" s="1"/>
  <c r="W54" i="40"/>
  <c r="X54" i="40" s="1"/>
  <c r="Q16" i="39"/>
  <c r="R16" i="39" s="1"/>
  <c r="S64" i="41"/>
  <c r="T64" i="41" s="1"/>
  <c r="Q59" i="41"/>
  <c r="R59" i="41" s="1"/>
  <c r="W57" i="40"/>
  <c r="X57" i="40" s="1"/>
  <c r="U45" i="40"/>
  <c r="V45" i="40" s="1"/>
  <c r="Q64" i="41"/>
  <c r="R64" i="41" s="1"/>
  <c r="Q23" i="39"/>
  <c r="R23" i="39" s="1"/>
  <c r="S56" i="40"/>
  <c r="T56" i="40" s="1"/>
  <c r="W45" i="40"/>
  <c r="X45" i="40" s="1"/>
  <c r="W70" i="40"/>
  <c r="X70" i="40" s="1"/>
  <c r="U58" i="40"/>
  <c r="V58" i="40" s="1"/>
  <c r="U57" i="40"/>
  <c r="V57" i="40" s="1"/>
  <c r="O47" i="41"/>
  <c r="P47" i="41" s="1"/>
  <c r="W73" i="40"/>
  <c r="X73" i="40" s="1"/>
  <c r="W61" i="40"/>
  <c r="X61" i="40" s="1"/>
  <c r="S22" i="38"/>
  <c r="T22" i="38" s="1"/>
  <c r="Q47" i="41"/>
  <c r="R47" i="41" s="1"/>
  <c r="Q28" i="38"/>
  <c r="R28" i="38" s="1"/>
  <c r="O25" i="39"/>
  <c r="P25" i="39" s="1"/>
  <c r="Q24" i="39"/>
  <c r="R24" i="39" s="1"/>
  <c r="Q20" i="38"/>
  <c r="R20" i="38" s="1"/>
  <c r="U76" i="40"/>
  <c r="V76" i="40" s="1"/>
  <c r="O26" i="38"/>
  <c r="P26" i="38" s="1"/>
  <c r="S23" i="39"/>
  <c r="T23" i="39" s="1"/>
  <c r="W48" i="40"/>
  <c r="X48" i="40" s="1"/>
  <c r="Q72" i="40"/>
  <c r="R72" i="40" s="1"/>
  <c r="O26" i="39"/>
  <c r="P26" i="39" s="1"/>
  <c r="O23" i="38"/>
  <c r="P23" i="38" s="1"/>
  <c r="U52" i="40"/>
  <c r="V52" i="40" s="1"/>
  <c r="Q41" i="41"/>
  <c r="R41" i="41" s="1"/>
  <c r="M27" i="38"/>
  <c r="N27" i="38" s="1"/>
  <c r="S60" i="40"/>
  <c r="T60" i="40" s="1"/>
  <c r="Q52" i="40"/>
  <c r="R52" i="40" s="1"/>
  <c r="M12" i="39"/>
  <c r="N12" i="39" s="1"/>
  <c r="S6" i="39"/>
  <c r="T6" i="39" s="1"/>
  <c r="S14" i="41"/>
  <c r="T14" i="41" s="1"/>
  <c r="O29" i="41"/>
  <c r="P29" i="41" s="1"/>
  <c r="U34" i="40"/>
  <c r="V34" i="40" s="1"/>
  <c r="O7" i="38"/>
  <c r="P7" i="38" s="1"/>
  <c r="Q11" i="41"/>
  <c r="R11" i="41" s="1"/>
  <c r="Q14" i="39"/>
  <c r="R14" i="39" s="1"/>
  <c r="O16" i="39"/>
  <c r="P16" i="39" s="1"/>
  <c r="O7" i="41"/>
  <c r="P7" i="41" s="1"/>
  <c r="S9" i="39"/>
  <c r="T9" i="39" s="1"/>
  <c r="Q27" i="40"/>
  <c r="R27" i="40" s="1"/>
  <c r="Q36" i="40"/>
  <c r="R36" i="40" s="1"/>
  <c r="Q6" i="39"/>
  <c r="R6" i="39" s="1"/>
  <c r="Q16" i="41"/>
  <c r="R16" i="41" s="1"/>
  <c r="W22" i="40"/>
  <c r="X22" i="40" s="1"/>
  <c r="Q36" i="41"/>
  <c r="R36" i="41" s="1"/>
  <c r="U43" i="40"/>
  <c r="V43" i="40" s="1"/>
  <c r="O6" i="39"/>
  <c r="P6" i="39" s="1"/>
  <c r="U15" i="40"/>
  <c r="V15" i="40" s="1"/>
  <c r="U22" i="40"/>
  <c r="V22" i="40" s="1"/>
  <c r="O34" i="41"/>
  <c r="P34" i="41" s="1"/>
  <c r="W42" i="40"/>
  <c r="X42" i="40" s="1"/>
  <c r="W18" i="40"/>
  <c r="X18" i="40" s="1"/>
  <c r="O22" i="41"/>
  <c r="P22" i="41" s="1"/>
  <c r="Q6" i="37"/>
  <c r="R6" i="37" s="1"/>
  <c r="Q72" i="37"/>
  <c r="R72" i="37" s="1"/>
  <c r="Q13" i="37"/>
  <c r="R13" i="37" s="1"/>
  <c r="Q12" i="37"/>
  <c r="R12" i="37" s="1"/>
  <c r="M18" i="39"/>
  <c r="N18" i="39" s="1"/>
  <c r="M8" i="39"/>
  <c r="N8" i="39" s="1"/>
  <c r="M16" i="38"/>
  <c r="N16" i="38" s="1"/>
  <c r="U12" i="40"/>
  <c r="V12" i="40" s="1"/>
  <c r="U18" i="40"/>
  <c r="V18" i="40" s="1"/>
  <c r="U42" i="40"/>
  <c r="V42" i="40" s="1"/>
  <c r="Q21" i="39"/>
  <c r="R21" i="39" s="1"/>
  <c r="Q29" i="39"/>
  <c r="R29" i="39" s="1"/>
  <c r="O62" i="41"/>
  <c r="P62" i="41" s="1"/>
  <c r="O21" i="39"/>
  <c r="P21" i="39" s="1"/>
  <c r="Q18" i="39"/>
  <c r="R18" i="39" s="1"/>
  <c r="W67" i="40"/>
  <c r="X67" i="40" s="1"/>
  <c r="Q58" i="40"/>
  <c r="R58" i="40" s="1"/>
  <c r="S22" i="39"/>
  <c r="T22" i="39" s="1"/>
  <c r="Q17" i="39"/>
  <c r="R17" i="39" s="1"/>
  <c r="Q70" i="40"/>
  <c r="R70" i="40" s="1"/>
  <c r="Q23" i="38"/>
  <c r="R23" i="38" s="1"/>
  <c r="O22" i="39"/>
  <c r="P22" i="39" s="1"/>
  <c r="Q48" i="40"/>
  <c r="R48" i="40" s="1"/>
  <c r="S69" i="40"/>
  <c r="T69" i="40" s="1"/>
  <c r="S48" i="41"/>
  <c r="T48" i="41" s="1"/>
  <c r="Q46" i="41"/>
  <c r="R46" i="41" s="1"/>
  <c r="Q15" i="39"/>
  <c r="R15" i="39" s="1"/>
  <c r="O27" i="39"/>
  <c r="P27" i="39" s="1"/>
  <c r="O24" i="38"/>
  <c r="P24" i="38" s="1"/>
  <c r="W56" i="40"/>
  <c r="X56" i="40" s="1"/>
  <c r="S44" i="40"/>
  <c r="T44" i="40" s="1"/>
  <c r="S28" i="39"/>
  <c r="T28" i="39" s="1"/>
  <c r="W62" i="40"/>
  <c r="X62" i="40" s="1"/>
  <c r="S47" i="41"/>
  <c r="T47" i="41" s="1"/>
  <c r="O41" i="41"/>
  <c r="P41" i="41" s="1"/>
  <c r="O28" i="38"/>
  <c r="P28" i="38" s="1"/>
  <c r="M23" i="39"/>
  <c r="N23" i="39" s="1"/>
  <c r="U49" i="40"/>
  <c r="V49" i="40" s="1"/>
  <c r="U40" i="40"/>
  <c r="V40" i="40" s="1"/>
  <c r="Q75" i="40"/>
  <c r="R75" i="40" s="1"/>
  <c r="U61" i="40"/>
  <c r="V61" i="40" s="1"/>
  <c r="S54" i="40"/>
  <c r="T54" i="40" s="1"/>
  <c r="O17" i="38"/>
  <c r="P17" i="38" s="1"/>
  <c r="U70" i="40"/>
  <c r="V70" i="40" s="1"/>
  <c r="S26" i="38"/>
  <c r="T26" i="38" s="1"/>
  <c r="Q22" i="39"/>
  <c r="R22" i="39" s="1"/>
  <c r="U51" i="40"/>
  <c r="V51" i="40" s="1"/>
  <c r="Q27" i="38"/>
  <c r="R27" i="38" s="1"/>
  <c r="Q69" i="40"/>
  <c r="R69" i="40" s="1"/>
  <c r="S49" i="40"/>
  <c r="T49" i="40" s="1"/>
  <c r="O42" i="41"/>
  <c r="P42" i="41" s="1"/>
  <c r="O27" i="38"/>
  <c r="P27" i="38" s="1"/>
  <c r="S53" i="41"/>
  <c r="T53" i="41" s="1"/>
  <c r="O21" i="38"/>
  <c r="P21" i="38" s="1"/>
  <c r="S46" i="41"/>
  <c r="T46" i="41" s="1"/>
  <c r="O18" i="38"/>
  <c r="P18" i="38" s="1"/>
  <c r="S62" i="41"/>
  <c r="T62" i="41" s="1"/>
  <c r="S63" i="40"/>
  <c r="T63" i="40" s="1"/>
  <c r="Q19" i="38"/>
  <c r="R19" i="38" s="1"/>
  <c r="Q7" i="40"/>
  <c r="R7" i="40" s="1"/>
  <c r="S20" i="40"/>
  <c r="T20" i="40" s="1"/>
  <c r="Q22" i="41"/>
  <c r="R22" i="41" s="1"/>
  <c r="U28" i="40"/>
  <c r="V28" i="40" s="1"/>
  <c r="S17" i="38"/>
  <c r="T17" i="38" s="1"/>
  <c r="S6" i="40"/>
  <c r="T6" i="40" s="1"/>
  <c r="O26" i="41"/>
  <c r="P26" i="41" s="1"/>
  <c r="Q29" i="41"/>
  <c r="R29" i="41" s="1"/>
  <c r="S31" i="40"/>
  <c r="T31" i="40" s="1"/>
  <c r="U10" i="40"/>
  <c r="V10" i="40" s="1"/>
  <c r="Q12" i="38"/>
  <c r="R12" i="38" s="1"/>
  <c r="Q14" i="38"/>
  <c r="R14" i="38" s="1"/>
  <c r="Q7" i="41"/>
  <c r="R7" i="41" s="1"/>
  <c r="W20" i="40"/>
  <c r="X20" i="40" s="1"/>
  <c r="W32" i="40"/>
  <c r="X32" i="40" s="1"/>
  <c r="O15" i="38"/>
  <c r="P15" i="38" s="1"/>
  <c r="O20" i="39"/>
  <c r="P20" i="39" s="1"/>
  <c r="U9" i="40"/>
  <c r="V9" i="40" s="1"/>
  <c r="O16" i="41"/>
  <c r="P16" i="41" s="1"/>
  <c r="Q32" i="40"/>
  <c r="R32" i="40" s="1"/>
  <c r="O16" i="38"/>
  <c r="P16" i="38" s="1"/>
  <c r="W6" i="40"/>
  <c r="X6" i="40" s="1"/>
  <c r="U21" i="40"/>
  <c r="V21" i="40" s="1"/>
  <c r="Q8" i="37"/>
  <c r="R8" i="37" s="1"/>
  <c r="M8" i="38"/>
  <c r="N8" i="38" s="1"/>
  <c r="M10" i="39"/>
  <c r="N10" i="39" s="1"/>
  <c r="U54" i="40"/>
  <c r="V54" i="40" s="1"/>
  <c r="U48" i="40"/>
  <c r="V48" i="40" s="1"/>
  <c r="U30" i="40"/>
  <c r="V30" i="40" s="1"/>
  <c r="U72" i="40"/>
  <c r="V72" i="40" s="1"/>
  <c r="N27" i="33"/>
  <c r="O27" i="33" s="1"/>
  <c r="Q33" i="40"/>
  <c r="R33" i="40" s="1"/>
  <c r="Q63" i="41"/>
  <c r="R63" i="41" s="1"/>
  <c r="O23" i="39"/>
  <c r="P23" i="39" s="1"/>
  <c r="U50" i="40"/>
  <c r="V50" i="40" s="1"/>
  <c r="S33" i="41"/>
  <c r="T33" i="41" s="1"/>
  <c r="S64" i="40"/>
  <c r="T64" i="40" s="1"/>
  <c r="M23" i="38"/>
  <c r="N23" i="38" s="1"/>
  <c r="S43" i="40"/>
  <c r="T43" i="40" s="1"/>
  <c r="M29" i="38"/>
  <c r="N29" i="38" s="1"/>
  <c r="Q25" i="39"/>
  <c r="R25" i="39" s="1"/>
  <c r="U62" i="40"/>
  <c r="V62" i="40" s="1"/>
  <c r="S21" i="38"/>
  <c r="T21" i="38" s="1"/>
  <c r="Q18" i="38"/>
  <c r="R18" i="38" s="1"/>
  <c r="S68" i="40"/>
  <c r="T68" i="40" s="1"/>
  <c r="U63" i="40"/>
  <c r="V63" i="40" s="1"/>
  <c r="U46" i="40"/>
  <c r="V46" i="40" s="1"/>
  <c r="Q76" i="40"/>
  <c r="R76" i="40" s="1"/>
  <c r="U55" i="40"/>
  <c r="V55" i="40" s="1"/>
  <c r="O19" i="38"/>
  <c r="P19" i="38" s="1"/>
  <c r="S73" i="40"/>
  <c r="T73" i="40" s="1"/>
  <c r="Q24" i="38"/>
  <c r="R24" i="38" s="1"/>
  <c r="S20" i="38"/>
  <c r="T20" i="38" s="1"/>
  <c r="Q29" i="38"/>
  <c r="R29" i="38" s="1"/>
  <c r="W66" i="40"/>
  <c r="X66" i="40" s="1"/>
  <c r="Q56" i="41"/>
  <c r="R56" i="41" s="1"/>
  <c r="Q38" i="41"/>
  <c r="R38" i="41" s="1"/>
  <c r="Q42" i="41"/>
  <c r="R42" i="41" s="1"/>
  <c r="S70" i="40"/>
  <c r="T70" i="40" s="1"/>
  <c r="S66" i="40"/>
  <c r="T66" i="40" s="1"/>
  <c r="S36" i="41"/>
  <c r="T36" i="41" s="1"/>
  <c r="W75" i="40"/>
  <c r="X75" i="40" s="1"/>
  <c r="W60" i="40"/>
  <c r="X60" i="40" s="1"/>
  <c r="O51" i="41"/>
  <c r="P51" i="41" s="1"/>
  <c r="W50" i="40"/>
  <c r="X50" i="40" s="1"/>
  <c r="Q58" i="41"/>
  <c r="R58" i="41" s="1"/>
  <c r="Q26" i="38"/>
  <c r="R26" i="38" s="1"/>
  <c r="S19" i="39"/>
  <c r="T19" i="39" s="1"/>
  <c r="M17" i="39"/>
  <c r="N17" i="39" s="1"/>
  <c r="Q28" i="39"/>
  <c r="R28" i="39" s="1"/>
  <c r="Q63" i="40"/>
  <c r="R63" i="40" s="1"/>
  <c r="S52" i="40"/>
  <c r="T52" i="40" s="1"/>
  <c r="M20" i="39"/>
  <c r="N20" i="39" s="1"/>
  <c r="S29" i="39"/>
  <c r="T29" i="39" s="1"/>
  <c r="O53" i="41"/>
  <c r="P53" i="41" s="1"/>
  <c r="O54" i="41"/>
  <c r="P54" i="41" s="1"/>
  <c r="M19" i="38"/>
  <c r="N19" i="38" s="1"/>
  <c r="Q6" i="41"/>
  <c r="R6" i="41" s="1"/>
  <c r="W21" i="40"/>
  <c r="X21" i="40" s="1"/>
  <c r="W24" i="40"/>
  <c r="X24" i="40" s="1"/>
  <c r="W34" i="40"/>
  <c r="X34" i="40" s="1"/>
  <c r="Q22" i="40"/>
  <c r="R22" i="40" s="1"/>
  <c r="W12" i="40"/>
  <c r="X12" i="40" s="1"/>
  <c r="Q12" i="40"/>
  <c r="R12" i="40" s="1"/>
  <c r="U44" i="40"/>
  <c r="V44" i="40" s="1"/>
  <c r="S36" i="40"/>
  <c r="T36" i="40" s="1"/>
  <c r="S32" i="41"/>
  <c r="T32" i="41" s="1"/>
  <c r="S8" i="38"/>
  <c r="T8" i="38" s="1"/>
  <c r="O11" i="41"/>
  <c r="P11" i="41" s="1"/>
  <c r="W36" i="40"/>
  <c r="X36" i="40" s="1"/>
  <c r="O12" i="39"/>
  <c r="P12" i="39" s="1"/>
  <c r="O21" i="41"/>
  <c r="P21" i="41" s="1"/>
  <c r="Q7" i="38"/>
  <c r="R7" i="38" s="1"/>
  <c r="O36" i="41"/>
  <c r="P36" i="41" s="1"/>
  <c r="S11" i="38"/>
  <c r="T11" i="38" s="1"/>
  <c r="S18" i="40"/>
  <c r="T18" i="40" s="1"/>
  <c r="W10" i="40"/>
  <c r="X10" i="40" s="1"/>
  <c r="Q34" i="41"/>
  <c r="R34" i="41" s="1"/>
  <c r="Q24" i="41"/>
  <c r="R24" i="41" s="1"/>
  <c r="O6" i="41"/>
  <c r="P6" i="41" s="1"/>
  <c r="Q37" i="40"/>
  <c r="R37" i="40" s="1"/>
  <c r="W33" i="40"/>
  <c r="X33" i="40" s="1"/>
  <c r="U26" i="40"/>
  <c r="V26" i="40" s="1"/>
  <c r="W14" i="40"/>
  <c r="X14" i="40" s="1"/>
  <c r="M11" i="39"/>
  <c r="N11" i="39" s="1"/>
  <c r="Q8" i="40"/>
  <c r="R8" i="40" s="1"/>
  <c r="S15" i="40"/>
  <c r="T15" i="40" s="1"/>
  <c r="M15" i="39"/>
  <c r="N15" i="39" s="1"/>
  <c r="S29" i="41"/>
  <c r="T29" i="41" s="1"/>
  <c r="O8" i="39"/>
  <c r="P8" i="39" s="1"/>
  <c r="S39" i="41"/>
  <c r="T39" i="41" s="1"/>
  <c r="M15" i="38"/>
  <c r="N15" i="38" s="1"/>
  <c r="Q30" i="40"/>
  <c r="R30" i="40" s="1"/>
  <c r="Q17" i="41"/>
  <c r="R17" i="41" s="1"/>
  <c r="S42" i="41"/>
  <c r="T42" i="41" s="1"/>
  <c r="Q18" i="41"/>
  <c r="R18" i="41" s="1"/>
  <c r="S21" i="39"/>
  <c r="T21" i="39" s="1"/>
  <c r="S13" i="39"/>
  <c r="T13" i="39" s="1"/>
  <c r="S13" i="40"/>
  <c r="T13" i="40" s="1"/>
  <c r="S34" i="40"/>
  <c r="T34" i="40" s="1"/>
  <c r="Q10" i="38"/>
  <c r="R10" i="38" s="1"/>
  <c r="W31" i="40"/>
  <c r="X31" i="40" s="1"/>
  <c r="Q9" i="39"/>
  <c r="R9" i="39" s="1"/>
  <c r="S16" i="39"/>
  <c r="T16" i="39" s="1"/>
  <c r="S8" i="41"/>
  <c r="T8" i="41" s="1"/>
  <c r="W74" i="40"/>
  <c r="X74" i="40" s="1"/>
  <c r="S59" i="41"/>
  <c r="T59" i="41" s="1"/>
  <c r="S67" i="40"/>
  <c r="T67" i="40" s="1"/>
  <c r="G67" i="40" s="1"/>
  <c r="M25" i="38"/>
  <c r="N25" i="38" s="1"/>
  <c r="W68" i="40"/>
  <c r="X68" i="40" s="1"/>
  <c r="M26" i="38"/>
  <c r="N26" i="38" s="1"/>
  <c r="O25" i="38"/>
  <c r="P25" i="38" s="1"/>
  <c r="M25" i="39"/>
  <c r="N25" i="39" s="1"/>
  <c r="S61" i="40"/>
  <c r="T61" i="40" s="1"/>
  <c r="Q62" i="41"/>
  <c r="R62" i="41" s="1"/>
  <c r="S75" i="40"/>
  <c r="T75" i="40" s="1"/>
  <c r="U66" i="40"/>
  <c r="V66" i="40" s="1"/>
  <c r="U36" i="40"/>
  <c r="V36" i="40" s="1"/>
  <c r="M16" i="39"/>
  <c r="N16" i="39" s="1"/>
  <c r="Q31" i="37"/>
  <c r="R31" i="37" s="1"/>
  <c r="W27" i="40"/>
  <c r="X27" i="40" s="1"/>
  <c r="O14" i="41"/>
  <c r="P14" i="41" s="1"/>
  <c r="Q16" i="40"/>
  <c r="R16" i="40" s="1"/>
  <c r="O17" i="39"/>
  <c r="P17" i="39" s="1"/>
  <c r="W39" i="40"/>
  <c r="X39" i="40" s="1"/>
  <c r="O11" i="38"/>
  <c r="P11" i="38" s="1"/>
  <c r="S16" i="40"/>
  <c r="T16" i="40" s="1"/>
  <c r="S7" i="39"/>
  <c r="T7" i="39" s="1"/>
  <c r="S40" i="40"/>
  <c r="T40" i="40" s="1"/>
  <c r="W30" i="40"/>
  <c r="X30" i="40" s="1"/>
  <c r="O18" i="41"/>
  <c r="P18" i="41" s="1"/>
  <c r="W15" i="40"/>
  <c r="X15" i="40" s="1"/>
  <c r="O12" i="38"/>
  <c r="P12" i="38" s="1"/>
  <c r="S21" i="41"/>
  <c r="T21" i="41" s="1"/>
  <c r="S6" i="41"/>
  <c r="T6" i="41" s="1"/>
  <c r="S33" i="40"/>
  <c r="T33" i="40" s="1"/>
  <c r="S22" i="41"/>
  <c r="T22" i="41" s="1"/>
  <c r="Q15" i="40"/>
  <c r="R15" i="40" s="1"/>
  <c r="S8" i="39"/>
  <c r="T8" i="39" s="1"/>
  <c r="Q26" i="41"/>
  <c r="R26" i="41" s="1"/>
  <c r="S12" i="40"/>
  <c r="T12" i="40" s="1"/>
  <c r="S8" i="40"/>
  <c r="T8" i="40" s="1"/>
  <c r="Q45" i="40"/>
  <c r="R45" i="40" s="1"/>
  <c r="O14" i="39"/>
  <c r="P14" i="39" s="1"/>
  <c r="W13" i="40"/>
  <c r="X13" i="40" s="1"/>
  <c r="Q8" i="39"/>
  <c r="R8" i="39" s="1"/>
  <c r="S27" i="40"/>
  <c r="T27" i="40" s="1"/>
  <c r="Q13" i="40"/>
  <c r="R13" i="40" s="1"/>
  <c r="S9" i="41"/>
  <c r="T9" i="41" s="1"/>
  <c r="W25" i="40"/>
  <c r="X25" i="40" s="1"/>
  <c r="U27" i="40"/>
  <c r="V27" i="40" s="1"/>
  <c r="O10" i="39"/>
  <c r="P10" i="39" s="1"/>
  <c r="S7" i="38"/>
  <c r="T7" i="38" s="1"/>
  <c r="Q17" i="38"/>
  <c r="R17" i="38" s="1"/>
  <c r="O28" i="41"/>
  <c r="P28" i="41" s="1"/>
  <c r="U19" i="40"/>
  <c r="V19" i="40" s="1"/>
  <c r="S41" i="41"/>
  <c r="T41" i="41" s="1"/>
  <c r="S21" i="40"/>
  <c r="T21" i="40" s="1"/>
  <c r="Q21" i="38"/>
  <c r="R21" i="38" s="1"/>
  <c r="S30" i="40"/>
  <c r="T30" i="40" s="1"/>
  <c r="Q14" i="40"/>
  <c r="R14" i="40" s="1"/>
  <c r="M13" i="38"/>
  <c r="N13" i="38" s="1"/>
  <c r="Q12" i="41"/>
  <c r="R12" i="41" s="1"/>
  <c r="Q28" i="40"/>
  <c r="R28" i="40" s="1"/>
  <c r="Q28" i="41"/>
  <c r="R28" i="41" s="1"/>
  <c r="W38" i="40"/>
  <c r="X38" i="40" s="1"/>
  <c r="M19" i="39"/>
  <c r="N19" i="39" s="1"/>
  <c r="U73" i="40"/>
  <c r="V73" i="40" s="1"/>
  <c r="O39" i="41"/>
  <c r="P39" i="41" s="1"/>
  <c r="S29" i="38"/>
  <c r="T29" i="38" s="1"/>
  <c r="O29" i="39"/>
  <c r="P29" i="39" s="1"/>
  <c r="Q27" i="39"/>
  <c r="R27" i="39" s="1"/>
  <c r="S27" i="39"/>
  <c r="T27" i="39" s="1"/>
  <c r="O64" i="41"/>
  <c r="P64" i="41" s="1"/>
  <c r="S27" i="38"/>
  <c r="T27" i="38" s="1"/>
  <c r="W76" i="40"/>
  <c r="X76" i="40" s="1"/>
  <c r="Q73" i="40"/>
  <c r="R73" i="40" s="1"/>
  <c r="M14" i="38"/>
  <c r="N14" i="38" s="1"/>
  <c r="U24" i="40"/>
  <c r="V24" i="40" s="1"/>
  <c r="S10" i="39"/>
  <c r="T10" i="39" s="1"/>
  <c r="S7" i="40"/>
  <c r="T7" i="40" s="1"/>
  <c r="Q34" i="40"/>
  <c r="R34" i="40" s="1"/>
  <c r="S13" i="38"/>
  <c r="T13" i="38" s="1"/>
  <c r="Q11" i="38"/>
  <c r="R11" i="38" s="1"/>
  <c r="U7" i="40"/>
  <c r="V7" i="40" s="1"/>
  <c r="Q39" i="41"/>
  <c r="R39" i="41" s="1"/>
  <c r="Q13" i="38"/>
  <c r="R13" i="38" s="1"/>
  <c r="Q9" i="38"/>
  <c r="R9" i="38" s="1"/>
  <c r="S9" i="40"/>
  <c r="T9" i="40" s="1"/>
  <c r="S15" i="39"/>
  <c r="T15" i="39" s="1"/>
  <c r="S25" i="40"/>
  <c r="T25" i="40" s="1"/>
  <c r="U20" i="40"/>
  <c r="V20" i="40" s="1"/>
  <c r="M7" i="38"/>
  <c r="N7" i="38" s="1"/>
  <c r="W37" i="40"/>
  <c r="X37" i="40" s="1"/>
  <c r="S32" i="40"/>
  <c r="T32" i="40" s="1"/>
  <c r="O27" i="41"/>
  <c r="P27" i="41" s="1"/>
  <c r="O9" i="39"/>
  <c r="P9" i="39" s="1"/>
  <c r="S6" i="38"/>
  <c r="T6" i="38" s="1"/>
  <c r="U39" i="40"/>
  <c r="V39" i="40" s="1"/>
  <c r="S14" i="39"/>
  <c r="T14" i="39" s="1"/>
  <c r="Q10" i="39"/>
  <c r="R10" i="39" s="1"/>
  <c r="Q9" i="41"/>
  <c r="R9" i="41" s="1"/>
  <c r="W19" i="40"/>
  <c r="X19" i="40" s="1"/>
  <c r="S10" i="38"/>
  <c r="T10" i="38" s="1"/>
  <c r="O15" i="39"/>
  <c r="P15" i="39" s="1"/>
  <c r="S23" i="41"/>
  <c r="T23" i="41" s="1"/>
  <c r="S27" i="41"/>
  <c r="T27" i="41" s="1"/>
  <c r="Q14" i="41"/>
  <c r="R14" i="41" s="1"/>
  <c r="O8" i="41"/>
  <c r="P8" i="41" s="1"/>
  <c r="Q15" i="38"/>
  <c r="R15" i="38" s="1"/>
  <c r="W28" i="40"/>
  <c r="X28" i="40" s="1"/>
  <c r="S12" i="39"/>
  <c r="T12" i="39" s="1"/>
  <c r="W8" i="40"/>
  <c r="X8" i="40" s="1"/>
  <c r="S34" i="41"/>
  <c r="T34" i="41" s="1"/>
  <c r="W16" i="40"/>
  <c r="X16" i="40" s="1"/>
  <c r="O18" i="39"/>
  <c r="P18" i="39" s="1"/>
  <c r="S12" i="38"/>
  <c r="T12" i="38" s="1"/>
  <c r="Q10" i="40"/>
  <c r="R10" i="40" s="1"/>
  <c r="O17" i="41"/>
  <c r="P17" i="41" s="1"/>
  <c r="S42" i="40"/>
  <c r="T42" i="40" s="1"/>
  <c r="G42" i="40" s="1"/>
  <c r="J42" i="40" s="1"/>
  <c r="Q32" i="41"/>
  <c r="R32" i="41" s="1"/>
  <c r="O9" i="41"/>
  <c r="P9" i="41" s="1"/>
  <c r="Q11" i="39"/>
  <c r="R11" i="39" s="1"/>
  <c r="Q57" i="40"/>
  <c r="R57" i="40" s="1"/>
  <c r="W52" i="40"/>
  <c r="X52" i="40" s="1"/>
  <c r="W51" i="40"/>
  <c r="X51" i="40" s="1"/>
  <c r="S52" i="41"/>
  <c r="T52" i="41" s="1"/>
  <c r="Q51" i="40"/>
  <c r="R51" i="40" s="1"/>
  <c r="O46" i="41"/>
  <c r="P46" i="41" s="1"/>
  <c r="Q19" i="39"/>
  <c r="R19" i="39" s="1"/>
  <c r="S19" i="38"/>
  <c r="T19" i="38" s="1"/>
  <c r="Q33" i="41"/>
  <c r="R33" i="41" s="1"/>
  <c r="O19" i="39"/>
  <c r="P19" i="39" s="1"/>
  <c r="Q44" i="41"/>
  <c r="R44" i="41" s="1"/>
  <c r="W43" i="40"/>
  <c r="X43" i="40" s="1"/>
  <c r="U60" i="40"/>
  <c r="V60" i="40" s="1"/>
  <c r="Q14" i="37"/>
  <c r="R14" i="37" s="1"/>
  <c r="Q26" i="40"/>
  <c r="R26" i="40" s="1"/>
  <c r="Q54" i="40"/>
  <c r="R54" i="40" s="1"/>
  <c r="G54" i="40" s="1"/>
  <c r="J54" i="40" s="1"/>
  <c r="Q43" i="40"/>
  <c r="R43" i="40" s="1"/>
  <c r="Q20" i="40"/>
  <c r="R20" i="40" s="1"/>
  <c r="M6" i="39"/>
  <c r="N6" i="39" s="1"/>
  <c r="Q49" i="37"/>
  <c r="R49" i="37" s="1"/>
  <c r="H49" i="37" s="1"/>
  <c r="Q49" i="40"/>
  <c r="R49" i="40" s="1"/>
  <c r="H49" i="40" s="1"/>
  <c r="M89" i="36"/>
  <c r="N89" i="36" s="1"/>
  <c r="E89" i="36" s="1"/>
  <c r="Q50" i="40"/>
  <c r="R50" i="40" s="1"/>
  <c r="AJ11" i="7"/>
  <c r="AG11" i="7" s="1"/>
  <c r="Q50" i="37"/>
  <c r="R50" i="37" s="1"/>
  <c r="H50" i="37" s="1"/>
  <c r="M50" i="36"/>
  <c r="N50" i="36" s="1"/>
  <c r="E50" i="36" s="1"/>
  <c r="M101" i="36"/>
  <c r="N101" i="36" s="1"/>
  <c r="E101" i="36" s="1"/>
  <c r="M100" i="36"/>
  <c r="N100" i="36" s="1"/>
  <c r="F100" i="36" s="1"/>
  <c r="M24" i="36"/>
  <c r="N24" i="36" s="1"/>
  <c r="F24" i="36" s="1"/>
  <c r="M12" i="36"/>
  <c r="N12" i="36" s="1"/>
  <c r="F12" i="36" s="1"/>
  <c r="M12" i="38"/>
  <c r="N12" i="38" s="1"/>
  <c r="M6" i="38"/>
  <c r="N6" i="38" s="1"/>
  <c r="M8" i="36"/>
  <c r="N8" i="36" s="1"/>
  <c r="F8" i="36" s="1"/>
  <c r="M10" i="36"/>
  <c r="N10" i="36" s="1"/>
  <c r="F10" i="36" s="1"/>
  <c r="M94" i="36"/>
  <c r="N94" i="36" s="1"/>
  <c r="E94" i="36" s="1"/>
  <c r="M45" i="36"/>
  <c r="N45" i="36" s="1"/>
  <c r="F45" i="36" s="1"/>
  <c r="M46" i="36"/>
  <c r="N46" i="36" s="1"/>
  <c r="E46" i="36" s="1"/>
  <c r="M18" i="36"/>
  <c r="N18" i="36" s="1"/>
  <c r="E18" i="36" s="1"/>
  <c r="M7" i="36"/>
  <c r="N7" i="36" s="1"/>
  <c r="E7" i="36" s="1"/>
  <c r="M11" i="36"/>
  <c r="N11" i="36" s="1"/>
  <c r="E11" i="36" s="1"/>
  <c r="M57" i="36"/>
  <c r="N57" i="36" s="1"/>
  <c r="E57" i="36" s="1"/>
  <c r="N6" i="33"/>
  <c r="O6" i="33" s="1"/>
  <c r="M6" i="36"/>
  <c r="N6" i="36" s="1"/>
  <c r="E6" i="36" s="1"/>
  <c r="G6" i="36" s="1"/>
  <c r="M9" i="36"/>
  <c r="N9" i="36" s="1"/>
  <c r="F9" i="36" s="1"/>
  <c r="AJ15" i="7"/>
  <c r="AG15" i="7" s="1"/>
  <c r="Q30" i="37"/>
  <c r="R30" i="37" s="1"/>
  <c r="Q48" i="37"/>
  <c r="R48" i="37" s="1"/>
  <c r="Q32" i="37"/>
  <c r="R32" i="37" s="1"/>
  <c r="M105" i="36"/>
  <c r="N105" i="36" s="1"/>
  <c r="F105" i="36" s="1"/>
  <c r="M61" i="36"/>
  <c r="N61" i="36" s="1"/>
  <c r="F61" i="36" s="1"/>
  <c r="M67" i="36"/>
  <c r="N67" i="36" s="1"/>
  <c r="E67" i="36" s="1"/>
  <c r="M68" i="36"/>
  <c r="N68" i="36" s="1"/>
  <c r="F68" i="36" s="1"/>
  <c r="M28" i="36"/>
  <c r="N28" i="36" s="1"/>
  <c r="E28" i="36" s="1"/>
  <c r="O18" i="5"/>
  <c r="AJ10" i="7"/>
  <c r="AG10" i="7" s="1"/>
  <c r="M111" i="36"/>
  <c r="N111" i="36" s="1"/>
  <c r="E111" i="36" s="1"/>
  <c r="Q24" i="40"/>
  <c r="R24" i="40" s="1"/>
  <c r="Q55" i="40"/>
  <c r="R55" i="40" s="1"/>
  <c r="H55" i="40" s="1"/>
  <c r="Q56" i="40"/>
  <c r="R56" i="40" s="1"/>
  <c r="H56" i="40" s="1"/>
  <c r="M35" i="36"/>
  <c r="N35" i="36" s="1"/>
  <c r="F35" i="36" s="1"/>
  <c r="Q44" i="40"/>
  <c r="R44" i="40" s="1"/>
  <c r="Q25" i="40"/>
  <c r="R25" i="40" s="1"/>
  <c r="H25" i="40" s="1"/>
  <c r="M34" i="36"/>
  <c r="N34" i="36" s="1"/>
  <c r="F34" i="36" s="1"/>
  <c r="M83" i="36"/>
  <c r="N83" i="36" s="1"/>
  <c r="E83" i="36" s="1"/>
  <c r="M133" i="36"/>
  <c r="N133" i="36" s="1"/>
  <c r="F133" i="36" s="1"/>
  <c r="Q18" i="40"/>
  <c r="R18" i="40" s="1"/>
  <c r="C12" i="6"/>
  <c r="V12" i="6" s="1"/>
  <c r="Q38" i="37"/>
  <c r="R38" i="37" s="1"/>
  <c r="G38" i="37" s="1"/>
  <c r="J38" i="37" s="1"/>
  <c r="Q36" i="37"/>
  <c r="R36" i="37" s="1"/>
  <c r="Q37" i="37"/>
  <c r="R37" i="37" s="1"/>
  <c r="C14" i="6"/>
  <c r="M127" i="36"/>
  <c r="N127" i="36" s="1"/>
  <c r="E127" i="36" s="1"/>
  <c r="M90" i="36"/>
  <c r="N90" i="36" s="1"/>
  <c r="F90" i="36" s="1"/>
  <c r="Q66" i="40"/>
  <c r="R66" i="40" s="1"/>
  <c r="Q68" i="40"/>
  <c r="R68" i="40" s="1"/>
  <c r="M134" i="36"/>
  <c r="N134" i="36" s="1"/>
  <c r="F134" i="36" s="1"/>
  <c r="C11" i="6"/>
  <c r="V11" i="6" s="1"/>
  <c r="C10" i="6"/>
  <c r="V10" i="6" s="1"/>
  <c r="Q68" i="37"/>
  <c r="R68" i="37" s="1"/>
  <c r="H68" i="37" s="1"/>
  <c r="Q67" i="37"/>
  <c r="R67" i="37" s="1"/>
  <c r="Q66" i="37"/>
  <c r="R66" i="37" s="1"/>
  <c r="Q44" i="37"/>
  <c r="R44" i="37" s="1"/>
  <c r="H44" i="37" s="1"/>
  <c r="Q43" i="37"/>
  <c r="R43" i="37" s="1"/>
  <c r="Q42" i="37"/>
  <c r="R42" i="37" s="1"/>
  <c r="M22" i="38"/>
  <c r="N22" i="38" s="1"/>
  <c r="M22" i="39"/>
  <c r="N22" i="39" s="1"/>
  <c r="Q26" i="37"/>
  <c r="R26" i="37" s="1"/>
  <c r="G26" i="37" s="1"/>
  <c r="J26" i="37" s="1"/>
  <c r="Q24" i="37"/>
  <c r="R24" i="37" s="1"/>
  <c r="Q25" i="37"/>
  <c r="R25" i="37" s="1"/>
  <c r="Q54" i="37"/>
  <c r="R54" i="37" s="1"/>
  <c r="Q55" i="37"/>
  <c r="R55" i="37" s="1"/>
  <c r="Q56" i="37"/>
  <c r="R56" i="37" s="1"/>
  <c r="H56" i="37" s="1"/>
  <c r="Q18" i="37"/>
  <c r="R18" i="37" s="1"/>
  <c r="Q20" i="37"/>
  <c r="R20" i="37" s="1"/>
  <c r="H20" i="37" s="1"/>
  <c r="Q19" i="37"/>
  <c r="R19" i="37" s="1"/>
  <c r="M28" i="39"/>
  <c r="N28" i="39" s="1"/>
  <c r="N28" i="33"/>
  <c r="O28" i="33" s="1"/>
  <c r="G28" i="33" s="1"/>
  <c r="M28" i="38"/>
  <c r="N28" i="38" s="1"/>
  <c r="Q62" i="37"/>
  <c r="R62" i="37" s="1"/>
  <c r="G62" i="37" s="1"/>
  <c r="J62" i="37" s="1"/>
  <c r="Q61" i="37"/>
  <c r="R61" i="37" s="1"/>
  <c r="Q60" i="37"/>
  <c r="R60" i="37" s="1"/>
  <c r="C9" i="6"/>
  <c r="V9" i="6" s="1"/>
  <c r="Q61" i="40"/>
  <c r="R61" i="40" s="1"/>
  <c r="C15" i="6"/>
  <c r="E57" i="41"/>
  <c r="F57" i="41"/>
  <c r="F24" i="41"/>
  <c r="E24" i="41"/>
  <c r="E14" i="41"/>
  <c r="F14" i="41"/>
  <c r="E33" i="41"/>
  <c r="F33" i="41"/>
  <c r="F53" i="41"/>
  <c r="E53" i="41"/>
  <c r="E16" i="41"/>
  <c r="F16" i="41"/>
  <c r="M32" i="41"/>
  <c r="N32" i="41" s="1"/>
  <c r="M21" i="41"/>
  <c r="N21" i="41" s="1"/>
  <c r="M22" i="41"/>
  <c r="N22" i="41" s="1"/>
  <c r="M34" i="41"/>
  <c r="N34" i="41" s="1"/>
  <c r="M36" i="41"/>
  <c r="N36" i="41" s="1"/>
  <c r="M29" i="41"/>
  <c r="N29" i="41" s="1"/>
  <c r="M17" i="41"/>
  <c r="N17" i="41" s="1"/>
  <c r="M8" i="41"/>
  <c r="N8" i="41" s="1"/>
  <c r="M28" i="41"/>
  <c r="N28" i="41" s="1"/>
  <c r="M18" i="41"/>
  <c r="N18" i="41" s="1"/>
  <c r="M42" i="41"/>
  <c r="N42" i="41" s="1"/>
  <c r="M27" i="41"/>
  <c r="N27" i="41" s="1"/>
  <c r="M38" i="41"/>
  <c r="N38" i="41" s="1"/>
  <c r="M52" i="41"/>
  <c r="N52" i="41" s="1"/>
  <c r="M59" i="41"/>
  <c r="N59" i="41" s="1"/>
  <c r="M64" i="41"/>
  <c r="N64" i="41" s="1"/>
  <c r="M12" i="41"/>
  <c r="N12" i="41" s="1"/>
  <c r="M39" i="41"/>
  <c r="N39" i="41" s="1"/>
  <c r="M6" i="41"/>
  <c r="N6" i="41" s="1"/>
  <c r="M11" i="41"/>
  <c r="N11" i="41" s="1"/>
  <c r="M58" i="41"/>
  <c r="N58" i="41" s="1"/>
  <c r="M56" i="41"/>
  <c r="N56" i="41" s="1"/>
  <c r="M47" i="41"/>
  <c r="N47" i="41" s="1"/>
  <c r="M54" i="41"/>
  <c r="N54" i="41" s="1"/>
  <c r="M44" i="41"/>
  <c r="N44" i="41" s="1"/>
  <c r="M48" i="41"/>
  <c r="N48" i="41" s="1"/>
  <c r="M46" i="41"/>
  <c r="N46" i="41" s="1"/>
  <c r="M9" i="41"/>
  <c r="N9" i="41" s="1"/>
  <c r="M7" i="41"/>
  <c r="N7" i="41" s="1"/>
  <c r="M23" i="41"/>
  <c r="N23" i="41" s="1"/>
  <c r="G60" i="40"/>
  <c r="J60" i="40" s="1"/>
  <c r="M51" i="41"/>
  <c r="N51" i="41" s="1"/>
  <c r="M63" i="41"/>
  <c r="N63" i="41" s="1"/>
  <c r="M62" i="41"/>
  <c r="N62" i="41" s="1"/>
  <c r="S11" i="32"/>
  <c r="V11" i="32" s="1"/>
  <c r="S12" i="32"/>
  <c r="V12" i="32" s="1"/>
  <c r="S10" i="32"/>
  <c r="V10" i="32" s="1"/>
  <c r="S13" i="32"/>
  <c r="V13" i="32" s="1"/>
  <c r="AA9" i="8"/>
  <c r="H14" i="37"/>
  <c r="G14" i="37"/>
  <c r="J14" i="37" s="1"/>
  <c r="G76" i="37"/>
  <c r="H76" i="37"/>
  <c r="G28" i="37"/>
  <c r="H28" i="37"/>
  <c r="H34" i="37"/>
  <c r="G34" i="37"/>
  <c r="H40" i="37"/>
  <c r="G40" i="37"/>
  <c r="G58" i="37"/>
  <c r="H58" i="37"/>
  <c r="H64" i="37"/>
  <c r="G64" i="37"/>
  <c r="G70" i="37"/>
  <c r="H70" i="37"/>
  <c r="G16" i="37"/>
  <c r="H16" i="37"/>
  <c r="H46" i="37"/>
  <c r="G46" i="37"/>
  <c r="H52" i="37"/>
  <c r="G52" i="37"/>
  <c r="G22" i="37"/>
  <c r="H22" i="37"/>
  <c r="E25" i="36"/>
  <c r="F25" i="36"/>
  <c r="E10" i="36"/>
  <c r="F136" i="36"/>
  <c r="E136" i="36"/>
  <c r="E125" i="36"/>
  <c r="F125" i="36"/>
  <c r="F124" i="36"/>
  <c r="E124" i="36"/>
  <c r="E122" i="36"/>
  <c r="E114" i="36"/>
  <c r="F114" i="36"/>
  <c r="E113" i="36"/>
  <c r="F113" i="36"/>
  <c r="E92" i="36"/>
  <c r="F92" i="36"/>
  <c r="E70" i="36"/>
  <c r="F70" i="36"/>
  <c r="E56" i="36"/>
  <c r="F56" i="36"/>
  <c r="E58" i="36"/>
  <c r="F58" i="36"/>
  <c r="E47" i="36"/>
  <c r="F47" i="36"/>
  <c r="F26" i="36"/>
  <c r="E26" i="36"/>
  <c r="E69" i="36"/>
  <c r="F69" i="36"/>
  <c r="F59" i="36"/>
  <c r="E59" i="36"/>
  <c r="E36" i="36"/>
  <c r="F36" i="36"/>
  <c r="F123" i="36"/>
  <c r="E123" i="36"/>
  <c r="F102" i="36"/>
  <c r="E102" i="36"/>
  <c r="E81" i="36"/>
  <c r="F81" i="36"/>
  <c r="F91" i="36"/>
  <c r="E91" i="36"/>
  <c r="E78" i="36"/>
  <c r="F78" i="36"/>
  <c r="E80" i="36"/>
  <c r="F80" i="36"/>
  <c r="F48" i="36"/>
  <c r="E48" i="36"/>
  <c r="F15" i="36"/>
  <c r="E15" i="36"/>
  <c r="F103" i="36"/>
  <c r="E103" i="36"/>
  <c r="E135" i="36"/>
  <c r="F135" i="36"/>
  <c r="F37" i="36"/>
  <c r="E37" i="36"/>
  <c r="F13" i="36"/>
  <c r="E13" i="36"/>
  <c r="F14" i="36"/>
  <c r="E14" i="36"/>
  <c r="G18" i="33"/>
  <c r="F25" i="33"/>
  <c r="G19" i="33"/>
  <c r="G7" i="33"/>
  <c r="G25" i="33"/>
  <c r="AH15" i="4"/>
  <c r="F16" i="38" l="1"/>
  <c r="S14" i="32"/>
  <c r="V14" i="32" s="1"/>
  <c r="E18" i="6"/>
  <c r="S15" i="32"/>
  <c r="V15" i="32" s="1"/>
  <c r="W15" i="6"/>
  <c r="W17" i="6"/>
  <c r="W16" i="6"/>
  <c r="D9" i="6"/>
  <c r="W9" i="6" s="1"/>
  <c r="W18" i="6"/>
  <c r="V14" i="6"/>
  <c r="AS6" i="4"/>
  <c r="AR6" i="4"/>
  <c r="AQ6" i="4"/>
  <c r="AP6" i="4"/>
  <c r="AO6" i="4"/>
  <c r="AN6" i="4"/>
  <c r="AM6" i="4"/>
  <c r="AL6" i="4"/>
  <c r="AK6" i="4"/>
  <c r="AJ6" i="4"/>
  <c r="C13" i="6"/>
  <c r="V13" i="6" s="1"/>
  <c r="H17" i="8"/>
  <c r="S17" i="8" s="1"/>
  <c r="H16" i="8"/>
  <c r="S16" i="8" s="1"/>
  <c r="V16" i="8" s="1"/>
  <c r="X14" i="6"/>
  <c r="M11" i="53"/>
  <c r="L11" i="59"/>
  <c r="M9" i="53"/>
  <c r="L9" i="59"/>
  <c r="M12" i="53"/>
  <c r="L12" i="59"/>
  <c r="M10" i="53"/>
  <c r="L10" i="59"/>
  <c r="M8" i="53"/>
  <c r="L8" i="59"/>
  <c r="M13" i="53"/>
  <c r="L13" i="59"/>
  <c r="W14" i="8"/>
  <c r="H12" i="59" s="1"/>
  <c r="W15" i="8"/>
  <c r="H13" i="59" s="1"/>
  <c r="H9" i="53"/>
  <c r="G9" i="59"/>
  <c r="H8" i="53"/>
  <c r="G8" i="59"/>
  <c r="H10" i="53"/>
  <c r="G10" i="59"/>
  <c r="H13" i="53"/>
  <c r="G13" i="59"/>
  <c r="E39" i="36"/>
  <c r="F22" i="33"/>
  <c r="AG9" i="7"/>
  <c r="AD9" i="6" s="1"/>
  <c r="X15" i="6"/>
  <c r="W14" i="6"/>
  <c r="X9" i="6"/>
  <c r="C9" i="30"/>
  <c r="AG14" i="7"/>
  <c r="C13" i="30"/>
  <c r="D15" i="30"/>
  <c r="K15" i="30" s="1"/>
  <c r="P15" i="30" s="1"/>
  <c r="E62" i="36"/>
  <c r="F62" i="36"/>
  <c r="E73" i="36"/>
  <c r="H73" i="36" s="1"/>
  <c r="F73" i="36"/>
  <c r="F117" i="36"/>
  <c r="E117" i="36"/>
  <c r="H117" i="36" s="1"/>
  <c r="E29" i="36"/>
  <c r="H29" i="36" s="1"/>
  <c r="F29" i="36"/>
  <c r="E95" i="36"/>
  <c r="F95" i="36"/>
  <c r="F128" i="36"/>
  <c r="E128" i="36"/>
  <c r="E106" i="36"/>
  <c r="F106" i="36"/>
  <c r="F51" i="36"/>
  <c r="E51" i="36"/>
  <c r="F40" i="36"/>
  <c r="E40" i="36"/>
  <c r="H40" i="36" s="1"/>
  <c r="F84" i="36"/>
  <c r="E84" i="36"/>
  <c r="F41" i="41"/>
  <c r="F18" i="33"/>
  <c r="M15" i="6"/>
  <c r="V15" i="6" s="1"/>
  <c r="F37" i="41"/>
  <c r="E37" i="41"/>
  <c r="E41" i="41"/>
  <c r="F96" i="36"/>
  <c r="E96" i="36"/>
  <c r="F129" i="36"/>
  <c r="E129" i="36"/>
  <c r="H129" i="36" s="1"/>
  <c r="E107" i="36"/>
  <c r="F107" i="36"/>
  <c r="F118" i="36"/>
  <c r="E118" i="36"/>
  <c r="H118" i="36" s="1"/>
  <c r="E85" i="36"/>
  <c r="F85" i="36"/>
  <c r="F74" i="36"/>
  <c r="E74" i="36"/>
  <c r="H74" i="36" s="1"/>
  <c r="E63" i="36"/>
  <c r="F63" i="36"/>
  <c r="E52" i="36"/>
  <c r="F52" i="36"/>
  <c r="E30" i="36"/>
  <c r="F30" i="36"/>
  <c r="F19" i="36"/>
  <c r="E19" i="36"/>
  <c r="H19" i="36" s="1"/>
  <c r="F41" i="36"/>
  <c r="E41" i="36"/>
  <c r="S18" i="32"/>
  <c r="S19" i="32"/>
  <c r="G10" i="30"/>
  <c r="N10" i="30" s="1"/>
  <c r="G14" i="33"/>
  <c r="G12" i="30"/>
  <c r="N12" i="30" s="1"/>
  <c r="G15" i="30"/>
  <c r="N15" i="30" s="1"/>
  <c r="G11" i="30"/>
  <c r="N11" i="30" s="1"/>
  <c r="G22" i="33"/>
  <c r="G14" i="30"/>
  <c r="N14" i="30" s="1"/>
  <c r="G13" i="30"/>
  <c r="N13" i="30" s="1"/>
  <c r="G12" i="33"/>
  <c r="G10" i="33"/>
  <c r="V9" i="8"/>
  <c r="S20" i="32"/>
  <c r="S17" i="32"/>
  <c r="S16" i="32"/>
  <c r="V16" i="32" s="1"/>
  <c r="X16" i="6"/>
  <c r="F26" i="33"/>
  <c r="G8" i="33"/>
  <c r="H42" i="40"/>
  <c r="F39" i="36"/>
  <c r="F14" i="33"/>
  <c r="G73" i="40"/>
  <c r="H37" i="40"/>
  <c r="H19" i="40"/>
  <c r="F7" i="33"/>
  <c r="H74" i="40"/>
  <c r="G16" i="33"/>
  <c r="E17" i="36"/>
  <c r="H26" i="40"/>
  <c r="G12" i="40"/>
  <c r="J12" i="40" s="1"/>
  <c r="G38" i="40"/>
  <c r="H38" i="40"/>
  <c r="G20" i="40"/>
  <c r="H14" i="40"/>
  <c r="H6" i="40"/>
  <c r="H24" i="40"/>
  <c r="C14" i="30"/>
  <c r="F17" i="33"/>
  <c r="F19" i="33"/>
  <c r="G23" i="33"/>
  <c r="F23" i="33"/>
  <c r="F15" i="33"/>
  <c r="F13" i="33"/>
  <c r="G13" i="33"/>
  <c r="F29" i="33"/>
  <c r="G27" i="33"/>
  <c r="F27" i="33"/>
  <c r="F21" i="33"/>
  <c r="G21" i="33"/>
  <c r="G9" i="33"/>
  <c r="F9" i="33"/>
  <c r="F11" i="33"/>
  <c r="G11" i="33"/>
  <c r="H11" i="8"/>
  <c r="S11" i="8" s="1"/>
  <c r="T20" i="4"/>
  <c r="E11" i="6" s="1"/>
  <c r="X11" i="6" s="1"/>
  <c r="H13" i="8"/>
  <c r="S13" i="8" s="1"/>
  <c r="V20" i="4"/>
  <c r="E13" i="6" s="1"/>
  <c r="X13" i="6" s="1"/>
  <c r="H12" i="8"/>
  <c r="S12" i="8" s="1"/>
  <c r="U20" i="4"/>
  <c r="H10" i="8"/>
  <c r="S10" i="8" s="1"/>
  <c r="S20" i="4"/>
  <c r="AD15" i="6"/>
  <c r="J15" i="30"/>
  <c r="O15" i="30" s="1"/>
  <c r="F61" i="41"/>
  <c r="E61" i="41"/>
  <c r="F31" i="41"/>
  <c r="E31" i="41"/>
  <c r="H12" i="37"/>
  <c r="F26" i="39"/>
  <c r="AA15" i="8"/>
  <c r="AW15" i="8" s="1"/>
  <c r="E15" i="30" s="1"/>
  <c r="AF15" i="8"/>
  <c r="AK15" i="8"/>
  <c r="D14" i="30"/>
  <c r="AD10" i="6"/>
  <c r="J10" i="30"/>
  <c r="O10" i="30" s="1"/>
  <c r="AD11" i="6"/>
  <c r="J11" i="30"/>
  <c r="O11" i="30" s="1"/>
  <c r="AD12" i="6"/>
  <c r="J12" i="30"/>
  <c r="O12" i="30" s="1"/>
  <c r="AF11" i="8"/>
  <c r="AK11" i="8"/>
  <c r="F17" i="36"/>
  <c r="E72" i="36"/>
  <c r="G20" i="33"/>
  <c r="H6" i="37"/>
  <c r="G72" i="37"/>
  <c r="G6" i="37"/>
  <c r="H22" i="40"/>
  <c r="G22" i="40"/>
  <c r="H21" i="40"/>
  <c r="G21" i="40"/>
  <c r="G6" i="40"/>
  <c r="H67" i="40"/>
  <c r="G19" i="40"/>
  <c r="G51" i="40"/>
  <c r="H51" i="40"/>
  <c r="H57" i="40"/>
  <c r="G57" i="40"/>
  <c r="G76" i="40"/>
  <c r="H76" i="40"/>
  <c r="G33" i="40"/>
  <c r="H33" i="40"/>
  <c r="G75" i="40"/>
  <c r="H75" i="40"/>
  <c r="G70" i="40"/>
  <c r="H70" i="40"/>
  <c r="G40" i="40"/>
  <c r="H40" i="40"/>
  <c r="H45" i="40"/>
  <c r="G45" i="40"/>
  <c r="G69" i="40"/>
  <c r="H69" i="40"/>
  <c r="G58" i="40"/>
  <c r="H58" i="40"/>
  <c r="G37" i="40"/>
  <c r="H44" i="40"/>
  <c r="H28" i="40"/>
  <c r="G28" i="40"/>
  <c r="H15" i="40"/>
  <c r="G15" i="40"/>
  <c r="G27" i="40"/>
  <c r="H27" i="40"/>
  <c r="H52" i="40"/>
  <c r="G52" i="40"/>
  <c r="G46" i="40"/>
  <c r="H46" i="40"/>
  <c r="H9" i="40"/>
  <c r="G9" i="40"/>
  <c r="G39" i="40"/>
  <c r="H39" i="40"/>
  <c r="G66" i="40"/>
  <c r="J66" i="40" s="1"/>
  <c r="H18" i="40"/>
  <c r="H50" i="40"/>
  <c r="H10" i="40"/>
  <c r="G10" i="40"/>
  <c r="H34" i="40"/>
  <c r="G34" i="40"/>
  <c r="H16" i="40"/>
  <c r="G16" i="40"/>
  <c r="H63" i="40"/>
  <c r="G63" i="40"/>
  <c r="H64" i="40"/>
  <c r="G64" i="40"/>
  <c r="F16" i="33"/>
  <c r="F12" i="33"/>
  <c r="F8" i="33"/>
  <c r="G26" i="33"/>
  <c r="F20" i="33"/>
  <c r="F10" i="33"/>
  <c r="G6" i="33"/>
  <c r="G24" i="33"/>
  <c r="AX10" i="8"/>
  <c r="F10" i="30" s="1"/>
  <c r="AX13" i="8"/>
  <c r="F13" i="30" s="1"/>
  <c r="AQ14" i="8"/>
  <c r="AF9" i="8"/>
  <c r="AK9" i="8"/>
  <c r="H9" i="32"/>
  <c r="C9" i="32"/>
  <c r="M9" i="32"/>
  <c r="AJ16" i="7"/>
  <c r="AE16" i="7"/>
  <c r="AF16" i="7" s="1"/>
  <c r="F89" i="36"/>
  <c r="F46" i="36"/>
  <c r="F6" i="39"/>
  <c r="H17" i="6"/>
  <c r="X17" i="6" s="1"/>
  <c r="B17" i="8"/>
  <c r="U17" i="8" s="1"/>
  <c r="L17" i="7"/>
  <c r="B17" i="32"/>
  <c r="U17" i="32" s="1"/>
  <c r="F57" i="36"/>
  <c r="E105" i="36"/>
  <c r="H26" i="37"/>
  <c r="F24" i="33"/>
  <c r="G43" i="40"/>
  <c r="H32" i="40"/>
  <c r="G7" i="40"/>
  <c r="I7" i="40" s="1"/>
  <c r="H36" i="40"/>
  <c r="H72" i="40"/>
  <c r="F26" i="41"/>
  <c r="G31" i="40"/>
  <c r="J31" i="40" s="1"/>
  <c r="H62" i="40"/>
  <c r="G74" i="40"/>
  <c r="H12" i="40"/>
  <c r="G48" i="40"/>
  <c r="J48" i="40" s="1"/>
  <c r="H60" i="40"/>
  <c r="G13" i="40"/>
  <c r="G30" i="40"/>
  <c r="J30" i="40" s="1"/>
  <c r="H8" i="40"/>
  <c r="H73" i="40"/>
  <c r="G20" i="37"/>
  <c r="J20" i="37" s="1"/>
  <c r="H20" i="40"/>
  <c r="E24" i="38"/>
  <c r="F8" i="38"/>
  <c r="F20" i="38"/>
  <c r="T18" i="5"/>
  <c r="B17" i="6" s="1"/>
  <c r="U18" i="5"/>
  <c r="F18" i="36"/>
  <c r="F101" i="36"/>
  <c r="E61" i="36"/>
  <c r="F6" i="33"/>
  <c r="F18" i="39"/>
  <c r="F20" i="39"/>
  <c r="E26" i="39"/>
  <c r="E12" i="36"/>
  <c r="G62" i="40"/>
  <c r="H31" i="40"/>
  <c r="F14" i="38"/>
  <c r="F24" i="39"/>
  <c r="E26" i="41"/>
  <c r="AG13" i="7"/>
  <c r="E90" i="36"/>
  <c r="F112" i="36"/>
  <c r="G72" i="40"/>
  <c r="J72" i="40" s="1"/>
  <c r="F26" i="38"/>
  <c r="F50" i="36"/>
  <c r="F79" i="36"/>
  <c r="E8" i="36"/>
  <c r="G8" i="36" s="1"/>
  <c r="F24" i="38"/>
  <c r="H30" i="40"/>
  <c r="G26" i="40"/>
  <c r="E6" i="39"/>
  <c r="F6" i="38"/>
  <c r="E116" i="36"/>
  <c r="G49" i="40"/>
  <c r="G50" i="40"/>
  <c r="G49" i="37"/>
  <c r="E26" i="38"/>
  <c r="E10" i="39"/>
  <c r="F8" i="39"/>
  <c r="E14" i="38"/>
  <c r="G8" i="40"/>
  <c r="K8" i="40" s="1"/>
  <c r="E24" i="39"/>
  <c r="F12" i="38"/>
  <c r="G74" i="37"/>
  <c r="J74" i="37" s="1"/>
  <c r="F28" i="36"/>
  <c r="E45" i="36"/>
  <c r="H13" i="40"/>
  <c r="H72" i="37"/>
  <c r="E12" i="39"/>
  <c r="F10" i="38"/>
  <c r="F10" i="39"/>
  <c r="E8" i="39"/>
  <c r="F18" i="38"/>
  <c r="F16" i="39"/>
  <c r="G14" i="40"/>
  <c r="J14" i="40" s="1"/>
  <c r="E16" i="38"/>
  <c r="E20" i="38"/>
  <c r="F94" i="36"/>
  <c r="F6" i="36"/>
  <c r="H6" i="36" s="1"/>
  <c r="H43" i="40"/>
  <c r="E12" i="38"/>
  <c r="E18" i="39"/>
  <c r="E10" i="38"/>
  <c r="E100" i="36"/>
  <c r="F7" i="36"/>
  <c r="E18" i="38"/>
  <c r="F12" i="39"/>
  <c r="E14" i="39"/>
  <c r="H7" i="37"/>
  <c r="G7" i="37"/>
  <c r="G32" i="40"/>
  <c r="F14" i="39"/>
  <c r="H8" i="37"/>
  <c r="G8" i="37"/>
  <c r="E68" i="36"/>
  <c r="G36" i="40"/>
  <c r="J36" i="40" s="1"/>
  <c r="H7" i="40"/>
  <c r="G13" i="37"/>
  <c r="H13" i="37"/>
  <c r="G50" i="37"/>
  <c r="J50" i="37" s="1"/>
  <c r="H48" i="40"/>
  <c r="H54" i="40"/>
  <c r="E20" i="39"/>
  <c r="E16" i="39"/>
  <c r="H31" i="37"/>
  <c r="G31" i="37"/>
  <c r="G73" i="37"/>
  <c r="H73" i="37"/>
  <c r="E34" i="36"/>
  <c r="H38" i="37"/>
  <c r="G12" i="37"/>
  <c r="E8" i="38"/>
  <c r="F83" i="36"/>
  <c r="F11" i="36"/>
  <c r="G44" i="37"/>
  <c r="J44" i="37" s="1"/>
  <c r="E9" i="36"/>
  <c r="E24" i="36"/>
  <c r="F67" i="36"/>
  <c r="H66" i="40"/>
  <c r="G25" i="40"/>
  <c r="G56" i="40"/>
  <c r="E6" i="38"/>
  <c r="F111" i="36"/>
  <c r="H30" i="37"/>
  <c r="G30" i="37"/>
  <c r="H32" i="37"/>
  <c r="G32" i="37"/>
  <c r="J32" i="37" s="1"/>
  <c r="H48" i="37"/>
  <c r="G48" i="37"/>
  <c r="E35" i="36"/>
  <c r="E133" i="36"/>
  <c r="F127" i="36"/>
  <c r="G56" i="37"/>
  <c r="J56" i="37" s="1"/>
  <c r="G24" i="40"/>
  <c r="J24" i="40" s="1"/>
  <c r="F28" i="33"/>
  <c r="G55" i="40"/>
  <c r="O19" i="5"/>
  <c r="H62" i="37"/>
  <c r="G44" i="40"/>
  <c r="G18" i="40"/>
  <c r="J18" i="40" s="1"/>
  <c r="E134" i="36"/>
  <c r="G37" i="37"/>
  <c r="H37" i="37"/>
  <c r="G36" i="37"/>
  <c r="H36" i="37"/>
  <c r="H68" i="40"/>
  <c r="G68" i="40"/>
  <c r="G68" i="37"/>
  <c r="J68" i="37" s="1"/>
  <c r="H42" i="37"/>
  <c r="G42" i="37"/>
  <c r="G66" i="37"/>
  <c r="H66" i="37"/>
  <c r="G43" i="37"/>
  <c r="H43" i="37"/>
  <c r="H67" i="37"/>
  <c r="G67" i="37"/>
  <c r="E22" i="39"/>
  <c r="F22" i="39"/>
  <c r="F22" i="38"/>
  <c r="E22" i="38"/>
  <c r="G61" i="37"/>
  <c r="H61" i="37"/>
  <c r="E28" i="39"/>
  <c r="F28" i="39"/>
  <c r="G25" i="37"/>
  <c r="H25" i="37"/>
  <c r="H19" i="37"/>
  <c r="G19" i="37"/>
  <c r="G24" i="37"/>
  <c r="H24" i="37"/>
  <c r="F28" i="38"/>
  <c r="E28" i="38"/>
  <c r="H55" i="37"/>
  <c r="G55" i="37"/>
  <c r="G61" i="40"/>
  <c r="H61" i="40"/>
  <c r="G60" i="37"/>
  <c r="H60" i="37"/>
  <c r="H18" i="37"/>
  <c r="G18" i="37"/>
  <c r="G54" i="37"/>
  <c r="H54" i="37"/>
  <c r="J13" i="40"/>
  <c r="F44" i="41"/>
  <c r="E44" i="41"/>
  <c r="E47" i="41"/>
  <c r="F47" i="41"/>
  <c r="E11" i="41"/>
  <c r="F11" i="41"/>
  <c r="J37" i="40"/>
  <c r="F38" i="41"/>
  <c r="E38" i="41"/>
  <c r="F42" i="41"/>
  <c r="E42" i="41"/>
  <c r="F28" i="41"/>
  <c r="E28" i="41"/>
  <c r="I8" i="40"/>
  <c r="E34" i="41"/>
  <c r="F34" i="41"/>
  <c r="J43" i="40"/>
  <c r="F23" i="41"/>
  <c r="E23" i="41"/>
  <c r="E56" i="41"/>
  <c r="F56" i="41"/>
  <c r="E58" i="41"/>
  <c r="F58" i="41"/>
  <c r="J20" i="40"/>
  <c r="F12" i="41"/>
  <c r="E12" i="41"/>
  <c r="E64" i="41"/>
  <c r="F64" i="41"/>
  <c r="F8" i="41"/>
  <c r="E8" i="41"/>
  <c r="G8" i="41" s="1"/>
  <c r="J67" i="40"/>
  <c r="J56" i="40"/>
  <c r="E36" i="41"/>
  <c r="F36" i="41"/>
  <c r="F22" i="41"/>
  <c r="E22" i="41"/>
  <c r="E32" i="41"/>
  <c r="F32" i="41"/>
  <c r="E62" i="41"/>
  <c r="F62" i="41"/>
  <c r="E51" i="41"/>
  <c r="F51" i="41"/>
  <c r="F7" i="41"/>
  <c r="E7" i="41"/>
  <c r="E39" i="41"/>
  <c r="F39" i="41"/>
  <c r="E59" i="41"/>
  <c r="F59" i="41"/>
  <c r="E17" i="41"/>
  <c r="F17" i="41"/>
  <c r="E21" i="41"/>
  <c r="F21" i="41"/>
  <c r="E63" i="41"/>
  <c r="F63" i="41"/>
  <c r="E9" i="41"/>
  <c r="G9" i="41" s="1"/>
  <c r="F9" i="41"/>
  <c r="J74" i="40"/>
  <c r="E46" i="41"/>
  <c r="F46" i="41"/>
  <c r="E48" i="41"/>
  <c r="F48" i="41"/>
  <c r="E54" i="41"/>
  <c r="F54" i="41"/>
  <c r="F6" i="41"/>
  <c r="E6" i="41"/>
  <c r="J6" i="40"/>
  <c r="K6" i="40"/>
  <c r="I6" i="40"/>
  <c r="J38" i="40"/>
  <c r="E52" i="41"/>
  <c r="F52" i="41"/>
  <c r="E27" i="41"/>
  <c r="F27" i="41"/>
  <c r="E18" i="41"/>
  <c r="F18" i="41"/>
  <c r="F29" i="41"/>
  <c r="E29" i="41"/>
  <c r="J73" i="40"/>
  <c r="J62" i="40"/>
  <c r="J19" i="40"/>
  <c r="AW12" i="8"/>
  <c r="E12" i="30" s="1"/>
  <c r="AX12" i="8"/>
  <c r="F12" i="30" s="1"/>
  <c r="AW9" i="8"/>
  <c r="E9" i="30" s="1"/>
  <c r="AS15" i="8"/>
  <c r="AW10" i="8"/>
  <c r="E10" i="30" s="1"/>
  <c r="AS10" i="8"/>
  <c r="AW14" i="8"/>
  <c r="E14" i="30" s="1"/>
  <c r="AW11" i="8"/>
  <c r="E11" i="30" s="1"/>
  <c r="AS11" i="8"/>
  <c r="AW13" i="8"/>
  <c r="E13" i="30" s="1"/>
  <c r="AS13" i="8"/>
  <c r="AX14" i="8"/>
  <c r="F14" i="30" s="1"/>
  <c r="AQ12" i="8"/>
  <c r="AQ13" i="8"/>
  <c r="J22" i="37"/>
  <c r="J16" i="37"/>
  <c r="K16" i="37"/>
  <c r="K22" i="37" s="1"/>
  <c r="K28" i="37" s="1"/>
  <c r="K34" i="37" s="1"/>
  <c r="K40" i="37" s="1"/>
  <c r="K46" i="37" s="1"/>
  <c r="K52" i="37" s="1"/>
  <c r="K58" i="37" s="1"/>
  <c r="K64" i="37" s="1"/>
  <c r="K70" i="37" s="1"/>
  <c r="K76" i="37" s="1"/>
  <c r="I16" i="37"/>
  <c r="I22" i="37" s="1"/>
  <c r="J28" i="37"/>
  <c r="J46" i="37"/>
  <c r="J34" i="37"/>
  <c r="J70" i="37"/>
  <c r="J58" i="37"/>
  <c r="J76" i="37"/>
  <c r="J52" i="37"/>
  <c r="J64" i="37"/>
  <c r="J40" i="37"/>
  <c r="H7" i="36"/>
  <c r="G7" i="36"/>
  <c r="H81" i="36"/>
  <c r="H70" i="36"/>
  <c r="H92" i="36"/>
  <c r="H114" i="36"/>
  <c r="H125" i="36"/>
  <c r="G10" i="36"/>
  <c r="H10" i="36" s="1"/>
  <c r="G12" i="36"/>
  <c r="G13" i="36"/>
  <c r="H13" i="36" s="1"/>
  <c r="G14" i="36"/>
  <c r="H14" i="36"/>
  <c r="H37" i="36"/>
  <c r="H103" i="36"/>
  <c r="H15" i="36"/>
  <c r="G15" i="36"/>
  <c r="H48" i="36"/>
  <c r="H59" i="36"/>
  <c r="H26" i="36"/>
  <c r="H136" i="36"/>
  <c r="H36" i="36"/>
  <c r="G11" i="36"/>
  <c r="H11" i="36" s="1"/>
  <c r="H47" i="36"/>
  <c r="H25" i="36"/>
  <c r="AH16" i="4"/>
  <c r="P5" i="4"/>
  <c r="AA9" i="6" l="1"/>
  <c r="AT88" i="4"/>
  <c r="AT64" i="4"/>
  <c r="AT76" i="4"/>
  <c r="AT52" i="4"/>
  <c r="AT101" i="4"/>
  <c r="AT42" i="4"/>
  <c r="AT87" i="4"/>
  <c r="AT63" i="4"/>
  <c r="AT51" i="4"/>
  <c r="AT100" i="4"/>
  <c r="AT75" i="4"/>
  <c r="AT86" i="4"/>
  <c r="AT62" i="4"/>
  <c r="AT74" i="4"/>
  <c r="AT99" i="4"/>
  <c r="AT50" i="4"/>
  <c r="AT43" i="4"/>
  <c r="AT85" i="4"/>
  <c r="AT61" i="4"/>
  <c r="AT97" i="4"/>
  <c r="AT73" i="4"/>
  <c r="AT49" i="4"/>
  <c r="AT91" i="4"/>
  <c r="AT102" i="4"/>
  <c r="AT84" i="4"/>
  <c r="AT60" i="4"/>
  <c r="AT48" i="4"/>
  <c r="AT96" i="4"/>
  <c r="AT72" i="4"/>
  <c r="AT90" i="4"/>
  <c r="AT83" i="4"/>
  <c r="AT59" i="4"/>
  <c r="AT47" i="4"/>
  <c r="AT95" i="4"/>
  <c r="AT71" i="4"/>
  <c r="AT67" i="4"/>
  <c r="AT78" i="4"/>
  <c r="AT66" i="4"/>
  <c r="AT46" i="4"/>
  <c r="AT82" i="4"/>
  <c r="AT58" i="4"/>
  <c r="AT94" i="4"/>
  <c r="AT70" i="4"/>
  <c r="AT31" i="4"/>
  <c r="AT106" i="4"/>
  <c r="AT81" i="4"/>
  <c r="AT57" i="4"/>
  <c r="AT33" i="4"/>
  <c r="AT45" i="4"/>
  <c r="AT93" i="4"/>
  <c r="AT69" i="4"/>
  <c r="AT54" i="4"/>
  <c r="AT32" i="4"/>
  <c r="AT80" i="4"/>
  <c r="AT56" i="4"/>
  <c r="AT105" i="4"/>
  <c r="AT44" i="4"/>
  <c r="AT92" i="4"/>
  <c r="AT68" i="4"/>
  <c r="AT55" i="4"/>
  <c r="AT79" i="4"/>
  <c r="AT89" i="4"/>
  <c r="AT65" i="4"/>
  <c r="AT104" i="4"/>
  <c r="AT103" i="4"/>
  <c r="AT98" i="4"/>
  <c r="AT77" i="4"/>
  <c r="AT53" i="4"/>
  <c r="AB21" i="4"/>
  <c r="AB19" i="4"/>
  <c r="AT18" i="4"/>
  <c r="AT35" i="4"/>
  <c r="AB25" i="4"/>
  <c r="E19" i="32" s="1"/>
  <c r="AT11" i="4"/>
  <c r="AT26" i="4"/>
  <c r="AB18" i="4"/>
  <c r="AT15" i="4"/>
  <c r="AT40" i="4"/>
  <c r="AT17" i="4"/>
  <c r="AT13" i="4"/>
  <c r="AT38" i="4"/>
  <c r="AT19" i="4"/>
  <c r="AT8" i="4"/>
  <c r="AT21" i="4"/>
  <c r="AT36" i="4"/>
  <c r="AT25" i="4"/>
  <c r="AT23" i="4"/>
  <c r="AT24" i="4"/>
  <c r="AT14" i="4"/>
  <c r="AT29" i="4"/>
  <c r="AB17" i="4"/>
  <c r="E19" i="6" s="1"/>
  <c r="AT28" i="4"/>
  <c r="AT27" i="4"/>
  <c r="AT9" i="4"/>
  <c r="AT12" i="4"/>
  <c r="AT34" i="4"/>
  <c r="AT10" i="4"/>
  <c r="AT22" i="4"/>
  <c r="AT20" i="4"/>
  <c r="AT7" i="4"/>
  <c r="AT30" i="4"/>
  <c r="AT41" i="4"/>
  <c r="AT16" i="4"/>
  <c r="AT39" i="4"/>
  <c r="AB20" i="4"/>
  <c r="D19" i="6" s="1"/>
  <c r="W19" i="6" s="1"/>
  <c r="AT37" i="4"/>
  <c r="J10" i="8"/>
  <c r="U10" i="8" s="1"/>
  <c r="V10" i="8" s="1"/>
  <c r="D10" i="6"/>
  <c r="W10" i="6" s="1"/>
  <c r="J12" i="8"/>
  <c r="U12" i="8" s="1"/>
  <c r="V12" i="8" s="1"/>
  <c r="D12" i="6"/>
  <c r="W12" i="6" s="1"/>
  <c r="E12" i="6"/>
  <c r="X12" i="6" s="1"/>
  <c r="J13" i="8"/>
  <c r="U13" i="8" s="1"/>
  <c r="D13" i="6"/>
  <c r="W13" i="6" s="1"/>
  <c r="AA13" i="6" s="1"/>
  <c r="J11" i="8"/>
  <c r="U11" i="8" s="1"/>
  <c r="D11" i="6"/>
  <c r="W11" i="6" s="1"/>
  <c r="AA11" i="6" s="1"/>
  <c r="B11" i="30" s="1"/>
  <c r="E10" i="6"/>
  <c r="X10" i="6" s="1"/>
  <c r="AE14" i="6"/>
  <c r="E12" i="53" s="1"/>
  <c r="AE15" i="6"/>
  <c r="E13" i="53" s="1"/>
  <c r="AA14" i="6"/>
  <c r="AB14" i="6" s="1"/>
  <c r="C12" i="59" s="1"/>
  <c r="V17" i="8"/>
  <c r="D17" i="30" s="1"/>
  <c r="K17" i="30" s="1"/>
  <c r="P17" i="30" s="1"/>
  <c r="W16" i="8"/>
  <c r="H14" i="59" s="1"/>
  <c r="M14" i="53"/>
  <c r="L14" i="59"/>
  <c r="D7" i="53"/>
  <c r="D7" i="59"/>
  <c r="H11" i="53"/>
  <c r="G11" i="59"/>
  <c r="D9" i="53"/>
  <c r="D9" i="59"/>
  <c r="D13" i="53"/>
  <c r="D13" i="59"/>
  <c r="H7" i="53"/>
  <c r="G7" i="59"/>
  <c r="D10" i="53"/>
  <c r="D10" i="59"/>
  <c r="D8" i="53"/>
  <c r="D8" i="59"/>
  <c r="H12" i="53"/>
  <c r="G12" i="59"/>
  <c r="J9" i="30"/>
  <c r="O9" i="30" s="1"/>
  <c r="H41" i="36"/>
  <c r="H96" i="36"/>
  <c r="W9" i="8"/>
  <c r="X9" i="8" s="1"/>
  <c r="AA15" i="6"/>
  <c r="B15" i="30" s="1"/>
  <c r="AD14" i="6"/>
  <c r="J14" i="30"/>
  <c r="O14" i="30" s="1"/>
  <c r="I12" i="53"/>
  <c r="C16" i="30"/>
  <c r="I13" i="53"/>
  <c r="D9" i="30"/>
  <c r="K9" i="30" s="1"/>
  <c r="P9" i="30" s="1"/>
  <c r="H84" i="36"/>
  <c r="H51" i="36"/>
  <c r="H128" i="36"/>
  <c r="H106" i="36"/>
  <c r="H95" i="36"/>
  <c r="H62" i="36"/>
  <c r="H52" i="36"/>
  <c r="H30" i="36"/>
  <c r="H63" i="36"/>
  <c r="H85" i="36"/>
  <c r="H107" i="36"/>
  <c r="M16" i="6"/>
  <c r="C16" i="6"/>
  <c r="H37" i="41"/>
  <c r="J37" i="41"/>
  <c r="G16" i="30"/>
  <c r="N16" i="30" s="1"/>
  <c r="V17" i="32"/>
  <c r="AQ11" i="8"/>
  <c r="AT11" i="8" s="1"/>
  <c r="J7" i="40"/>
  <c r="K7" i="40"/>
  <c r="AB9" i="6"/>
  <c r="C7" i="59" s="1"/>
  <c r="X14" i="8"/>
  <c r="V13" i="8"/>
  <c r="V11" i="8"/>
  <c r="D16" i="30"/>
  <c r="K16" i="30" s="1"/>
  <c r="P16" i="30" s="1"/>
  <c r="AX15" i="8"/>
  <c r="F15" i="30" s="1"/>
  <c r="AX11" i="8"/>
  <c r="F11" i="30" s="1"/>
  <c r="K14" i="30"/>
  <c r="P14" i="30" s="1"/>
  <c r="AA16" i="8"/>
  <c r="AD13" i="6"/>
  <c r="J13" i="30"/>
  <c r="O13" i="30" s="1"/>
  <c r="AF16" i="8"/>
  <c r="AK16" i="8"/>
  <c r="J72" i="37"/>
  <c r="I6" i="37"/>
  <c r="K6" i="37"/>
  <c r="J6" i="37"/>
  <c r="J64" i="40"/>
  <c r="J10" i="40"/>
  <c r="K10" i="40"/>
  <c r="I10" i="40"/>
  <c r="J69" i="40"/>
  <c r="J76" i="40"/>
  <c r="J28" i="40"/>
  <c r="J45" i="40"/>
  <c r="J57" i="40"/>
  <c r="J16" i="40"/>
  <c r="J40" i="40"/>
  <c r="J21" i="40"/>
  <c r="J63" i="40"/>
  <c r="J34" i="40"/>
  <c r="J39" i="40"/>
  <c r="J46" i="40"/>
  <c r="J27" i="40"/>
  <c r="J58" i="40"/>
  <c r="J70" i="40"/>
  <c r="J33" i="40"/>
  <c r="J22" i="40"/>
  <c r="J75" i="40"/>
  <c r="J51" i="40"/>
  <c r="K9" i="40"/>
  <c r="I9" i="40"/>
  <c r="J9" i="40"/>
  <c r="J52" i="40"/>
  <c r="J15" i="40"/>
  <c r="AQ10" i="8"/>
  <c r="AT10" i="8" s="1"/>
  <c r="AQ15" i="8"/>
  <c r="AT15" i="8" s="1"/>
  <c r="AX9" i="8"/>
  <c r="F9" i="30" s="1"/>
  <c r="AG16" i="7"/>
  <c r="AQ9" i="8"/>
  <c r="AT9" i="8" s="1"/>
  <c r="S9" i="32"/>
  <c r="V9" i="32" s="1"/>
  <c r="B9" i="30"/>
  <c r="AI17" i="7"/>
  <c r="AE17" i="7"/>
  <c r="AF17" i="7" s="1"/>
  <c r="AJ17" i="7"/>
  <c r="H18" i="6"/>
  <c r="X18" i="6" s="1"/>
  <c r="B18" i="8"/>
  <c r="AS18" i="8" s="1"/>
  <c r="L18" i="7"/>
  <c r="B18" i="32"/>
  <c r="U18" i="32" s="1"/>
  <c r="V18" i="32" s="1"/>
  <c r="L7" i="40"/>
  <c r="H12" i="36"/>
  <c r="H9" i="41"/>
  <c r="H8" i="41"/>
  <c r="H8" i="36"/>
  <c r="G9" i="36"/>
  <c r="H9" i="36" s="1"/>
  <c r="J50" i="40"/>
  <c r="T19" i="5"/>
  <c r="B18" i="6" s="1"/>
  <c r="U19" i="5"/>
  <c r="J49" i="37"/>
  <c r="J26" i="40"/>
  <c r="J25" i="40"/>
  <c r="J49" i="40"/>
  <c r="J8" i="40"/>
  <c r="L8" i="40" s="1"/>
  <c r="J32" i="40"/>
  <c r="J31" i="37"/>
  <c r="J13" i="37"/>
  <c r="K8" i="37"/>
  <c r="I8" i="37"/>
  <c r="J8" i="37"/>
  <c r="I7" i="37"/>
  <c r="K7" i="37"/>
  <c r="J7" i="37"/>
  <c r="J12" i="37"/>
  <c r="J73" i="37"/>
  <c r="J30" i="37"/>
  <c r="J48" i="37"/>
  <c r="J55" i="40"/>
  <c r="J44" i="40"/>
  <c r="O20" i="5"/>
  <c r="J36" i="37"/>
  <c r="J37" i="37"/>
  <c r="J68" i="40"/>
  <c r="J67" i="37"/>
  <c r="J66" i="37"/>
  <c r="J42" i="37"/>
  <c r="J43" i="37"/>
  <c r="J18" i="37"/>
  <c r="J55" i="37"/>
  <c r="J61" i="40"/>
  <c r="J24" i="37"/>
  <c r="J19" i="37"/>
  <c r="J54" i="37"/>
  <c r="J60" i="37"/>
  <c r="J25" i="37"/>
  <c r="J61" i="37"/>
  <c r="L6" i="40"/>
  <c r="G7" i="41"/>
  <c r="H7" i="41" s="1"/>
  <c r="G6" i="41"/>
  <c r="H6" i="41" s="1"/>
  <c r="AS14" i="8"/>
  <c r="AT14" i="8" s="1"/>
  <c r="X15" i="8"/>
  <c r="AT13" i="8"/>
  <c r="AS12" i="8"/>
  <c r="AT12" i="8" s="1"/>
  <c r="AS16" i="8"/>
  <c r="AS17" i="8"/>
  <c r="L16" i="37"/>
  <c r="L22" i="37"/>
  <c r="I28" i="37"/>
  <c r="Q5" i="4"/>
  <c r="AH17" i="4"/>
  <c r="AU89" i="4" l="1"/>
  <c r="AU65" i="4"/>
  <c r="AU102" i="4"/>
  <c r="AU77" i="4"/>
  <c r="AU53" i="4"/>
  <c r="AU92" i="4"/>
  <c r="AU88" i="4"/>
  <c r="AU64" i="4"/>
  <c r="AU76" i="4"/>
  <c r="AU52" i="4"/>
  <c r="AU101" i="4"/>
  <c r="AU87" i="4"/>
  <c r="AU63" i="4"/>
  <c r="AU51" i="4"/>
  <c r="AU100" i="4"/>
  <c r="AU75" i="4"/>
  <c r="AU86" i="4"/>
  <c r="AU62" i="4"/>
  <c r="AU74" i="4"/>
  <c r="AU50" i="4"/>
  <c r="AU85" i="4"/>
  <c r="AU61" i="4"/>
  <c r="AU99" i="4"/>
  <c r="AU97" i="4"/>
  <c r="AU73" i="4"/>
  <c r="AU49" i="4"/>
  <c r="AU80" i="4"/>
  <c r="AU84" i="4"/>
  <c r="AU60" i="4"/>
  <c r="AU48" i="4"/>
  <c r="AU96" i="4"/>
  <c r="AU72" i="4"/>
  <c r="AU32" i="4"/>
  <c r="AU104" i="4"/>
  <c r="AU83" i="4"/>
  <c r="AU59" i="4"/>
  <c r="AU47" i="4"/>
  <c r="AU95" i="4"/>
  <c r="AU71" i="4"/>
  <c r="AU44" i="4"/>
  <c r="AU68" i="4"/>
  <c r="AU103" i="4"/>
  <c r="AU46" i="4"/>
  <c r="AU82" i="4"/>
  <c r="AU58" i="4"/>
  <c r="AU94" i="4"/>
  <c r="AU70" i="4"/>
  <c r="AU56" i="4"/>
  <c r="AU106" i="4"/>
  <c r="AU81" i="4"/>
  <c r="AU57" i="4"/>
  <c r="AU33" i="4"/>
  <c r="AU45" i="4"/>
  <c r="AU93" i="4"/>
  <c r="AU69" i="4"/>
  <c r="AU91" i="4"/>
  <c r="AU67" i="4"/>
  <c r="AU42" i="4"/>
  <c r="AU55" i="4"/>
  <c r="AU78" i="4"/>
  <c r="AU105" i="4"/>
  <c r="AU79" i="4"/>
  <c r="AU43" i="4"/>
  <c r="AU31" i="4"/>
  <c r="AU54" i="4"/>
  <c r="AU90" i="4"/>
  <c r="AU66" i="4"/>
  <c r="AU98" i="4"/>
  <c r="AC19" i="4"/>
  <c r="AU9" i="4"/>
  <c r="AU12" i="4"/>
  <c r="AU18" i="4"/>
  <c r="AU35" i="4"/>
  <c r="AC21" i="4"/>
  <c r="AU11" i="4"/>
  <c r="AC18" i="4"/>
  <c r="AU26" i="4"/>
  <c r="AU15" i="4"/>
  <c r="AU40" i="4"/>
  <c r="AU13" i="4"/>
  <c r="AU17" i="4"/>
  <c r="AU38" i="4"/>
  <c r="AU19" i="4"/>
  <c r="AU8" i="4"/>
  <c r="AU21" i="4"/>
  <c r="AU36" i="4"/>
  <c r="AU25" i="4"/>
  <c r="AU23" i="4"/>
  <c r="AU24" i="4"/>
  <c r="AU14" i="4"/>
  <c r="AU29" i="4"/>
  <c r="AC17" i="4"/>
  <c r="E20" i="6" s="1"/>
  <c r="AU28" i="4"/>
  <c r="AU27" i="4"/>
  <c r="AC25" i="4"/>
  <c r="E20" i="32" s="1"/>
  <c r="AU37" i="4"/>
  <c r="AU34" i="4"/>
  <c r="AU10" i="4"/>
  <c r="AU22" i="4"/>
  <c r="AC20" i="4"/>
  <c r="D20" i="6" s="1"/>
  <c r="W20" i="6" s="1"/>
  <c r="AU20" i="4"/>
  <c r="AU7" i="4"/>
  <c r="AU30" i="4"/>
  <c r="AU41" i="4"/>
  <c r="AU16" i="4"/>
  <c r="AU39" i="4"/>
  <c r="AT6" i="4"/>
  <c r="E12" i="59"/>
  <c r="AA12" i="6"/>
  <c r="AB13" i="6"/>
  <c r="B13" i="30"/>
  <c r="AB11" i="6"/>
  <c r="C9" i="59" s="1"/>
  <c r="E13" i="59"/>
  <c r="AA10" i="6"/>
  <c r="AE16" i="6"/>
  <c r="W17" i="8"/>
  <c r="H15" i="59" s="1"/>
  <c r="I14" i="30"/>
  <c r="H14" i="30" s="1"/>
  <c r="AK15" i="6"/>
  <c r="F13" i="59" s="1"/>
  <c r="B14" i="30"/>
  <c r="C12" i="53"/>
  <c r="K10" i="53"/>
  <c r="L10" i="53" s="1"/>
  <c r="J10" i="59"/>
  <c r="K10" i="59" s="1"/>
  <c r="K11" i="53"/>
  <c r="L11" i="53" s="1"/>
  <c r="J11" i="59"/>
  <c r="K11" i="59" s="1"/>
  <c r="K7" i="53"/>
  <c r="L7" i="53" s="1"/>
  <c r="J7" i="59"/>
  <c r="K7" i="59" s="1"/>
  <c r="K8" i="53"/>
  <c r="L8" i="53" s="1"/>
  <c r="J8" i="59"/>
  <c r="K8" i="59" s="1"/>
  <c r="W12" i="8"/>
  <c r="H10" i="59" s="1"/>
  <c r="K9" i="53"/>
  <c r="L9" i="53" s="1"/>
  <c r="J9" i="59"/>
  <c r="K9" i="59" s="1"/>
  <c r="K12" i="53"/>
  <c r="L12" i="53" s="1"/>
  <c r="J12" i="59"/>
  <c r="K12" i="59" s="1"/>
  <c r="W13" i="8"/>
  <c r="H11" i="59" s="1"/>
  <c r="M15" i="53"/>
  <c r="L15" i="59"/>
  <c r="M16" i="53"/>
  <c r="L16" i="59"/>
  <c r="E14" i="53"/>
  <c r="E14" i="59"/>
  <c r="W10" i="8"/>
  <c r="H8" i="59" s="1"/>
  <c r="M7" i="53"/>
  <c r="L7" i="59"/>
  <c r="K13" i="53"/>
  <c r="L13" i="53" s="1"/>
  <c r="J13" i="59"/>
  <c r="K13" i="59" s="1"/>
  <c r="W11" i="8"/>
  <c r="H9" i="59" s="1"/>
  <c r="H7" i="59"/>
  <c r="D12" i="53"/>
  <c r="D12" i="59"/>
  <c r="AN12" i="59" s="1"/>
  <c r="AO12" i="59" s="1"/>
  <c r="H14" i="53"/>
  <c r="G14" i="59"/>
  <c r="D11" i="53"/>
  <c r="D11" i="59"/>
  <c r="AE9" i="6"/>
  <c r="AH15" i="6"/>
  <c r="AL15" i="6"/>
  <c r="AH14" i="6"/>
  <c r="AL14" i="6"/>
  <c r="AB15" i="6"/>
  <c r="AK14" i="6"/>
  <c r="F12" i="59" s="1"/>
  <c r="AI14" i="6"/>
  <c r="G12" i="53" s="1"/>
  <c r="I7" i="53"/>
  <c r="C17" i="30"/>
  <c r="I14" i="53"/>
  <c r="C7" i="53"/>
  <c r="M17" i="6"/>
  <c r="C17" i="6"/>
  <c r="V16" i="6"/>
  <c r="AA16" i="6" s="1"/>
  <c r="X16" i="8"/>
  <c r="G9" i="30"/>
  <c r="N9" i="30" s="1"/>
  <c r="AY14" i="8"/>
  <c r="L14" i="30" s="1"/>
  <c r="G18" i="30"/>
  <c r="N18" i="30" s="1"/>
  <c r="AY9" i="8"/>
  <c r="L9" i="30" s="1"/>
  <c r="G17" i="30"/>
  <c r="N17" i="30" s="1"/>
  <c r="L10" i="40"/>
  <c r="I9" i="30"/>
  <c r="H9" i="30" s="1"/>
  <c r="Y9" i="30" s="1"/>
  <c r="B6" i="39" s="1"/>
  <c r="AI9" i="6"/>
  <c r="D11" i="30"/>
  <c r="K11" i="30" s="1"/>
  <c r="P11" i="30" s="1"/>
  <c r="D12" i="30"/>
  <c r="K12" i="30" s="1"/>
  <c r="P12" i="30" s="1"/>
  <c r="D13" i="30"/>
  <c r="K13" i="30" s="1"/>
  <c r="P13" i="30" s="1"/>
  <c r="D10" i="30"/>
  <c r="K10" i="30" s="1"/>
  <c r="P10" i="30" s="1"/>
  <c r="AD16" i="6"/>
  <c r="J16" i="30"/>
  <c r="O16" i="30" s="1"/>
  <c r="AX16" i="8"/>
  <c r="F16" i="30" s="1"/>
  <c r="AQ16" i="8"/>
  <c r="AT16" i="8" s="1"/>
  <c r="AW16" i="8"/>
  <c r="E16" i="30" s="1"/>
  <c r="AA17" i="8"/>
  <c r="I11" i="30"/>
  <c r="AK17" i="8"/>
  <c r="L6" i="37"/>
  <c r="L9" i="40"/>
  <c r="AY15" i="8"/>
  <c r="AG17" i="7"/>
  <c r="AI18" i="7"/>
  <c r="AJ18" i="7"/>
  <c r="AE18" i="7"/>
  <c r="AF18" i="7" s="1"/>
  <c r="H19" i="6"/>
  <c r="X19" i="6" s="1"/>
  <c r="L19" i="7"/>
  <c r="B19" i="8"/>
  <c r="B19" i="32"/>
  <c r="U19" i="32" s="1"/>
  <c r="V19" i="32" s="1"/>
  <c r="U18" i="8"/>
  <c r="V18" i="8" s="1"/>
  <c r="AH18" i="4"/>
  <c r="L7" i="37"/>
  <c r="H18" i="41"/>
  <c r="J18" i="41" s="1"/>
  <c r="L8" i="37"/>
  <c r="U20" i="5"/>
  <c r="T20" i="5"/>
  <c r="B19" i="6" s="1"/>
  <c r="AY10" i="8"/>
  <c r="O21" i="5"/>
  <c r="AY11" i="8"/>
  <c r="AY13" i="8"/>
  <c r="AY12" i="8"/>
  <c r="L28" i="37"/>
  <c r="I34" i="37"/>
  <c r="N12" i="53" l="1"/>
  <c r="Q12" i="53" s="1"/>
  <c r="F12" i="53"/>
  <c r="C9" i="53"/>
  <c r="AU6" i="4"/>
  <c r="AJ5" i="4" s="1"/>
  <c r="C20" i="53" s="1"/>
  <c r="B12" i="30"/>
  <c r="AB12" i="6"/>
  <c r="X17" i="8"/>
  <c r="I15" i="53"/>
  <c r="AB10" i="6"/>
  <c r="AI10" i="6" s="1"/>
  <c r="G8" i="53" s="1"/>
  <c r="B10" i="30"/>
  <c r="I13" i="30"/>
  <c r="H13" i="30" s="1"/>
  <c r="X13" i="30" s="1"/>
  <c r="B14" i="38" s="1"/>
  <c r="C11" i="53"/>
  <c r="C11" i="59"/>
  <c r="P12" i="53"/>
  <c r="AD12" i="53" s="1"/>
  <c r="AE17" i="6"/>
  <c r="AE12" i="6"/>
  <c r="E10" i="59" s="1"/>
  <c r="AP12" i="53"/>
  <c r="AQ12" i="53" s="1"/>
  <c r="AE10" i="6"/>
  <c r="AK10" i="6" s="1"/>
  <c r="F8" i="59" s="1"/>
  <c r="I9" i="53"/>
  <c r="AE13" i="6"/>
  <c r="AK13" i="6" s="1"/>
  <c r="F11" i="59" s="1"/>
  <c r="M12" i="59"/>
  <c r="O12" i="59" s="1"/>
  <c r="AB12" i="59" s="1"/>
  <c r="K14" i="53"/>
  <c r="L14" i="53" s="1"/>
  <c r="J14" i="59"/>
  <c r="K14" i="59" s="1"/>
  <c r="W18" i="8"/>
  <c r="H16" i="59" s="1"/>
  <c r="AH9" i="6"/>
  <c r="E7" i="59"/>
  <c r="AN7" i="59" s="1"/>
  <c r="AO7" i="59" s="1"/>
  <c r="M17" i="53"/>
  <c r="L17" i="59"/>
  <c r="H15" i="53"/>
  <c r="G15" i="59"/>
  <c r="D14" i="53"/>
  <c r="D14" i="59"/>
  <c r="I15" i="30"/>
  <c r="H15" i="30" s="1"/>
  <c r="AB15" i="30" s="1"/>
  <c r="AO15" i="30" s="1"/>
  <c r="C13" i="59"/>
  <c r="AN13" i="59" s="1"/>
  <c r="AO13" i="59" s="1"/>
  <c r="G7" i="53"/>
  <c r="F7" i="59"/>
  <c r="E7" i="53"/>
  <c r="N7" i="53" s="1"/>
  <c r="AK9" i="6"/>
  <c r="AL9" i="6"/>
  <c r="C13" i="53"/>
  <c r="F13" i="53" s="1"/>
  <c r="AI15" i="6"/>
  <c r="G13" i="53" s="1"/>
  <c r="I8" i="53"/>
  <c r="I11" i="53"/>
  <c r="I10" i="53"/>
  <c r="D18" i="30"/>
  <c r="K18" i="30" s="1"/>
  <c r="P18" i="30" s="1"/>
  <c r="C18" i="30"/>
  <c r="AH12" i="6"/>
  <c r="V17" i="6"/>
  <c r="AA17" i="6" s="1"/>
  <c r="M18" i="6"/>
  <c r="C18" i="6"/>
  <c r="AB16" i="6"/>
  <c r="C14" i="59" s="1"/>
  <c r="B16" i="30"/>
  <c r="AZ14" i="8"/>
  <c r="M14" i="30" s="1"/>
  <c r="W14" i="30" s="1"/>
  <c r="B16" i="33" s="1"/>
  <c r="AZ9" i="8"/>
  <c r="M9" i="30" s="1"/>
  <c r="W9" i="30" s="1"/>
  <c r="B6" i="33" s="1"/>
  <c r="G19" i="30"/>
  <c r="N19" i="30" s="1"/>
  <c r="AH16" i="6"/>
  <c r="AL13" i="6"/>
  <c r="AB9" i="30"/>
  <c r="AM9" i="30" s="1"/>
  <c r="AL16" i="6"/>
  <c r="AI13" i="6"/>
  <c r="G11" i="53" s="1"/>
  <c r="AK16" i="6"/>
  <c r="F14" i="59" s="1"/>
  <c r="AI12" i="6"/>
  <c r="G10" i="53" s="1"/>
  <c r="AH13" i="6"/>
  <c r="X12" i="8"/>
  <c r="X10" i="8"/>
  <c r="X13" i="8"/>
  <c r="AE11" i="6"/>
  <c r="X11" i="8"/>
  <c r="X14" i="30"/>
  <c r="B16" i="38" s="1"/>
  <c r="AD17" i="6"/>
  <c r="J17" i="30"/>
  <c r="J6" i="39"/>
  <c r="J7" i="39"/>
  <c r="AZ15" i="8"/>
  <c r="M15" i="30" s="1"/>
  <c r="L15" i="30"/>
  <c r="AB14" i="30"/>
  <c r="AM14" i="30" s="1"/>
  <c r="Y14" i="30"/>
  <c r="AY16" i="8"/>
  <c r="AX17" i="8"/>
  <c r="F17" i="30" s="1"/>
  <c r="AK18" i="8"/>
  <c r="AA18" i="8"/>
  <c r="AZ12" i="8"/>
  <c r="M12" i="30" s="1"/>
  <c r="L12" i="30"/>
  <c r="AZ10" i="8"/>
  <c r="M10" i="30" s="1"/>
  <c r="L10" i="30"/>
  <c r="AZ13" i="8"/>
  <c r="M13" i="30" s="1"/>
  <c r="L13" i="30"/>
  <c r="AZ11" i="8"/>
  <c r="M11" i="30" s="1"/>
  <c r="L11" i="30"/>
  <c r="H11" i="30"/>
  <c r="AW17" i="8"/>
  <c r="E17" i="30" s="1"/>
  <c r="AG18" i="7"/>
  <c r="H20" i="6"/>
  <c r="X20" i="6" s="1"/>
  <c r="B20" i="8"/>
  <c r="L20" i="7"/>
  <c r="B20" i="32"/>
  <c r="U20" i="32" s="1"/>
  <c r="V20" i="32" s="1"/>
  <c r="U19" i="8"/>
  <c r="V19" i="8" s="1"/>
  <c r="AS19" i="8"/>
  <c r="AI19" i="7"/>
  <c r="AE19" i="7"/>
  <c r="AF19" i="7" s="1"/>
  <c r="AJ19" i="7"/>
  <c r="I38" i="37"/>
  <c r="I32" i="37"/>
  <c r="K32" i="37"/>
  <c r="K38" i="37" s="1"/>
  <c r="K44" i="37" s="1"/>
  <c r="K50" i="37" s="1"/>
  <c r="K56" i="37" s="1"/>
  <c r="K62" i="37" s="1"/>
  <c r="H27" i="41"/>
  <c r="J27" i="41" s="1"/>
  <c r="K20" i="37"/>
  <c r="K26" i="37" s="1"/>
  <c r="H24" i="41"/>
  <c r="J24" i="41" s="1"/>
  <c r="H23" i="41"/>
  <c r="J23" i="41" s="1"/>
  <c r="T21" i="5"/>
  <c r="B20" i="6" s="1"/>
  <c r="U21" i="5"/>
  <c r="X9" i="30"/>
  <c r="L38" i="37"/>
  <c r="I44" i="37"/>
  <c r="L34" i="37"/>
  <c r="I40" i="37"/>
  <c r="AK12" i="6" l="1"/>
  <c r="F10" i="59" s="1"/>
  <c r="AL12" i="6"/>
  <c r="E10" i="53"/>
  <c r="F7" i="53"/>
  <c r="AH10" i="6"/>
  <c r="C10" i="59"/>
  <c r="I12" i="30"/>
  <c r="H12" i="30" s="1"/>
  <c r="C10" i="53"/>
  <c r="F10" i="53" s="1"/>
  <c r="AN10" i="59"/>
  <c r="AO10" i="59" s="1"/>
  <c r="C8" i="53"/>
  <c r="C8" i="59"/>
  <c r="AN8" i="59" s="1"/>
  <c r="AO8" i="59" s="1"/>
  <c r="I10" i="30"/>
  <c r="H10" i="30" s="1"/>
  <c r="Y10" i="30" s="1"/>
  <c r="B8" i="39" s="1"/>
  <c r="E8" i="59"/>
  <c r="AL10" i="6"/>
  <c r="P7" i="53"/>
  <c r="AD7" i="53" s="1"/>
  <c r="Q7" i="53"/>
  <c r="E15" i="53"/>
  <c r="E15" i="59"/>
  <c r="E8" i="53"/>
  <c r="E11" i="53"/>
  <c r="AP11" i="53" s="1"/>
  <c r="AQ11" i="53" s="1"/>
  <c r="AQ15" i="30"/>
  <c r="AL15" i="30"/>
  <c r="AK15" i="30"/>
  <c r="AP15" i="30"/>
  <c r="E11" i="59"/>
  <c r="AN11" i="59" s="1"/>
  <c r="AO11" i="59" s="1"/>
  <c r="AM15" i="30"/>
  <c r="AE18" i="6"/>
  <c r="E16" i="53" s="1"/>
  <c r="AN14" i="59"/>
  <c r="AO14" i="59" s="1"/>
  <c r="N10" i="53"/>
  <c r="M7" i="59"/>
  <c r="O7" i="59" s="1"/>
  <c r="AB7" i="59" s="1"/>
  <c r="M14" i="59"/>
  <c r="O14" i="59" s="1"/>
  <c r="AB14" i="59" s="1"/>
  <c r="M11" i="59"/>
  <c r="O11" i="59" s="1"/>
  <c r="AB11" i="59" s="1"/>
  <c r="AP7" i="53"/>
  <c r="AQ7" i="53" s="1"/>
  <c r="M13" i="59"/>
  <c r="O13" i="59" s="1"/>
  <c r="AB13" i="59" s="1"/>
  <c r="M10" i="59"/>
  <c r="O10" i="59" s="1"/>
  <c r="AB10" i="59" s="1"/>
  <c r="Y15" i="30"/>
  <c r="B18" i="39" s="1"/>
  <c r="AN15" i="30"/>
  <c r="X15" i="30"/>
  <c r="B18" i="38" s="1"/>
  <c r="W19" i="8"/>
  <c r="H17" i="59" s="1"/>
  <c r="E9" i="53"/>
  <c r="F9" i="53" s="1"/>
  <c r="E9" i="59"/>
  <c r="M18" i="53"/>
  <c r="L18" i="59"/>
  <c r="D15" i="53"/>
  <c r="D15" i="59"/>
  <c r="H16" i="53"/>
  <c r="G16" i="59"/>
  <c r="N13" i="53"/>
  <c r="AP13" i="53"/>
  <c r="AQ13" i="53" s="1"/>
  <c r="N23" i="57"/>
  <c r="Y13" i="30"/>
  <c r="B14" i="39" s="1"/>
  <c r="J14" i="39" s="1"/>
  <c r="C19" i="30"/>
  <c r="D19" i="30"/>
  <c r="K19" i="30" s="1"/>
  <c r="P19" i="30" s="1"/>
  <c r="I16" i="53"/>
  <c r="AI16" i="6"/>
  <c r="G14" i="53" s="1"/>
  <c r="C14" i="53"/>
  <c r="F14" i="53" s="1"/>
  <c r="AB13" i="30"/>
  <c r="AL13" i="30" s="1"/>
  <c r="AH11" i="6"/>
  <c r="V18" i="6"/>
  <c r="AA18" i="6" s="1"/>
  <c r="AB18" i="6" s="1"/>
  <c r="I16" i="30"/>
  <c r="H16" i="30" s="1"/>
  <c r="AB16" i="30" s="1"/>
  <c r="M19" i="6"/>
  <c r="C19" i="6"/>
  <c r="AB17" i="6"/>
  <c r="C15" i="59" s="1"/>
  <c r="B17" i="30"/>
  <c r="G20" i="30"/>
  <c r="N20" i="30" s="1"/>
  <c r="AH17" i="6"/>
  <c r="N24" i="34"/>
  <c r="J24" i="34" s="1"/>
  <c r="T20" i="53" s="1"/>
  <c r="AE9" i="30"/>
  <c r="AF9" i="30" s="1"/>
  <c r="AK9" i="30"/>
  <c r="AN9" i="30"/>
  <c r="AQ9" i="30"/>
  <c r="AL9" i="30"/>
  <c r="AJ9" i="30"/>
  <c r="AO9" i="30"/>
  <c r="AP9" i="30"/>
  <c r="W13" i="30"/>
  <c r="W15" i="30"/>
  <c r="B18" i="33" s="1"/>
  <c r="AL11" i="6"/>
  <c r="AK11" i="6"/>
  <c r="F9" i="59" s="1"/>
  <c r="AI11" i="6"/>
  <c r="G9" i="53" s="1"/>
  <c r="AO14" i="30"/>
  <c r="AK14" i="30"/>
  <c r="AE14" i="30"/>
  <c r="AK17" i="6"/>
  <c r="F15" i="59" s="1"/>
  <c r="W11" i="30"/>
  <c r="B16" i="39"/>
  <c r="W12" i="30"/>
  <c r="AQ14" i="30"/>
  <c r="AD18" i="6"/>
  <c r="J18" i="30"/>
  <c r="AL17" i="6"/>
  <c r="AL14" i="30"/>
  <c r="O17" i="30"/>
  <c r="AZ16" i="8"/>
  <c r="M16" i="30" s="1"/>
  <c r="L16" i="30"/>
  <c r="AP14" i="30"/>
  <c r="AN14" i="30"/>
  <c r="AQ17" i="8"/>
  <c r="AT17" i="8" s="1"/>
  <c r="AA20" i="8"/>
  <c r="AW20" i="8" s="1"/>
  <c r="E20" i="30" s="1"/>
  <c r="AA19" i="8"/>
  <c r="AW18" i="8"/>
  <c r="E18" i="30" s="1"/>
  <c r="AX18" i="8"/>
  <c r="F18" i="30" s="1"/>
  <c r="AK19" i="8"/>
  <c r="Y11" i="30"/>
  <c r="B10" i="39" s="1"/>
  <c r="X11" i="30"/>
  <c r="B10" i="38" s="1"/>
  <c r="AB11" i="30"/>
  <c r="Y12" i="30"/>
  <c r="B12" i="39" s="1"/>
  <c r="X12" i="30"/>
  <c r="B12" i="38" s="1"/>
  <c r="AB12" i="30"/>
  <c r="AG19" i="7"/>
  <c r="X18" i="8"/>
  <c r="AI20" i="7"/>
  <c r="AJ20" i="7"/>
  <c r="AE20" i="7"/>
  <c r="AF20" i="7" s="1"/>
  <c r="U20" i="8"/>
  <c r="V20" i="8" s="1"/>
  <c r="AS20" i="8"/>
  <c r="K68" i="37"/>
  <c r="B6" i="38"/>
  <c r="H28" i="41"/>
  <c r="J28" i="41" s="1"/>
  <c r="H32" i="41"/>
  <c r="J32" i="41" s="1"/>
  <c r="L32" i="37"/>
  <c r="H29" i="41"/>
  <c r="J29" i="41" s="1"/>
  <c r="I50" i="37"/>
  <c r="L44" i="37"/>
  <c r="L40" i="37"/>
  <c r="I46" i="37"/>
  <c r="X10" i="30" l="1"/>
  <c r="B8" i="38" s="1"/>
  <c r="W10" i="30"/>
  <c r="AB10" i="30"/>
  <c r="F8" i="53"/>
  <c r="F11" i="53"/>
  <c r="N11" i="53"/>
  <c r="Q11" i="53" s="1"/>
  <c r="M8" i="59"/>
  <c r="O8" i="59" s="1"/>
  <c r="AB8" i="59" s="1"/>
  <c r="N8" i="53"/>
  <c r="AP8" i="53"/>
  <c r="AQ8" i="53" s="1"/>
  <c r="AP10" i="53"/>
  <c r="AQ10" i="53" s="1"/>
  <c r="P10" i="53"/>
  <c r="AD10" i="53" s="1"/>
  <c r="Q10" i="53"/>
  <c r="P13" i="53"/>
  <c r="AD13" i="53" s="1"/>
  <c r="Q13" i="53"/>
  <c r="E16" i="59"/>
  <c r="AN15" i="59"/>
  <c r="AO15" i="59" s="1"/>
  <c r="N9" i="53"/>
  <c r="AP9" i="53"/>
  <c r="AQ9" i="53" s="1"/>
  <c r="AN9" i="59"/>
  <c r="AO9" i="59" s="1"/>
  <c r="M9" i="59"/>
  <c r="O9" i="59" s="1"/>
  <c r="AB9" i="59" s="1"/>
  <c r="AE19" i="6"/>
  <c r="E17" i="53" s="1"/>
  <c r="W20" i="8"/>
  <c r="H18" i="59" s="1"/>
  <c r="K15" i="53"/>
  <c r="L15" i="53" s="1"/>
  <c r="J15" i="59"/>
  <c r="K15" i="59" s="1"/>
  <c r="M15" i="59" s="1"/>
  <c r="O15" i="59" s="1"/>
  <c r="AB15" i="59" s="1"/>
  <c r="D16" i="53"/>
  <c r="D16" i="59"/>
  <c r="J15" i="39"/>
  <c r="H17" i="53"/>
  <c r="G17" i="59"/>
  <c r="C16" i="53"/>
  <c r="C16" i="59"/>
  <c r="N14" i="53"/>
  <c r="AP14" i="53"/>
  <c r="AQ14" i="53" s="1"/>
  <c r="I17" i="53"/>
  <c r="AO13" i="30"/>
  <c r="C20" i="30"/>
  <c r="D20" i="30"/>
  <c r="K20" i="30" s="1"/>
  <c r="P20" i="30" s="1"/>
  <c r="AK13" i="30"/>
  <c r="AQ13" i="30"/>
  <c r="AP13" i="30"/>
  <c r="AN13" i="30"/>
  <c r="AI17" i="6"/>
  <c r="G15" i="53" s="1"/>
  <c r="C15" i="53"/>
  <c r="F15" i="53" s="1"/>
  <c r="AJ13" i="30"/>
  <c r="AM13" i="30"/>
  <c r="B18" i="30"/>
  <c r="X16" i="30"/>
  <c r="B20" i="38" s="1"/>
  <c r="Y16" i="30"/>
  <c r="B20" i="39" s="1"/>
  <c r="J21" i="39" s="1"/>
  <c r="V19" i="6"/>
  <c r="AA19" i="6" s="1"/>
  <c r="I17" i="30"/>
  <c r="H17" i="30" s="1"/>
  <c r="AB17" i="30" s="1"/>
  <c r="M20" i="6"/>
  <c r="C20" i="6"/>
  <c r="I18" i="30"/>
  <c r="H18" i="30" s="1"/>
  <c r="AY17" i="8"/>
  <c r="L17" i="30" s="1"/>
  <c r="AI18" i="6"/>
  <c r="G16" i="53" s="1"/>
  <c r="AE15" i="30"/>
  <c r="AK18" i="6"/>
  <c r="F16" i="59" s="1"/>
  <c r="AH18" i="6"/>
  <c r="W16" i="30"/>
  <c r="AF14" i="30"/>
  <c r="AL18" i="6"/>
  <c r="J19" i="39"/>
  <c r="J18" i="39"/>
  <c r="O18" i="30"/>
  <c r="J13" i="39"/>
  <c r="J12" i="39"/>
  <c r="AK16" i="30"/>
  <c r="AL16" i="30"/>
  <c r="AM16" i="30"/>
  <c r="AN16" i="30"/>
  <c r="AO16" i="30"/>
  <c r="AP16" i="30"/>
  <c r="AQ16" i="30"/>
  <c r="AD19" i="6"/>
  <c r="J19" i="30"/>
  <c r="J8" i="39"/>
  <c r="J9" i="39"/>
  <c r="J11" i="39"/>
  <c r="J10" i="39"/>
  <c r="J17" i="39"/>
  <c r="J16" i="39"/>
  <c r="AZ17" i="8"/>
  <c r="M17" i="30" s="1"/>
  <c r="AL12" i="30"/>
  <c r="AQ12" i="30"/>
  <c r="AO12" i="30"/>
  <c r="AP12" i="30"/>
  <c r="AJ12" i="30"/>
  <c r="AK12" i="30"/>
  <c r="AN12" i="30"/>
  <c r="AM12" i="30"/>
  <c r="AX19" i="8"/>
  <c r="F19" i="30" s="1"/>
  <c r="AK20" i="8"/>
  <c r="AX20" i="8" s="1"/>
  <c r="F20" i="30" s="1"/>
  <c r="B12" i="33"/>
  <c r="AE12" i="30"/>
  <c r="AE13" i="30"/>
  <c r="B14" i="33"/>
  <c r="AE10" i="30"/>
  <c r="AF10" i="30" s="1"/>
  <c r="AG10" i="30" s="1"/>
  <c r="B8" i="33"/>
  <c r="AM11" i="30"/>
  <c r="AK11" i="30"/>
  <c r="AQ11" i="30"/>
  <c r="AO11" i="30"/>
  <c r="AL11" i="30"/>
  <c r="AN11" i="30"/>
  <c r="AJ11" i="30"/>
  <c r="AP11" i="30"/>
  <c r="AQ18" i="8"/>
  <c r="AT18" i="8" s="1"/>
  <c r="AK10" i="30"/>
  <c r="AN10" i="30"/>
  <c r="AM10" i="30"/>
  <c r="AO10" i="30"/>
  <c r="AP10" i="30"/>
  <c r="AQ10" i="30"/>
  <c r="AL10" i="30"/>
  <c r="AJ10" i="30"/>
  <c r="AE11" i="30"/>
  <c r="B10" i="33"/>
  <c r="AW19" i="8"/>
  <c r="E19" i="30" s="1"/>
  <c r="AG9" i="30"/>
  <c r="C6" i="38"/>
  <c r="H7" i="38" s="1"/>
  <c r="AG20" i="7"/>
  <c r="X19" i="8"/>
  <c r="H24" i="36"/>
  <c r="H33" i="41"/>
  <c r="J33" i="41" s="1"/>
  <c r="H34" i="41"/>
  <c r="J34" i="41" s="1"/>
  <c r="L50" i="37"/>
  <c r="I56" i="37"/>
  <c r="L46" i="37"/>
  <c r="I52" i="37"/>
  <c r="P11" i="53" l="1"/>
  <c r="AD11" i="53" s="1"/>
  <c r="P8" i="53"/>
  <c r="AD8" i="53" s="1"/>
  <c r="Q8" i="53"/>
  <c r="AP16" i="53"/>
  <c r="AQ16" i="53" s="1"/>
  <c r="F16" i="53"/>
  <c r="P9" i="53"/>
  <c r="AD9" i="53" s="1"/>
  <c r="Q9" i="53"/>
  <c r="P14" i="53"/>
  <c r="AD14" i="53" s="1"/>
  <c r="Q14" i="53"/>
  <c r="AG14" i="30"/>
  <c r="C16" i="39" s="1"/>
  <c r="H17" i="39" s="1"/>
  <c r="AN16" i="59"/>
  <c r="AO16" i="59" s="1"/>
  <c r="E17" i="59"/>
  <c r="AE20" i="6"/>
  <c r="E18" i="53" s="1"/>
  <c r="K16" i="53"/>
  <c r="L16" i="53" s="1"/>
  <c r="N16" i="53" s="1"/>
  <c r="J16" i="59"/>
  <c r="K16" i="59" s="1"/>
  <c r="M16" i="59" s="1"/>
  <c r="O16" i="59" s="1"/>
  <c r="AB16" i="59" s="1"/>
  <c r="D17" i="53"/>
  <c r="D17" i="59"/>
  <c r="H18" i="53"/>
  <c r="G18" i="59"/>
  <c r="N15" i="53"/>
  <c r="AP15" i="53"/>
  <c r="AQ15" i="53" s="1"/>
  <c r="Y17" i="30"/>
  <c r="B22" i="39" s="1"/>
  <c r="J22" i="39" s="1"/>
  <c r="I18" i="53"/>
  <c r="X17" i="30"/>
  <c r="B22" i="38" s="1"/>
  <c r="V20" i="6"/>
  <c r="AA20" i="6" s="1"/>
  <c r="AB19" i="6"/>
  <c r="C17" i="59" s="1"/>
  <c r="B19" i="30"/>
  <c r="AY18" i="8"/>
  <c r="L18" i="30" s="1"/>
  <c r="AT15" i="30"/>
  <c r="AX15" i="30" s="1"/>
  <c r="C18" i="33" s="1"/>
  <c r="AF15" i="30"/>
  <c r="AL19" i="6"/>
  <c r="AH19" i="6"/>
  <c r="AE16" i="30"/>
  <c r="B20" i="33"/>
  <c r="AH9" i="30"/>
  <c r="C16" i="38"/>
  <c r="W17" i="30"/>
  <c r="AK19" i="6"/>
  <c r="F17" i="59" s="1"/>
  <c r="J20" i="39"/>
  <c r="AD20" i="6"/>
  <c r="J20" i="30"/>
  <c r="O19" i="30"/>
  <c r="AK17" i="30"/>
  <c r="AL17" i="30"/>
  <c r="AM17" i="30"/>
  <c r="AN17" i="30"/>
  <c r="AO17" i="30"/>
  <c r="AP17" i="30"/>
  <c r="AQ17" i="30"/>
  <c r="Y18" i="30"/>
  <c r="X18" i="30"/>
  <c r="AB18" i="30"/>
  <c r="AZ18" i="8"/>
  <c r="M18" i="30" s="1"/>
  <c r="AQ19" i="8"/>
  <c r="AT19" i="8" s="1"/>
  <c r="AF12" i="30"/>
  <c r="C12" i="38" s="1"/>
  <c r="C8" i="39"/>
  <c r="AH10" i="30"/>
  <c r="C8" i="38"/>
  <c r="AF13" i="30"/>
  <c r="AF11" i="30"/>
  <c r="AQ20" i="8"/>
  <c r="AT20" i="8" s="1"/>
  <c r="C6" i="39"/>
  <c r="G7" i="39" s="1"/>
  <c r="K74" i="37"/>
  <c r="X20" i="8"/>
  <c r="J7" i="38"/>
  <c r="G6" i="38"/>
  <c r="H6" i="38" s="1"/>
  <c r="J6" i="38" s="1"/>
  <c r="G7" i="38"/>
  <c r="H39" i="41"/>
  <c r="J39" i="41" s="1"/>
  <c r="H42" i="41"/>
  <c r="J42" i="41" s="1"/>
  <c r="K14" i="37"/>
  <c r="I14" i="37"/>
  <c r="H38" i="41"/>
  <c r="J38" i="41" s="1"/>
  <c r="H35" i="36"/>
  <c r="L56" i="37"/>
  <c r="I62" i="37"/>
  <c r="L52" i="37"/>
  <c r="I58" i="37"/>
  <c r="P16" i="53" l="1"/>
  <c r="AD16" i="53" s="1"/>
  <c r="Q16" i="53"/>
  <c r="P15" i="53"/>
  <c r="AD15" i="53" s="1"/>
  <c r="Q15" i="53"/>
  <c r="G17" i="39"/>
  <c r="AH14" i="30"/>
  <c r="AI14" i="30" s="1"/>
  <c r="AN17" i="59"/>
  <c r="AO17" i="59" s="1"/>
  <c r="E18" i="59"/>
  <c r="K17" i="53"/>
  <c r="L17" i="53" s="1"/>
  <c r="J17" i="59"/>
  <c r="K17" i="59" s="1"/>
  <c r="M17" i="59" s="1"/>
  <c r="O17" i="59" s="1"/>
  <c r="AB17" i="59" s="1"/>
  <c r="K18" i="53"/>
  <c r="L18" i="53" s="1"/>
  <c r="J18" i="59"/>
  <c r="K18" i="59" s="1"/>
  <c r="D18" i="53"/>
  <c r="D18" i="59"/>
  <c r="N22" i="57"/>
  <c r="AI19" i="6"/>
  <c r="G17" i="53" s="1"/>
  <c r="C17" i="53"/>
  <c r="F17" i="53" s="1"/>
  <c r="I19" i="30"/>
  <c r="H19" i="30" s="1"/>
  <c r="Y19" i="30" s="1"/>
  <c r="B20" i="30"/>
  <c r="AB20" i="6"/>
  <c r="C18" i="59" s="1"/>
  <c r="C18" i="38"/>
  <c r="N23" i="34"/>
  <c r="J23" i="34" s="1"/>
  <c r="S20" i="53" s="1"/>
  <c r="AY20" i="8"/>
  <c r="L20" i="30" s="1"/>
  <c r="AY19" i="8"/>
  <c r="L19" i="30" s="1"/>
  <c r="AF16" i="30"/>
  <c r="AG16" i="30" s="1"/>
  <c r="C20" i="39" s="1"/>
  <c r="AG15" i="30"/>
  <c r="C18" i="39" s="1"/>
  <c r="AG11" i="30"/>
  <c r="C10" i="39" s="1"/>
  <c r="H11" i="39" s="1"/>
  <c r="AI10" i="30"/>
  <c r="AY10" i="30" s="1"/>
  <c r="B17" i="36" s="1"/>
  <c r="AI9" i="30"/>
  <c r="B24" i="39"/>
  <c r="B24" i="38"/>
  <c r="AL20" i="6"/>
  <c r="AH20" i="6"/>
  <c r="AE17" i="30"/>
  <c r="B22" i="33"/>
  <c r="W18" i="30"/>
  <c r="B24" i="33" s="1"/>
  <c r="G17" i="38"/>
  <c r="J17" i="38"/>
  <c r="AT16" i="30"/>
  <c r="AX16" i="30" s="1"/>
  <c r="C20" i="33" s="1"/>
  <c r="J16" i="38"/>
  <c r="H17" i="38"/>
  <c r="AC14" i="30"/>
  <c r="Z14" i="30" s="1"/>
  <c r="AG12" i="30"/>
  <c r="C12" i="39" s="1"/>
  <c r="H13" i="39" s="1"/>
  <c r="AK20" i="6"/>
  <c r="F18" i="59" s="1"/>
  <c r="J23" i="39"/>
  <c r="AK18" i="30"/>
  <c r="AL18" i="30"/>
  <c r="AM18" i="30"/>
  <c r="AN18" i="30"/>
  <c r="AO18" i="30"/>
  <c r="AP18" i="30"/>
  <c r="AQ18" i="30"/>
  <c r="O20" i="30"/>
  <c r="AZ19" i="8"/>
  <c r="M19" i="30" s="1"/>
  <c r="AZ20" i="8"/>
  <c r="M20" i="30" s="1"/>
  <c r="G9" i="39"/>
  <c r="H9" i="39"/>
  <c r="AG13" i="30"/>
  <c r="C14" i="39" s="1"/>
  <c r="C14" i="38"/>
  <c r="J13" i="38"/>
  <c r="H13" i="38"/>
  <c r="G13" i="38"/>
  <c r="J12" i="38"/>
  <c r="C10" i="38"/>
  <c r="G6" i="39"/>
  <c r="H6" i="39" s="1"/>
  <c r="H7" i="39"/>
  <c r="J9" i="38"/>
  <c r="H9" i="38"/>
  <c r="G9" i="38"/>
  <c r="J8" i="38"/>
  <c r="G8" i="38"/>
  <c r="H8" i="38" s="1"/>
  <c r="H34" i="36"/>
  <c r="I20" i="37"/>
  <c r="L14" i="37"/>
  <c r="H47" i="41"/>
  <c r="J47" i="41" s="1"/>
  <c r="H44" i="41"/>
  <c r="J44" i="41" s="1"/>
  <c r="H46" i="36"/>
  <c r="L62" i="37"/>
  <c r="I68" i="37"/>
  <c r="L58" i="37"/>
  <c r="I64" i="37"/>
  <c r="AJ14" i="30" l="1"/>
  <c r="AY14" i="30" s="1"/>
  <c r="B61" i="36" s="1"/>
  <c r="C61" i="36" s="1"/>
  <c r="AN18" i="59"/>
  <c r="AO18" i="59" s="1"/>
  <c r="M18" i="59"/>
  <c r="O18" i="59" s="1"/>
  <c r="AB18" i="59" s="1"/>
  <c r="N17" i="53"/>
  <c r="AP17" i="53"/>
  <c r="AQ17" i="53" s="1"/>
  <c r="X19" i="30"/>
  <c r="B26" i="38" s="1"/>
  <c r="AB19" i="30"/>
  <c r="AI20" i="6"/>
  <c r="G18" i="53" s="1"/>
  <c r="C18" i="53"/>
  <c r="F18" i="53" s="1"/>
  <c r="I20" i="30"/>
  <c r="H20" i="30" s="1"/>
  <c r="Y20" i="30" s="1"/>
  <c r="AY9" i="30"/>
  <c r="B6" i="36" s="1"/>
  <c r="AC9" i="30"/>
  <c r="C20" i="38"/>
  <c r="J20" i="38" s="1"/>
  <c r="AC10" i="30"/>
  <c r="Z10" i="30" s="1"/>
  <c r="AA10" i="30" s="1"/>
  <c r="AV10" i="30" s="1"/>
  <c r="AT17" i="30"/>
  <c r="AX17" i="30" s="1"/>
  <c r="C22" i="33" s="1"/>
  <c r="AH11" i="30"/>
  <c r="AI11" i="30" s="1"/>
  <c r="G11" i="39"/>
  <c r="C19" i="36"/>
  <c r="J20" i="36" s="1"/>
  <c r="C23" i="36"/>
  <c r="J23" i="36" s="1"/>
  <c r="C17" i="36"/>
  <c r="J17" i="36" s="1"/>
  <c r="C21" i="36"/>
  <c r="J21" i="36" s="1"/>
  <c r="C25" i="36"/>
  <c r="J25" i="36" s="1"/>
  <c r="AH15" i="30"/>
  <c r="G19" i="39"/>
  <c r="H19" i="39"/>
  <c r="G13" i="39"/>
  <c r="AH12" i="30"/>
  <c r="AI12" i="30" s="1"/>
  <c r="AY12" i="30" s="1"/>
  <c r="B39" i="36" s="1"/>
  <c r="AF17" i="30"/>
  <c r="AH16" i="30"/>
  <c r="AI16" i="30" s="1"/>
  <c r="W19" i="30"/>
  <c r="B26" i="33" s="1"/>
  <c r="B26" i="39"/>
  <c r="J27" i="39" s="1"/>
  <c r="G21" i="39"/>
  <c r="H21" i="39"/>
  <c r="AT9" i="30"/>
  <c r="AX9" i="30" s="1"/>
  <c r="C6" i="33" s="1"/>
  <c r="J18" i="38"/>
  <c r="J19" i="38"/>
  <c r="G19" i="38"/>
  <c r="H19" i="38"/>
  <c r="AA14" i="30"/>
  <c r="AS14" i="30"/>
  <c r="AR14" i="30"/>
  <c r="J24" i="39"/>
  <c r="J25" i="39"/>
  <c r="AE18" i="30"/>
  <c r="AH13" i="30"/>
  <c r="G8" i="39"/>
  <c r="AC12" i="30"/>
  <c r="Z12" i="30" s="1"/>
  <c r="H15" i="39"/>
  <c r="G15" i="39"/>
  <c r="J11" i="38"/>
  <c r="H11" i="38"/>
  <c r="G11" i="38"/>
  <c r="J10" i="38"/>
  <c r="G10" i="38"/>
  <c r="H10" i="38" s="1"/>
  <c r="J15" i="38"/>
  <c r="H15" i="38"/>
  <c r="G15" i="38"/>
  <c r="J14" i="38"/>
  <c r="H48" i="41"/>
  <c r="J48" i="41" s="1"/>
  <c r="H52" i="41"/>
  <c r="J52" i="41" s="1"/>
  <c r="I26" i="37"/>
  <c r="L26" i="37" s="1"/>
  <c r="L20" i="37"/>
  <c r="H45" i="36"/>
  <c r="H57" i="36"/>
  <c r="L68" i="37"/>
  <c r="I74" i="37"/>
  <c r="L74" i="37" s="1"/>
  <c r="I70" i="37"/>
  <c r="L64" i="37"/>
  <c r="P17" i="53" l="1"/>
  <c r="AD17" i="53" s="1"/>
  <c r="Q17" i="53"/>
  <c r="C63" i="36"/>
  <c r="J64" i="36" s="1"/>
  <c r="C65" i="36"/>
  <c r="C67" i="36"/>
  <c r="J67" i="36" s="1"/>
  <c r="C69" i="36"/>
  <c r="J70" i="36" s="1"/>
  <c r="AJ16" i="30"/>
  <c r="AO19" i="30"/>
  <c r="AM19" i="30"/>
  <c r="AQ19" i="30"/>
  <c r="AL19" i="30"/>
  <c r="AP19" i="30"/>
  <c r="AK19" i="30"/>
  <c r="N18" i="53"/>
  <c r="AP18" i="53"/>
  <c r="AQ18" i="53" s="1"/>
  <c r="C12" i="36"/>
  <c r="J12" i="36" s="1"/>
  <c r="P27" i="34"/>
  <c r="O27" i="34" s="1"/>
  <c r="AN19" i="30"/>
  <c r="H21" i="38"/>
  <c r="J21" i="38"/>
  <c r="G21" i="38"/>
  <c r="AB20" i="30"/>
  <c r="X20" i="30"/>
  <c r="B28" i="38" s="1"/>
  <c r="W20" i="30"/>
  <c r="B28" i="33" s="1"/>
  <c r="G24" i="36"/>
  <c r="G25" i="36"/>
  <c r="G26" i="36"/>
  <c r="G17" i="36"/>
  <c r="H17" i="36" s="1"/>
  <c r="G18" i="36"/>
  <c r="H18" i="36" s="1"/>
  <c r="C8" i="36"/>
  <c r="J8" i="36" s="1"/>
  <c r="J9" i="36" s="1"/>
  <c r="C14" i="36"/>
  <c r="J15" i="36" s="1"/>
  <c r="AC11" i="30"/>
  <c r="Z11" i="30" s="1"/>
  <c r="AA11" i="30" s="1"/>
  <c r="C6" i="36"/>
  <c r="J6" i="36" s="1"/>
  <c r="C10" i="36"/>
  <c r="J10" i="36" s="1"/>
  <c r="J11" i="36" s="1"/>
  <c r="AC16" i="30"/>
  <c r="Z16" i="30" s="1"/>
  <c r="AA16" i="30" s="1"/>
  <c r="AV16" i="30" s="1"/>
  <c r="Z9" i="30"/>
  <c r="AA9" i="30" s="1"/>
  <c r="AV9" i="30" s="1"/>
  <c r="C6" i="40" s="1"/>
  <c r="AR9" i="30"/>
  <c r="AS9" i="30"/>
  <c r="C22" i="38"/>
  <c r="J23" i="38" s="1"/>
  <c r="AS10" i="30"/>
  <c r="AR10" i="30"/>
  <c r="AY11" i="30"/>
  <c r="B28" i="36" s="1"/>
  <c r="C36" i="36" s="1"/>
  <c r="J36" i="36" s="1"/>
  <c r="AE19" i="30"/>
  <c r="AF18" i="30"/>
  <c r="C45" i="36"/>
  <c r="J46" i="36" s="1"/>
  <c r="C41" i="36"/>
  <c r="J42" i="36" s="1"/>
  <c r="C39" i="36"/>
  <c r="J39" i="36" s="1"/>
  <c r="C47" i="36"/>
  <c r="J48" i="36" s="1"/>
  <c r="C43" i="36"/>
  <c r="J43" i="36" s="1"/>
  <c r="AY16" i="30"/>
  <c r="B83" i="36" s="1"/>
  <c r="AI15" i="30"/>
  <c r="J26" i="39"/>
  <c r="AG17" i="30"/>
  <c r="AH17" i="30" s="1"/>
  <c r="AI13" i="30"/>
  <c r="AY13" i="30" s="1"/>
  <c r="B50" i="36" s="1"/>
  <c r="B28" i="39"/>
  <c r="J28" i="39" s="1"/>
  <c r="AT14" i="30"/>
  <c r="AX14" i="30" s="1"/>
  <c r="C16" i="33" s="1"/>
  <c r="J65" i="36"/>
  <c r="J66" i="36"/>
  <c r="J62" i="36"/>
  <c r="J61" i="36"/>
  <c r="AZ14" i="30"/>
  <c r="B31" i="41" s="1"/>
  <c r="AR12" i="30"/>
  <c r="AA12" i="30"/>
  <c r="J19" i="36"/>
  <c r="J18" i="36"/>
  <c r="J22" i="36"/>
  <c r="J24" i="36"/>
  <c r="J26" i="36"/>
  <c r="G12" i="38"/>
  <c r="AS12" i="30"/>
  <c r="H8" i="39"/>
  <c r="G10" i="39"/>
  <c r="C12" i="40"/>
  <c r="N17" i="40" s="1"/>
  <c r="D12" i="40"/>
  <c r="H14" i="41"/>
  <c r="J14" i="41" s="1"/>
  <c r="H12" i="41"/>
  <c r="J12" i="41" s="1"/>
  <c r="H53" i="41"/>
  <c r="J53" i="41" s="1"/>
  <c r="H68" i="36"/>
  <c r="H56" i="36"/>
  <c r="H57" i="41"/>
  <c r="J57" i="41" s="1"/>
  <c r="H54" i="41"/>
  <c r="J54" i="41" s="1"/>
  <c r="L70" i="37"/>
  <c r="I76" i="37"/>
  <c r="L76" i="37" s="1"/>
  <c r="P18" i="53" l="1"/>
  <c r="AD18" i="53" s="1"/>
  <c r="Q18" i="53"/>
  <c r="J63" i="36"/>
  <c r="J68" i="36"/>
  <c r="J69" i="36"/>
  <c r="AJ15" i="30"/>
  <c r="AY15" i="30" s="1"/>
  <c r="B72" i="36" s="1"/>
  <c r="AE20" i="30"/>
  <c r="AF20" i="30"/>
  <c r="C28" i="38" s="1"/>
  <c r="J28" i="38" s="1"/>
  <c r="AQ20" i="30"/>
  <c r="AL20" i="30"/>
  <c r="AO20" i="30"/>
  <c r="AP20" i="30"/>
  <c r="AK20" i="30"/>
  <c r="AM20" i="30"/>
  <c r="N10" i="40"/>
  <c r="N11" i="40"/>
  <c r="N25" i="57" s="1"/>
  <c r="K13" i="40"/>
  <c r="AN20" i="30"/>
  <c r="N9" i="40"/>
  <c r="N6" i="40"/>
  <c r="AS11" i="30"/>
  <c r="N7" i="40"/>
  <c r="AU9" i="30"/>
  <c r="C6" i="37" s="1"/>
  <c r="AZ9" i="30"/>
  <c r="B6" i="41" s="1"/>
  <c r="C6" i="41" s="1"/>
  <c r="J6" i="41" s="1"/>
  <c r="J10" i="41" s="1"/>
  <c r="G23" i="38"/>
  <c r="J14" i="36"/>
  <c r="J7" i="36"/>
  <c r="N8" i="40"/>
  <c r="AR11" i="30"/>
  <c r="H23" i="38"/>
  <c r="J22" i="38"/>
  <c r="J44" i="36"/>
  <c r="AC13" i="30"/>
  <c r="AS13" i="30" s="1"/>
  <c r="C24" i="38"/>
  <c r="J25" i="38" s="1"/>
  <c r="AR16" i="30"/>
  <c r="AS16" i="30"/>
  <c r="AC15" i="30"/>
  <c r="Z15" i="30" s="1"/>
  <c r="AA15" i="30" s="1"/>
  <c r="AV15" i="30" s="1"/>
  <c r="AT10" i="30"/>
  <c r="AX10" i="30" s="1"/>
  <c r="C8" i="33" s="1"/>
  <c r="K8" i="33" s="1"/>
  <c r="K9" i="33" s="1"/>
  <c r="AZ10" i="30"/>
  <c r="B11" i="41" s="1"/>
  <c r="AI17" i="30"/>
  <c r="AF19" i="30"/>
  <c r="C28" i="36"/>
  <c r="J28" i="36" s="1"/>
  <c r="G28" i="36"/>
  <c r="G39" i="36" s="1"/>
  <c r="G37" i="36"/>
  <c r="G48" i="36" s="1"/>
  <c r="G59" i="36" s="1"/>
  <c r="G70" i="36" s="1"/>
  <c r="C32" i="36"/>
  <c r="J33" i="36" s="1"/>
  <c r="G34" i="36"/>
  <c r="G45" i="36" s="1"/>
  <c r="G56" i="36" s="1"/>
  <c r="G67" i="36" s="1"/>
  <c r="C30" i="36"/>
  <c r="J31" i="36" s="1"/>
  <c r="G35" i="36"/>
  <c r="G46" i="36" s="1"/>
  <c r="G57" i="36" s="1"/>
  <c r="G68" i="36" s="1"/>
  <c r="C34" i="36"/>
  <c r="J34" i="36" s="1"/>
  <c r="G36" i="36"/>
  <c r="G47" i="36" s="1"/>
  <c r="G58" i="36" s="1"/>
  <c r="AT19" i="30"/>
  <c r="AX19" i="30" s="1"/>
  <c r="C26" i="33" s="1"/>
  <c r="K26" i="33" s="1"/>
  <c r="K27" i="33" s="1"/>
  <c r="J47" i="36"/>
  <c r="J45" i="36"/>
  <c r="I13" i="37"/>
  <c r="L13" i="37" s="1"/>
  <c r="K13" i="37"/>
  <c r="K15" i="40"/>
  <c r="I13" i="40"/>
  <c r="L13" i="40" s="1"/>
  <c r="AU14" i="30"/>
  <c r="D36" i="37" s="1"/>
  <c r="J40" i="36"/>
  <c r="D48" i="40"/>
  <c r="C48" i="40"/>
  <c r="N53" i="40" s="1"/>
  <c r="J37" i="36"/>
  <c r="K12" i="40"/>
  <c r="I15" i="40"/>
  <c r="I16" i="40"/>
  <c r="AG18" i="30"/>
  <c r="AH18" i="30" s="1"/>
  <c r="I12" i="40"/>
  <c r="C54" i="36"/>
  <c r="J54" i="36" s="1"/>
  <c r="C52" i="36"/>
  <c r="J52" i="36" s="1"/>
  <c r="C56" i="36"/>
  <c r="J57" i="36" s="1"/>
  <c r="C50" i="36"/>
  <c r="J51" i="36" s="1"/>
  <c r="C58" i="36"/>
  <c r="J59" i="36" s="1"/>
  <c r="K14" i="40"/>
  <c r="K16" i="40"/>
  <c r="C87" i="36"/>
  <c r="C83" i="36"/>
  <c r="C91" i="36"/>
  <c r="C85" i="36"/>
  <c r="C89" i="36"/>
  <c r="I14" i="40"/>
  <c r="J27" i="36"/>
  <c r="J29" i="39"/>
  <c r="J41" i="36"/>
  <c r="C22" i="39"/>
  <c r="J71" i="36"/>
  <c r="K16" i="33"/>
  <c r="K17" i="33" s="1"/>
  <c r="AT11" i="30"/>
  <c r="AT12" i="30"/>
  <c r="AX12" i="30" s="1"/>
  <c r="C12" i="33" s="1"/>
  <c r="K22" i="33"/>
  <c r="K23" i="33" s="1"/>
  <c r="K18" i="33"/>
  <c r="K20" i="33"/>
  <c r="K21" i="33" s="1"/>
  <c r="AZ12" i="30"/>
  <c r="B21" i="41" s="1"/>
  <c r="C23" i="41" s="1"/>
  <c r="AV14" i="30"/>
  <c r="C31" i="41"/>
  <c r="C33" i="41"/>
  <c r="H12" i="38"/>
  <c r="G14" i="38"/>
  <c r="AV12" i="30"/>
  <c r="D24" i="40" s="1"/>
  <c r="H10" i="39"/>
  <c r="G12" i="39"/>
  <c r="AV11" i="30"/>
  <c r="N16" i="40"/>
  <c r="N12" i="40"/>
  <c r="N13" i="40"/>
  <c r="N15" i="40"/>
  <c r="N14" i="40"/>
  <c r="H17" i="41"/>
  <c r="J17" i="41" s="1"/>
  <c r="H79" i="36"/>
  <c r="H58" i="41"/>
  <c r="J58" i="41" s="1"/>
  <c r="H59" i="41"/>
  <c r="J59" i="41" s="1"/>
  <c r="H67" i="36"/>
  <c r="J13" i="36"/>
  <c r="J16" i="36" s="1"/>
  <c r="C78" i="36" l="1"/>
  <c r="J79" i="36" s="1"/>
  <c r="C74" i="36"/>
  <c r="J75" i="36" s="1"/>
  <c r="C72" i="36"/>
  <c r="J73" i="36" s="1"/>
  <c r="C80" i="36"/>
  <c r="J81" i="36" s="1"/>
  <c r="C76" i="36"/>
  <c r="J76" i="36" s="1"/>
  <c r="G79" i="36"/>
  <c r="G90" i="36" s="1"/>
  <c r="G81" i="36"/>
  <c r="G92" i="36" s="1"/>
  <c r="G78" i="36"/>
  <c r="G89" i="36" s="1"/>
  <c r="AJ17" i="30"/>
  <c r="AY17" i="30" s="1"/>
  <c r="B94" i="36" s="1"/>
  <c r="Z13" i="30"/>
  <c r="AU11" i="30"/>
  <c r="N27" i="34"/>
  <c r="J27" i="34" s="1"/>
  <c r="W20" i="53" s="1"/>
  <c r="N26" i="57"/>
  <c r="N28" i="34"/>
  <c r="J28" i="34" s="1"/>
  <c r="AA20" i="53" s="1"/>
  <c r="N27" i="57"/>
  <c r="AU16" i="30"/>
  <c r="C48" i="37" s="1"/>
  <c r="AG20" i="30"/>
  <c r="AZ11" i="30"/>
  <c r="B16" i="41" s="1"/>
  <c r="C18" i="41" s="1"/>
  <c r="N8" i="37"/>
  <c r="H29" i="38"/>
  <c r="N7" i="37"/>
  <c r="N9" i="37"/>
  <c r="N10" i="37"/>
  <c r="N6" i="37"/>
  <c r="J29" i="38"/>
  <c r="G25" i="38"/>
  <c r="J7" i="41"/>
  <c r="G29" i="38"/>
  <c r="C8" i="41"/>
  <c r="J30" i="36"/>
  <c r="AR13" i="30"/>
  <c r="AZ13" i="30" s="1"/>
  <c r="B26" i="41" s="1"/>
  <c r="H28" i="36"/>
  <c r="H25" i="38"/>
  <c r="J24" i="38"/>
  <c r="AC17" i="30"/>
  <c r="Z17" i="30" s="1"/>
  <c r="AA17" i="30" s="1"/>
  <c r="AV17" i="30" s="1"/>
  <c r="C54" i="40" s="1"/>
  <c r="N59" i="40" s="1"/>
  <c r="C26" i="38"/>
  <c r="H27" i="38" s="1"/>
  <c r="AR15" i="30"/>
  <c r="AS15" i="30"/>
  <c r="AZ16" i="30"/>
  <c r="B41" i="41" s="1"/>
  <c r="G12" i="41"/>
  <c r="G13" i="41"/>
  <c r="C11" i="41"/>
  <c r="G14" i="41"/>
  <c r="C13" i="41"/>
  <c r="G11" i="41"/>
  <c r="H11" i="41" s="1"/>
  <c r="J11" i="41" s="1"/>
  <c r="J15" i="41" s="1"/>
  <c r="AU10" i="30"/>
  <c r="J29" i="36"/>
  <c r="G69" i="36"/>
  <c r="H58" i="36"/>
  <c r="AI18" i="30"/>
  <c r="AG19" i="30"/>
  <c r="J35" i="36"/>
  <c r="J32" i="36"/>
  <c r="J49" i="36"/>
  <c r="J56" i="36"/>
  <c r="J55" i="36"/>
  <c r="J58" i="36"/>
  <c r="L15" i="40"/>
  <c r="J50" i="36"/>
  <c r="AA13" i="30"/>
  <c r="AU12" i="30"/>
  <c r="D24" i="37" s="1"/>
  <c r="AT20" i="30"/>
  <c r="AX20" i="30" s="1"/>
  <c r="C28" i="33" s="1"/>
  <c r="K28" i="33" s="1"/>
  <c r="C24" i="39"/>
  <c r="G25" i="39" s="1"/>
  <c r="AT18" i="30"/>
  <c r="D42" i="40"/>
  <c r="C42" i="40"/>
  <c r="N47" i="40" s="1"/>
  <c r="L16" i="40"/>
  <c r="L12" i="40"/>
  <c r="L14" i="40"/>
  <c r="J53" i="36"/>
  <c r="H23" i="39"/>
  <c r="G23" i="39"/>
  <c r="C36" i="37"/>
  <c r="K19" i="33"/>
  <c r="AT13" i="30"/>
  <c r="AX13" i="30" s="1"/>
  <c r="C14" i="33" s="1"/>
  <c r="C21" i="41"/>
  <c r="K12" i="33"/>
  <c r="K13" i="33" s="1"/>
  <c r="AX11" i="30"/>
  <c r="C10" i="33" s="1"/>
  <c r="J87" i="36"/>
  <c r="J88" i="36"/>
  <c r="D36" i="40"/>
  <c r="C36" i="40"/>
  <c r="N41" i="40" s="1"/>
  <c r="J90" i="36"/>
  <c r="J89" i="36"/>
  <c r="J91" i="36"/>
  <c r="J92" i="36"/>
  <c r="J86" i="36"/>
  <c r="J85" i="36"/>
  <c r="J84" i="36"/>
  <c r="J83" i="36"/>
  <c r="H39" i="36"/>
  <c r="G50" i="36"/>
  <c r="H14" i="38"/>
  <c r="G16" i="38"/>
  <c r="C24" i="40"/>
  <c r="N29" i="40" s="1"/>
  <c r="H12" i="39"/>
  <c r="G14" i="39"/>
  <c r="O17" i="40"/>
  <c r="D18" i="40"/>
  <c r="C18" i="40"/>
  <c r="N23" i="40" s="1"/>
  <c r="H22" i="41"/>
  <c r="J22" i="41" s="1"/>
  <c r="D6" i="37"/>
  <c r="H78" i="36"/>
  <c r="H90" i="36"/>
  <c r="D6" i="40"/>
  <c r="N26" i="34" s="1"/>
  <c r="J26" i="34" s="1"/>
  <c r="V20" i="53" s="1"/>
  <c r="J77" i="36" l="1"/>
  <c r="J72" i="36"/>
  <c r="J74" i="36"/>
  <c r="J78" i="36"/>
  <c r="J80" i="36"/>
  <c r="N11" i="37"/>
  <c r="N24" i="57" s="1"/>
  <c r="C96" i="36"/>
  <c r="J96" i="36" s="1"/>
  <c r="C102" i="36"/>
  <c r="J103" i="36" s="1"/>
  <c r="C100" i="36"/>
  <c r="J100" i="36" s="1"/>
  <c r="C98" i="36"/>
  <c r="J99" i="36" s="1"/>
  <c r="G103" i="36"/>
  <c r="G101" i="36"/>
  <c r="C94" i="36"/>
  <c r="J94" i="36" s="1"/>
  <c r="C28" i="39"/>
  <c r="G29" i="39" s="1"/>
  <c r="AH20" i="30"/>
  <c r="AI20" i="30" s="1"/>
  <c r="AJ18" i="30"/>
  <c r="AY18" i="30" s="1"/>
  <c r="B105" i="36" s="1"/>
  <c r="C16" i="41"/>
  <c r="D48" i="37"/>
  <c r="G19" i="41"/>
  <c r="G24" i="41" s="1"/>
  <c r="G29" i="41" s="1"/>
  <c r="G34" i="41" s="1"/>
  <c r="G17" i="41"/>
  <c r="G22" i="41" s="1"/>
  <c r="G27" i="41" s="1"/>
  <c r="G32" i="41" s="1"/>
  <c r="G18" i="41"/>
  <c r="G23" i="41" s="1"/>
  <c r="G28" i="41" s="1"/>
  <c r="G33" i="41" s="1"/>
  <c r="AU15" i="30"/>
  <c r="C42" i="37" s="1"/>
  <c r="N45" i="37" s="1"/>
  <c r="D54" i="40"/>
  <c r="J8" i="41"/>
  <c r="J9" i="41"/>
  <c r="G16" i="41"/>
  <c r="G21" i="41" s="1"/>
  <c r="H21" i="41" s="1"/>
  <c r="J21" i="41" s="1"/>
  <c r="J25" i="41" s="1"/>
  <c r="H16" i="41"/>
  <c r="J16" i="41" s="1"/>
  <c r="J20" i="41" s="1"/>
  <c r="AZ15" i="30"/>
  <c r="B36" i="41" s="1"/>
  <c r="AR17" i="30"/>
  <c r="AS17" i="30"/>
  <c r="AC18" i="30"/>
  <c r="Z18" i="30" s="1"/>
  <c r="AA18" i="30" s="1"/>
  <c r="C41" i="41"/>
  <c r="C43" i="41"/>
  <c r="AC20" i="30"/>
  <c r="Z20" i="30" s="1"/>
  <c r="AA20" i="30" s="1"/>
  <c r="J27" i="38"/>
  <c r="G27" i="38"/>
  <c r="J26" i="38"/>
  <c r="D12" i="37"/>
  <c r="C12" i="37"/>
  <c r="J38" i="36"/>
  <c r="G80" i="36"/>
  <c r="H69" i="36"/>
  <c r="C26" i="39"/>
  <c r="AH19" i="30"/>
  <c r="AI19" i="30" s="1"/>
  <c r="H25" i="39"/>
  <c r="J82" i="36"/>
  <c r="J60" i="36"/>
  <c r="C24" i="37"/>
  <c r="K22" i="40"/>
  <c r="K28" i="40" s="1"/>
  <c r="I19" i="40"/>
  <c r="K19" i="40"/>
  <c r="K25" i="40" s="1"/>
  <c r="N37" i="37"/>
  <c r="AU13" i="30"/>
  <c r="D30" i="37" s="1"/>
  <c r="K29" i="33"/>
  <c r="AX18" i="30"/>
  <c r="C24" i="33" s="1"/>
  <c r="N39" i="37"/>
  <c r="K18" i="40"/>
  <c r="K24" i="40" s="1"/>
  <c r="K21" i="40"/>
  <c r="K27" i="40" s="1"/>
  <c r="I22" i="40"/>
  <c r="I21" i="40"/>
  <c r="L21" i="40" s="1"/>
  <c r="N25" i="40"/>
  <c r="N38" i="37"/>
  <c r="I20" i="40"/>
  <c r="I18" i="40"/>
  <c r="K20" i="40"/>
  <c r="K26" i="40" s="1"/>
  <c r="N36" i="37"/>
  <c r="N40" i="37"/>
  <c r="J93" i="36"/>
  <c r="K14" i="33"/>
  <c r="K15" i="33" s="1"/>
  <c r="D18" i="37"/>
  <c r="C18" i="37"/>
  <c r="K10" i="33"/>
  <c r="K11" i="33" s="1"/>
  <c r="N38" i="40"/>
  <c r="N36" i="40"/>
  <c r="N37" i="40"/>
  <c r="N39" i="40"/>
  <c r="N40" i="40"/>
  <c r="N28" i="40"/>
  <c r="G61" i="36"/>
  <c r="H50" i="36"/>
  <c r="H16" i="38"/>
  <c r="G18" i="38"/>
  <c r="N27" i="40"/>
  <c r="N26" i="40"/>
  <c r="N24" i="40"/>
  <c r="C26" i="41"/>
  <c r="C28" i="41"/>
  <c r="AV13" i="30"/>
  <c r="H14" i="39"/>
  <c r="G16" i="39"/>
  <c r="N20" i="40"/>
  <c r="N21" i="40"/>
  <c r="N19" i="40"/>
  <c r="N18" i="40"/>
  <c r="N22" i="40"/>
  <c r="H101" i="36"/>
  <c r="G100" i="36"/>
  <c r="H89" i="36"/>
  <c r="J98" i="36" l="1"/>
  <c r="J97" i="36"/>
  <c r="N25" i="34"/>
  <c r="J25" i="34" s="1"/>
  <c r="U20" i="53" s="1"/>
  <c r="J102" i="36"/>
  <c r="J95" i="36"/>
  <c r="J101" i="36"/>
  <c r="H29" i="39"/>
  <c r="C105" i="36"/>
  <c r="J105" i="36" s="1"/>
  <c r="C111" i="36"/>
  <c r="J111" i="36" s="1"/>
  <c r="G114" i="36"/>
  <c r="C109" i="36"/>
  <c r="J109" i="36" s="1"/>
  <c r="C113" i="36"/>
  <c r="J114" i="36" s="1"/>
  <c r="C107" i="36"/>
  <c r="J107" i="36" s="1"/>
  <c r="G112" i="36"/>
  <c r="AC19" i="30"/>
  <c r="Z19" i="30" s="1"/>
  <c r="AA19" i="30" s="1"/>
  <c r="AV19" i="30" s="1"/>
  <c r="D66" i="40" s="1"/>
  <c r="AJ19" i="30"/>
  <c r="AY19" i="30" s="1"/>
  <c r="B116" i="36" s="1"/>
  <c r="AJ20" i="30"/>
  <c r="AY20" i="30" s="1"/>
  <c r="B127" i="36" s="1"/>
  <c r="N41" i="37"/>
  <c r="N44" i="37"/>
  <c r="N46" i="37"/>
  <c r="D42" i="37"/>
  <c r="N42" i="37"/>
  <c r="N43" i="37"/>
  <c r="N24" i="37"/>
  <c r="G39" i="41"/>
  <c r="G44" i="41" s="1"/>
  <c r="AU17" i="30"/>
  <c r="C54" i="37" s="1"/>
  <c r="G26" i="41"/>
  <c r="H26" i="41" s="1"/>
  <c r="J26" i="41" s="1"/>
  <c r="J30" i="41" s="1"/>
  <c r="G38" i="41"/>
  <c r="G43" i="41" s="1"/>
  <c r="G37" i="41"/>
  <c r="G42" i="41" s="1"/>
  <c r="I12" i="37"/>
  <c r="K12" i="37"/>
  <c r="J30" i="38"/>
  <c r="W24" i="43" s="1"/>
  <c r="N26" i="37"/>
  <c r="C36" i="41"/>
  <c r="C38" i="41"/>
  <c r="AR18" i="30"/>
  <c r="AS18" i="30"/>
  <c r="AR20" i="30"/>
  <c r="AS20" i="30"/>
  <c r="AZ17" i="30"/>
  <c r="B46" i="41" s="1"/>
  <c r="N16" i="37"/>
  <c r="N13" i="37"/>
  <c r="N14" i="37"/>
  <c r="N15" i="37"/>
  <c r="N12" i="37"/>
  <c r="G91" i="36"/>
  <c r="H80" i="36"/>
  <c r="H27" i="39"/>
  <c r="G27" i="39"/>
  <c r="N25" i="37"/>
  <c r="N27" i="37"/>
  <c r="N28" i="37"/>
  <c r="L19" i="40"/>
  <c r="I25" i="40"/>
  <c r="L25" i="40" s="1"/>
  <c r="K19" i="37"/>
  <c r="K25" i="37" s="1"/>
  <c r="I19" i="37"/>
  <c r="L19" i="37" s="1"/>
  <c r="I18" i="37"/>
  <c r="K18" i="37"/>
  <c r="K24" i="37" s="1"/>
  <c r="L18" i="40"/>
  <c r="AV18" i="30"/>
  <c r="K24" i="33"/>
  <c r="K25" i="33" s="1"/>
  <c r="I24" i="40"/>
  <c r="L24" i="40" s="1"/>
  <c r="I28" i="40"/>
  <c r="L28" i="40" s="1"/>
  <c r="L22" i="40"/>
  <c r="I27" i="40"/>
  <c r="L20" i="40"/>
  <c r="I26" i="40"/>
  <c r="L26" i="40" s="1"/>
  <c r="C30" i="37"/>
  <c r="J104" i="36"/>
  <c r="O41" i="40"/>
  <c r="N21" i="37"/>
  <c r="N19" i="37"/>
  <c r="N22" i="37"/>
  <c r="N18" i="37"/>
  <c r="N20" i="37"/>
  <c r="N45" i="40"/>
  <c r="N46" i="40"/>
  <c r="N43" i="40"/>
  <c r="N44" i="40"/>
  <c r="N42" i="40"/>
  <c r="N49" i="37"/>
  <c r="N51" i="37"/>
  <c r="N50" i="37"/>
  <c r="N52" i="37"/>
  <c r="N48" i="37"/>
  <c r="H18" i="38"/>
  <c r="G20" i="38"/>
  <c r="G72" i="36"/>
  <c r="H61" i="36"/>
  <c r="O29" i="40"/>
  <c r="D30" i="40"/>
  <c r="C30" i="40"/>
  <c r="N35" i="40" s="1"/>
  <c r="H16" i="39"/>
  <c r="G18" i="39"/>
  <c r="O23" i="40"/>
  <c r="H112" i="36"/>
  <c r="G111" i="36"/>
  <c r="H100" i="36"/>
  <c r="L12" i="37" l="1"/>
  <c r="J108" i="36"/>
  <c r="J112" i="36"/>
  <c r="J113" i="36"/>
  <c r="J110" i="36"/>
  <c r="G123" i="36"/>
  <c r="G134" i="36" s="1"/>
  <c r="H134" i="36" s="1"/>
  <c r="AS19" i="30"/>
  <c r="J106" i="36"/>
  <c r="AR19" i="30"/>
  <c r="C133" i="36"/>
  <c r="C131" i="36"/>
  <c r="C135" i="36"/>
  <c r="C129" i="36"/>
  <c r="C127" i="36"/>
  <c r="C66" i="40"/>
  <c r="N71" i="40" s="1"/>
  <c r="C25" i="35"/>
  <c r="G25" i="35" s="1"/>
  <c r="J22" i="57"/>
  <c r="N47" i="37"/>
  <c r="N17" i="37"/>
  <c r="N29" i="37"/>
  <c r="N23" i="37"/>
  <c r="AU20" i="30"/>
  <c r="AV20" i="30" s="1"/>
  <c r="C72" i="40" s="1"/>
  <c r="N77" i="40" s="1"/>
  <c r="N53" i="37"/>
  <c r="AU19" i="30"/>
  <c r="D66" i="37" s="1"/>
  <c r="K30" i="37"/>
  <c r="K36" i="37" s="1"/>
  <c r="K42" i="37" s="1"/>
  <c r="K48" i="37" s="1"/>
  <c r="K54" i="37" s="1"/>
  <c r="G31" i="41"/>
  <c r="G36" i="41" s="1"/>
  <c r="AZ18" i="30"/>
  <c r="B51" i="41" s="1"/>
  <c r="C51" i="41" s="1"/>
  <c r="D54" i="37"/>
  <c r="G47" i="41"/>
  <c r="C25" i="45"/>
  <c r="S21" i="53" s="1"/>
  <c r="G48" i="41"/>
  <c r="AU18" i="30"/>
  <c r="C48" i="41"/>
  <c r="C46" i="41"/>
  <c r="G49" i="41"/>
  <c r="AZ20" i="30"/>
  <c r="B61" i="41" s="1"/>
  <c r="O17" i="37"/>
  <c r="H91" i="36"/>
  <c r="G102" i="36"/>
  <c r="C122" i="36"/>
  <c r="J123" i="36" s="1"/>
  <c r="C118" i="36"/>
  <c r="J118" i="36" s="1"/>
  <c r="C124" i="36"/>
  <c r="J125" i="36" s="1"/>
  <c r="C116" i="36"/>
  <c r="J116" i="36" s="1"/>
  <c r="C120" i="36"/>
  <c r="J120" i="36" s="1"/>
  <c r="G125" i="36"/>
  <c r="G136" i="36" s="1"/>
  <c r="O29" i="37"/>
  <c r="L18" i="37"/>
  <c r="K31" i="40"/>
  <c r="K37" i="40" s="1"/>
  <c r="K43" i="40" s="1"/>
  <c r="K49" i="40" s="1"/>
  <c r="K55" i="40" s="1"/>
  <c r="I31" i="40"/>
  <c r="L31" i="40" s="1"/>
  <c r="N31" i="37"/>
  <c r="K31" i="37"/>
  <c r="K37" i="37" s="1"/>
  <c r="K43" i="37" s="1"/>
  <c r="K49" i="37" s="1"/>
  <c r="K55" i="37" s="1"/>
  <c r="K61" i="37" s="1"/>
  <c r="K67" i="37" s="1"/>
  <c r="K73" i="37" s="1"/>
  <c r="I24" i="37"/>
  <c r="I25" i="37"/>
  <c r="L25" i="37" s="1"/>
  <c r="C60" i="40"/>
  <c r="N65" i="40" s="1"/>
  <c r="D60" i="40"/>
  <c r="N32" i="37"/>
  <c r="K34" i="40"/>
  <c r="K40" i="40" s="1"/>
  <c r="K46" i="40" s="1"/>
  <c r="K52" i="40" s="1"/>
  <c r="K58" i="40" s="1"/>
  <c r="I34" i="40"/>
  <c r="I30" i="40"/>
  <c r="I32" i="40"/>
  <c r="N34" i="37"/>
  <c r="K30" i="40"/>
  <c r="K36" i="40" s="1"/>
  <c r="K42" i="40" s="1"/>
  <c r="K48" i="40" s="1"/>
  <c r="K54" i="40" s="1"/>
  <c r="K60" i="40" s="1"/>
  <c r="N33" i="37"/>
  <c r="N30" i="37"/>
  <c r="K33" i="40"/>
  <c r="K39" i="40" s="1"/>
  <c r="K45" i="40" s="1"/>
  <c r="K51" i="40" s="1"/>
  <c r="K57" i="40" s="1"/>
  <c r="I33" i="40"/>
  <c r="L27" i="40"/>
  <c r="K32" i="40"/>
  <c r="K38" i="40" s="1"/>
  <c r="K44" i="40" s="1"/>
  <c r="K50" i="40" s="1"/>
  <c r="K56" i="40" s="1"/>
  <c r="J115" i="36"/>
  <c r="O23" i="37"/>
  <c r="N54" i="37"/>
  <c r="N55" i="37"/>
  <c r="N58" i="37"/>
  <c r="N56" i="37"/>
  <c r="N57" i="37"/>
  <c r="N50" i="40"/>
  <c r="N49" i="40"/>
  <c r="N52" i="40"/>
  <c r="N51" i="40"/>
  <c r="N48" i="40"/>
  <c r="O47" i="40"/>
  <c r="H72" i="36"/>
  <c r="G83" i="36"/>
  <c r="H20" i="38"/>
  <c r="G22" i="38"/>
  <c r="H31" i="41"/>
  <c r="J31" i="41" s="1"/>
  <c r="J35" i="41" s="1"/>
  <c r="N32" i="40"/>
  <c r="N30" i="40"/>
  <c r="N31" i="40"/>
  <c r="N33" i="40"/>
  <c r="N34" i="40"/>
  <c r="H18" i="39"/>
  <c r="G20" i="39"/>
  <c r="G122" i="36"/>
  <c r="H111" i="36"/>
  <c r="H123" i="36"/>
  <c r="AZ19" i="30" l="1"/>
  <c r="B56" i="41" s="1"/>
  <c r="C56" i="41" s="1"/>
  <c r="Q20" i="59"/>
  <c r="Q21" i="59"/>
  <c r="N35" i="37"/>
  <c r="C72" i="37"/>
  <c r="N59" i="37"/>
  <c r="D72" i="37"/>
  <c r="D72" i="40"/>
  <c r="C66" i="37"/>
  <c r="G54" i="41"/>
  <c r="G53" i="41"/>
  <c r="C53" i="41"/>
  <c r="G52" i="41"/>
  <c r="J121" i="36"/>
  <c r="J122" i="36"/>
  <c r="J117" i="36"/>
  <c r="C23" i="46"/>
  <c r="G24" i="46"/>
  <c r="C28" i="47" s="1"/>
  <c r="G29" i="47" s="1"/>
  <c r="G25" i="45"/>
  <c r="J124" i="36"/>
  <c r="C61" i="41"/>
  <c r="C63" i="41"/>
  <c r="C60" i="37"/>
  <c r="D60" i="37"/>
  <c r="H102" i="36"/>
  <c r="G113" i="36"/>
  <c r="J119" i="36"/>
  <c r="K62" i="40"/>
  <c r="L30" i="40"/>
  <c r="K61" i="40"/>
  <c r="I37" i="40"/>
  <c r="K67" i="40"/>
  <c r="K73" i="40" s="1"/>
  <c r="K68" i="40"/>
  <c r="K74" i="40" s="1"/>
  <c r="K66" i="40"/>
  <c r="K72" i="40" s="1"/>
  <c r="K63" i="40"/>
  <c r="K69" i="40" s="1"/>
  <c r="K75" i="40" s="1"/>
  <c r="K64" i="40"/>
  <c r="K70" i="40" s="1"/>
  <c r="K76" i="40" s="1"/>
  <c r="L24" i="37"/>
  <c r="I30" i="37"/>
  <c r="I31" i="37"/>
  <c r="O35" i="37"/>
  <c r="I39" i="40"/>
  <c r="L33" i="40"/>
  <c r="I40" i="40"/>
  <c r="L34" i="40"/>
  <c r="L32" i="40"/>
  <c r="I36" i="40"/>
  <c r="I38" i="40"/>
  <c r="N58" i="40"/>
  <c r="N56" i="40"/>
  <c r="N54" i="40"/>
  <c r="N57" i="40"/>
  <c r="N55" i="40"/>
  <c r="J136" i="36"/>
  <c r="J135" i="36"/>
  <c r="J130" i="36"/>
  <c r="J129" i="36"/>
  <c r="J127" i="36"/>
  <c r="J128" i="36"/>
  <c r="O53" i="40"/>
  <c r="J134" i="36"/>
  <c r="J133" i="36"/>
  <c r="J132" i="36"/>
  <c r="J131" i="36"/>
  <c r="G24" i="38"/>
  <c r="H22" i="38"/>
  <c r="H83" i="36"/>
  <c r="G94" i="36"/>
  <c r="G41" i="41"/>
  <c r="H36" i="41"/>
  <c r="J36" i="41" s="1"/>
  <c r="J40" i="41" s="1"/>
  <c r="O35" i="40"/>
  <c r="O41" i="37"/>
  <c r="H20" i="39"/>
  <c r="G22" i="39"/>
  <c r="G133" i="36"/>
  <c r="H133" i="36" s="1"/>
  <c r="H122" i="36"/>
  <c r="K72" i="37" l="1"/>
  <c r="C58" i="41"/>
  <c r="G58" i="41"/>
  <c r="G63" i="41" s="1"/>
  <c r="H63" i="41" s="1"/>
  <c r="J63" i="41" s="1"/>
  <c r="G57" i="41"/>
  <c r="G62" i="41" s="1"/>
  <c r="H62" i="41" s="1"/>
  <c r="J62" i="41" s="1"/>
  <c r="G59" i="41"/>
  <c r="G64" i="41" s="1"/>
  <c r="H64" i="41" s="1"/>
  <c r="J64" i="41" s="1"/>
  <c r="J126" i="36"/>
  <c r="K60" i="37"/>
  <c r="K66" i="37" s="1"/>
  <c r="N62" i="37"/>
  <c r="N63" i="37"/>
  <c r="N61" i="37"/>
  <c r="N60" i="37"/>
  <c r="N64" i="37"/>
  <c r="H113" i="36"/>
  <c r="G124" i="36"/>
  <c r="L39" i="40"/>
  <c r="I45" i="40"/>
  <c r="L30" i="37"/>
  <c r="I36" i="37"/>
  <c r="L38" i="40"/>
  <c r="I44" i="40"/>
  <c r="L40" i="40"/>
  <c r="I46" i="40"/>
  <c r="L36" i="40"/>
  <c r="I42" i="40"/>
  <c r="L31" i="37"/>
  <c r="I37" i="37"/>
  <c r="L37" i="40"/>
  <c r="I43" i="40"/>
  <c r="J137" i="36"/>
  <c r="N70" i="37"/>
  <c r="N68" i="37"/>
  <c r="N67" i="37"/>
  <c r="N66" i="37"/>
  <c r="N69" i="37"/>
  <c r="N60" i="40"/>
  <c r="N61" i="40"/>
  <c r="N62" i="40"/>
  <c r="N63" i="40"/>
  <c r="N64" i="40"/>
  <c r="O59" i="40"/>
  <c r="G105" i="36"/>
  <c r="H94" i="36"/>
  <c r="G46" i="41"/>
  <c r="H41" i="41"/>
  <c r="J41" i="41" s="1"/>
  <c r="J45" i="41" s="1"/>
  <c r="G26" i="38"/>
  <c r="H24" i="38"/>
  <c r="O47" i="37"/>
  <c r="H22" i="39"/>
  <c r="G24" i="39"/>
  <c r="J138" i="36" l="1"/>
  <c r="W32" i="43" s="1"/>
  <c r="N71" i="37"/>
  <c r="N65" i="37"/>
  <c r="G135" i="36"/>
  <c r="H135" i="36" s="1"/>
  <c r="H124" i="36"/>
  <c r="L37" i="37"/>
  <c r="I43" i="37"/>
  <c r="L46" i="40"/>
  <c r="I52" i="40"/>
  <c r="L36" i="37"/>
  <c r="I42" i="37"/>
  <c r="L43" i="40"/>
  <c r="I49" i="40"/>
  <c r="L42" i="40"/>
  <c r="I48" i="40"/>
  <c r="L44" i="40"/>
  <c r="I50" i="40"/>
  <c r="L45" i="40"/>
  <c r="I51" i="40"/>
  <c r="O65" i="40"/>
  <c r="N75" i="37"/>
  <c r="N72" i="37"/>
  <c r="N74" i="37"/>
  <c r="N73" i="37"/>
  <c r="N76" i="37"/>
  <c r="N68" i="40"/>
  <c r="N67" i="40"/>
  <c r="N69" i="40"/>
  <c r="N70" i="40"/>
  <c r="N66" i="40"/>
  <c r="G51" i="41"/>
  <c r="H46" i="41"/>
  <c r="J46" i="41" s="1"/>
  <c r="J50" i="41" s="1"/>
  <c r="G28" i="38"/>
  <c r="H28" i="38" s="1"/>
  <c r="H26" i="38"/>
  <c r="G116" i="36"/>
  <c r="H105" i="36"/>
  <c r="O53" i="37"/>
  <c r="H24" i="39"/>
  <c r="G26" i="39"/>
  <c r="C33" i="45" l="1"/>
  <c r="W21" i="53" s="1"/>
  <c r="C33" i="35"/>
  <c r="G33" i="35" s="1"/>
  <c r="J26" i="57"/>
  <c r="N77" i="37"/>
  <c r="L50" i="40"/>
  <c r="I56" i="40"/>
  <c r="L52" i="40"/>
  <c r="I58" i="40"/>
  <c r="L49" i="40"/>
  <c r="I55" i="40"/>
  <c r="L51" i="40"/>
  <c r="I57" i="40"/>
  <c r="L48" i="40"/>
  <c r="I54" i="40"/>
  <c r="L42" i="37"/>
  <c r="I48" i="37"/>
  <c r="L43" i="37"/>
  <c r="I49" i="37"/>
  <c r="N76" i="40"/>
  <c r="N75" i="40"/>
  <c r="N74" i="40"/>
  <c r="N73" i="40"/>
  <c r="N72" i="40"/>
  <c r="O71" i="40"/>
  <c r="G127" i="36"/>
  <c r="H127" i="36" s="1"/>
  <c r="H116" i="36"/>
  <c r="G56" i="41"/>
  <c r="H51" i="41"/>
  <c r="J51" i="41" s="1"/>
  <c r="J55" i="41" s="1"/>
  <c r="O59" i="37"/>
  <c r="H26" i="39"/>
  <c r="G28" i="39"/>
  <c r="H28" i="39" s="1"/>
  <c r="H6" i="33"/>
  <c r="H7" i="33"/>
  <c r="U20" i="59" l="1"/>
  <c r="C31" i="46"/>
  <c r="G32" i="46"/>
  <c r="C44" i="47" s="1"/>
  <c r="G45" i="47" s="1"/>
  <c r="U21" i="59"/>
  <c r="G33" i="45"/>
  <c r="L57" i="40"/>
  <c r="I63" i="40"/>
  <c r="L58" i="40"/>
  <c r="I64" i="40"/>
  <c r="H9" i="33"/>
  <c r="I7" i="33"/>
  <c r="L48" i="37"/>
  <c r="I54" i="37"/>
  <c r="L49" i="37"/>
  <c r="I55" i="37"/>
  <c r="L54" i="40"/>
  <c r="I60" i="40"/>
  <c r="L55" i="40"/>
  <c r="I61" i="40"/>
  <c r="L56" i="40"/>
  <c r="I62" i="40"/>
  <c r="N78" i="40"/>
  <c r="O77" i="40"/>
  <c r="J30" i="39"/>
  <c r="G61" i="41"/>
  <c r="H61" i="41" s="1"/>
  <c r="J61" i="41" s="1"/>
  <c r="J65" i="41" s="1"/>
  <c r="H56" i="41"/>
  <c r="J56" i="41" s="1"/>
  <c r="J60" i="41" s="1"/>
  <c r="O65" i="37"/>
  <c r="I6" i="33"/>
  <c r="K6" i="33" s="1"/>
  <c r="H8" i="33"/>
  <c r="L54" i="37" l="1"/>
  <c r="I60" i="37"/>
  <c r="L61" i="40"/>
  <c r="I67" i="40"/>
  <c r="L55" i="37"/>
  <c r="I61" i="37"/>
  <c r="L63" i="40"/>
  <c r="I69" i="40"/>
  <c r="L62" i="40"/>
  <c r="I68" i="40"/>
  <c r="L60" i="40"/>
  <c r="I66" i="40"/>
  <c r="L64" i="40"/>
  <c r="I70" i="40"/>
  <c r="I9" i="33"/>
  <c r="H11" i="33"/>
  <c r="W26" i="43"/>
  <c r="C27" i="45"/>
  <c r="W30" i="43"/>
  <c r="C31" i="45"/>
  <c r="K7" i="33"/>
  <c r="N22" i="34" s="1"/>
  <c r="J66" i="41"/>
  <c r="N78" i="37"/>
  <c r="O77" i="37"/>
  <c r="O71" i="37"/>
  <c r="H10" i="33"/>
  <c r="I8" i="33"/>
  <c r="V21" i="53" l="1"/>
  <c r="T21" i="53"/>
  <c r="T20" i="59"/>
  <c r="T21" i="59"/>
  <c r="R20" i="59"/>
  <c r="R21" i="59"/>
  <c r="J22" i="34"/>
  <c r="N30" i="34"/>
  <c r="C31" i="35"/>
  <c r="G31" i="35" s="1"/>
  <c r="J25" i="57"/>
  <c r="N21" i="57"/>
  <c r="N28" i="57" s="1"/>
  <c r="C27" i="35"/>
  <c r="G27" i="35" s="1"/>
  <c r="J23" i="57"/>
  <c r="H13" i="33"/>
  <c r="I11" i="33"/>
  <c r="L66" i="40"/>
  <c r="I72" i="40"/>
  <c r="L72" i="40" s="1"/>
  <c r="L69" i="40"/>
  <c r="I75" i="40"/>
  <c r="L75" i="40" s="1"/>
  <c r="L67" i="40"/>
  <c r="I73" i="40"/>
  <c r="L73" i="40" s="1"/>
  <c r="L70" i="40"/>
  <c r="I76" i="40"/>
  <c r="L76" i="40" s="1"/>
  <c r="L68" i="40"/>
  <c r="I74" i="40"/>
  <c r="L74" i="40" s="1"/>
  <c r="L61" i="37"/>
  <c r="I67" i="37"/>
  <c r="I66" i="37"/>
  <c r="L60" i="37"/>
  <c r="C29" i="46"/>
  <c r="G31" i="45"/>
  <c r="G30" i="46"/>
  <c r="C40" i="47" s="1"/>
  <c r="G41" i="47" s="1"/>
  <c r="W28" i="43"/>
  <c r="C29" i="45"/>
  <c r="W34" i="43"/>
  <c r="C35" i="45"/>
  <c r="C25" i="46"/>
  <c r="G27" i="45"/>
  <c r="G26" i="46"/>
  <c r="C32" i="47" s="1"/>
  <c r="G33" i="47" s="1"/>
  <c r="K30" i="33"/>
  <c r="I10" i="33"/>
  <c r="H12" i="33"/>
  <c r="J30" i="34" l="1"/>
  <c r="R20" i="53"/>
  <c r="U21" i="53"/>
  <c r="AA21" i="53"/>
  <c r="S20" i="59"/>
  <c r="S21" i="59"/>
  <c r="Y20" i="59"/>
  <c r="Y21" i="59"/>
  <c r="C35" i="35"/>
  <c r="G35" i="35" s="1"/>
  <c r="J27" i="57"/>
  <c r="C29" i="35"/>
  <c r="G29" i="35" s="1"/>
  <c r="J24" i="57"/>
  <c r="L66" i="37"/>
  <c r="I72" i="37"/>
  <c r="L72" i="37" s="1"/>
  <c r="L67" i="37"/>
  <c r="I73" i="37"/>
  <c r="L73" i="37" s="1"/>
  <c r="I13" i="33"/>
  <c r="H15" i="33"/>
  <c r="C33" i="46"/>
  <c r="G34" i="46"/>
  <c r="C48" i="47" s="1"/>
  <c r="G49" i="47" s="1"/>
  <c r="G35" i="45"/>
  <c r="W22" i="43"/>
  <c r="C23" i="45"/>
  <c r="C27" i="46"/>
  <c r="G29" i="45"/>
  <c r="G28" i="46"/>
  <c r="C36" i="47" s="1"/>
  <c r="G37" i="47" s="1"/>
  <c r="H14" i="33"/>
  <c r="I12" i="33"/>
  <c r="R21" i="53" l="1"/>
  <c r="C39" i="45"/>
  <c r="J21" i="57"/>
  <c r="J28" i="57" s="1"/>
  <c r="G17" i="57" s="1"/>
  <c r="P20" i="59"/>
  <c r="P21" i="59"/>
  <c r="W36" i="43"/>
  <c r="H17" i="33"/>
  <c r="I15" i="33"/>
  <c r="C21" i="46"/>
  <c r="G23" i="45"/>
  <c r="G22" i="46"/>
  <c r="C24" i="47" s="1"/>
  <c r="C56" i="47" s="1"/>
  <c r="I14" i="33"/>
  <c r="H16" i="33"/>
  <c r="W40" i="43" l="1"/>
  <c r="B17" i="43" s="1"/>
  <c r="G18" i="34"/>
  <c r="C23" i="35"/>
  <c r="C39" i="35" s="1"/>
  <c r="I17" i="33"/>
  <c r="H19" i="33"/>
  <c r="G39" i="45"/>
  <c r="G38" i="46"/>
  <c r="C23" i="48" s="1"/>
  <c r="D23" i="48" s="1"/>
  <c r="C19" i="53" s="1"/>
  <c r="E19" i="45"/>
  <c r="C37" i="46"/>
  <c r="G25" i="47"/>
  <c r="G57" i="47"/>
  <c r="E19" i="47" s="1"/>
  <c r="I16" i="33"/>
  <c r="H18" i="33"/>
  <c r="G23" i="35" l="1"/>
  <c r="I19" i="33"/>
  <c r="H21" i="33"/>
  <c r="I18" i="33"/>
  <c r="H20" i="33"/>
  <c r="G39" i="35" l="1"/>
  <c r="E19" i="35" s="1"/>
  <c r="I21" i="33"/>
  <c r="H23" i="33"/>
  <c r="I20" i="33"/>
  <c r="H22" i="33"/>
  <c r="I23" i="33" l="1"/>
  <c r="H25" i="33"/>
  <c r="I22" i="33"/>
  <c r="H24" i="33"/>
  <c r="H27" i="33" l="1"/>
  <c r="I25" i="33"/>
  <c r="I24" i="33"/>
  <c r="H26" i="33"/>
  <c r="I27" i="33" l="1"/>
  <c r="H29" i="33"/>
  <c r="I29" i="33" s="1"/>
  <c r="I26" i="33"/>
  <c r="H28" i="33"/>
  <c r="I28" i="33" s="1"/>
  <c r="B6" i="40"/>
  <c r="B6" i="37"/>
  <c r="B18" i="40" l="1"/>
  <c r="B18" i="37"/>
  <c r="B12" i="37"/>
  <c r="B12" i="40"/>
  <c r="B24" i="40" l="1"/>
  <c r="B24" i="37"/>
  <c r="B30" i="40" l="1"/>
  <c r="B30" i="37"/>
  <c r="B36" i="37" l="1"/>
  <c r="B36" i="40"/>
  <c r="B42" i="40" l="1"/>
  <c r="B42" i="37"/>
  <c r="B48" i="40" l="1"/>
  <c r="B48" i="37"/>
  <c r="B54" i="37" l="1"/>
  <c r="B54" i="40"/>
  <c r="B60" i="37" l="1"/>
  <c r="B60" i="40"/>
  <c r="B66" i="40" l="1"/>
  <c r="B66" i="37"/>
  <c r="B72" i="40" l="1"/>
  <c r="B7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髙木　章友</author>
  </authors>
  <commentList>
    <comment ref="Q2" authorId="0" shapeId="0" xr:uid="{81C52A11-2BF0-4A28-98AE-7A43A7BF54A2}">
      <text>
        <r>
          <rPr>
            <b/>
            <sz val="9"/>
            <color indexed="81"/>
            <rFont val="MS P ゴシック"/>
            <family val="3"/>
            <charset val="128"/>
          </rPr>
          <t>1未満の時は調理員</t>
        </r>
      </text>
    </comment>
    <comment ref="F3" authorId="0" shapeId="0" xr:uid="{3AFD8413-3A32-46C4-A7DB-0C78667215A3}">
      <text>
        <r>
          <rPr>
            <sz val="9"/>
            <color indexed="81"/>
            <rFont val="MS P ゴシック"/>
            <family val="3"/>
            <charset val="128"/>
          </rPr>
          <t xml:space="preserve">1未満の端数がある場合は、加配数にプラスして正規職員を１人加算対象にできる。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F5" authorId="0" shapeId="0" xr:uid="{E0EA71CD-CC2C-4516-A3D0-BAA28576FE6B}">
      <text>
        <r>
          <rPr>
            <b/>
            <sz val="11"/>
            <color indexed="9"/>
            <rFont val="MS P ゴシック"/>
            <family val="3"/>
            <charset val="128"/>
          </rPr>
          <t>このセルも入力が必要です。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U22" authorId="0" shapeId="0" xr:uid="{35182C95-5399-4285-AAF8-1CF111164059}">
      <text>
        <r>
          <rPr>
            <b/>
            <sz val="14"/>
            <color indexed="81"/>
            <rFont val="MS P ゴシック"/>
            <family val="3"/>
            <charset val="128"/>
          </rPr>
          <t>渋谷　賢太:</t>
        </r>
        <r>
          <rPr>
            <sz val="14"/>
            <color indexed="81"/>
            <rFont val="MS P ゴシック"/>
            <family val="3"/>
            <charset val="128"/>
          </rPr>
          <t xml:space="preserve">
「請求額＋既交付額」が「交付決定額」を上回る場合は「✕」が表示</t>
        </r>
      </text>
    </comment>
  </commentList>
</comments>
</file>

<file path=xl/sharedStrings.xml><?xml version="1.0" encoding="utf-8"?>
<sst xmlns="http://schemas.openxmlformats.org/spreadsheetml/2006/main" count="7403" uniqueCount="1768">
  <si>
    <t>配置基準改善事業補助金の算定に係る運営状況確認シート</t>
    <rPh sb="0" eb="2">
      <t>ハイチ</t>
    </rPh>
    <rPh sb="2" eb="4">
      <t>キジュン</t>
    </rPh>
    <rPh sb="4" eb="6">
      <t>カイゼン</t>
    </rPh>
    <rPh sb="6" eb="8">
      <t>ジギョウ</t>
    </rPh>
    <rPh sb="8" eb="11">
      <t>ホジョキン</t>
    </rPh>
    <rPh sb="12" eb="14">
      <t>サンテイ</t>
    </rPh>
    <rPh sb="15" eb="16">
      <t>カカ</t>
    </rPh>
    <rPh sb="17" eb="19">
      <t>ウンエイ</t>
    </rPh>
    <rPh sb="19" eb="21">
      <t>ジョウキョウ</t>
    </rPh>
    <rPh sb="21" eb="23">
      <t>カクニン</t>
    </rPh>
    <phoneticPr fontId="1"/>
  </si>
  <si>
    <t>和暦→西暦の変換表</t>
    <rPh sb="0" eb="2">
      <t>ワレキ</t>
    </rPh>
    <rPh sb="3" eb="5">
      <t>セイレキ</t>
    </rPh>
    <rPh sb="6" eb="8">
      <t>ヘンカン</t>
    </rPh>
    <rPh sb="8" eb="9">
      <t>ヒョウ</t>
    </rPh>
    <phoneticPr fontId="1"/>
  </si>
  <si>
    <t>和暦</t>
    <rPh sb="0" eb="2">
      <t>ワレキ</t>
    </rPh>
    <phoneticPr fontId="1"/>
  </si>
  <si>
    <t>西暦</t>
    <rPh sb="0" eb="2">
      <t>セイレキ</t>
    </rPh>
    <phoneticPr fontId="1"/>
  </si>
  <si>
    <t>令和</t>
    <rPh sb="0" eb="2">
      <t>レイワ</t>
    </rPh>
    <phoneticPr fontId="1"/>
  </si>
  <si>
    <t>児童の定員</t>
    <rPh sb="0" eb="2">
      <t>ジドウ</t>
    </rPh>
    <rPh sb="3" eb="5">
      <t>テイイン</t>
    </rPh>
    <phoneticPr fontId="1"/>
  </si>
  <si>
    <t>作成担当者</t>
    <rPh sb="0" eb="2">
      <t>サクセイ</t>
    </rPh>
    <rPh sb="2" eb="5">
      <t>タントウシャ</t>
    </rPh>
    <phoneticPr fontId="1"/>
  </si>
  <si>
    <t>氏名</t>
    <rPh sb="0" eb="2">
      <t>シメイ</t>
    </rPh>
    <phoneticPr fontId="1"/>
  </si>
  <si>
    <t>年度</t>
    <rPh sb="0" eb="2">
      <t>ネンド</t>
    </rPh>
    <phoneticPr fontId="1"/>
  </si>
  <si>
    <t>連絡先</t>
    <rPh sb="0" eb="3">
      <t>レンラクサキ</t>
    </rPh>
    <phoneticPr fontId="1"/>
  </si>
  <si>
    <t>処遇改善加算Ⅰの平均勤続年数</t>
    <rPh sb="0" eb="2">
      <t>ショグウ</t>
    </rPh>
    <rPh sb="2" eb="4">
      <t>カイゼン</t>
    </rPh>
    <rPh sb="4" eb="6">
      <t>カサン</t>
    </rPh>
    <rPh sb="8" eb="10">
      <t>ヘイキン</t>
    </rPh>
    <rPh sb="10" eb="12">
      <t>キンゾク</t>
    </rPh>
    <rPh sb="12" eb="14">
      <t>ネンスウ</t>
    </rPh>
    <phoneticPr fontId="1"/>
  </si>
  <si>
    <t>有</t>
    <rPh sb="0" eb="1">
      <t>アリ</t>
    </rPh>
    <phoneticPr fontId="1"/>
  </si>
  <si>
    <t>一般型</t>
    <rPh sb="0" eb="3">
      <t>イッパンガタ</t>
    </rPh>
    <phoneticPr fontId="1"/>
  </si>
  <si>
    <t>無</t>
    <rPh sb="0" eb="1">
      <t>ナシ</t>
    </rPh>
    <phoneticPr fontId="1"/>
  </si>
  <si>
    <t>余裕活用型</t>
    <rPh sb="0" eb="2">
      <t>ヨユウ</t>
    </rPh>
    <rPh sb="2" eb="4">
      <t>カツヨウ</t>
    </rPh>
    <rPh sb="4" eb="5">
      <t>ガタ</t>
    </rPh>
    <phoneticPr fontId="1"/>
  </si>
  <si>
    <t>保育標準時間児童の受け入れ</t>
    <rPh sb="0" eb="2">
      <t>ホイク</t>
    </rPh>
    <rPh sb="2" eb="4">
      <t>ヒョウジュン</t>
    </rPh>
    <rPh sb="4" eb="6">
      <t>ジカン</t>
    </rPh>
    <rPh sb="6" eb="8">
      <t>ジドウ</t>
    </rPh>
    <rPh sb="9" eb="10">
      <t>ウ</t>
    </rPh>
    <rPh sb="11" eb="12">
      <t>イ</t>
    </rPh>
    <phoneticPr fontId="1"/>
  </si>
  <si>
    <t>一時預かり事業について</t>
    <rPh sb="0" eb="2">
      <t>イチジ</t>
    </rPh>
    <rPh sb="2" eb="3">
      <t>アズ</t>
    </rPh>
    <rPh sb="5" eb="7">
      <t>ジギョウ</t>
    </rPh>
    <phoneticPr fontId="1"/>
  </si>
  <si>
    <t>増員</t>
    <rPh sb="0" eb="2">
      <t>ゾウイン</t>
    </rPh>
    <phoneticPr fontId="1"/>
  </si>
  <si>
    <t>実施の有無</t>
    <rPh sb="0" eb="2">
      <t>ジッシ</t>
    </rPh>
    <rPh sb="3" eb="5">
      <t>ウム</t>
    </rPh>
    <phoneticPr fontId="1"/>
  </si>
  <si>
    <t>賃金改善</t>
    <rPh sb="0" eb="2">
      <t>チンギン</t>
    </rPh>
    <rPh sb="2" eb="4">
      <t>カイゼン</t>
    </rPh>
    <phoneticPr fontId="1"/>
  </si>
  <si>
    <t>実施形態</t>
    <rPh sb="0" eb="2">
      <t>ジッシ</t>
    </rPh>
    <rPh sb="2" eb="4">
      <t>ケイタイ</t>
    </rPh>
    <phoneticPr fontId="1"/>
  </si>
  <si>
    <t>1人加配の適用（一般型の場合のみ）</t>
    <rPh sb="1" eb="2">
      <t>ニン</t>
    </rPh>
    <rPh sb="2" eb="4">
      <t>カハイ</t>
    </rPh>
    <rPh sb="5" eb="7">
      <t>テキヨウ</t>
    </rPh>
    <rPh sb="8" eb="11">
      <t>イッパンガタ</t>
    </rPh>
    <rPh sb="12" eb="14">
      <t>バアイ</t>
    </rPh>
    <phoneticPr fontId="1"/>
  </si>
  <si>
    <t>要配慮保育について（職員）</t>
    <rPh sb="0" eb="1">
      <t>ヨウ</t>
    </rPh>
    <rPh sb="1" eb="3">
      <t>ハイリョ</t>
    </rPh>
    <rPh sb="3" eb="5">
      <t>ホイク</t>
    </rPh>
    <rPh sb="10" eb="12">
      <t>ショクイン</t>
    </rPh>
    <phoneticPr fontId="1"/>
  </si>
  <si>
    <t>市による保育士加配人数（合計）</t>
    <rPh sb="0" eb="1">
      <t>シ</t>
    </rPh>
    <rPh sb="4" eb="7">
      <t>ホイクシ</t>
    </rPh>
    <rPh sb="7" eb="9">
      <t>カハイ</t>
    </rPh>
    <rPh sb="9" eb="11">
      <t>ニンズウ</t>
    </rPh>
    <rPh sb="12" eb="14">
      <t>ゴウケイ</t>
    </rPh>
    <phoneticPr fontId="1"/>
  </si>
  <si>
    <t>うち、保育士配置数</t>
    <rPh sb="3" eb="6">
      <t>ホイクシ</t>
    </rPh>
    <rPh sb="6" eb="8">
      <t>ハイチ</t>
    </rPh>
    <rPh sb="8" eb="9">
      <t>スウ</t>
    </rPh>
    <phoneticPr fontId="1"/>
  </si>
  <si>
    <t>うち、医療的ケアに係る看護師等</t>
    <rPh sb="3" eb="6">
      <t>イリョウテキ</t>
    </rPh>
    <rPh sb="9" eb="10">
      <t>カカ</t>
    </rPh>
    <rPh sb="11" eb="14">
      <t>カンゴシ</t>
    </rPh>
    <rPh sb="14" eb="15">
      <t>トウ</t>
    </rPh>
    <phoneticPr fontId="1"/>
  </si>
  <si>
    <t>医療的ケアを要する児童数</t>
    <rPh sb="0" eb="3">
      <t>イリョウテキ</t>
    </rPh>
    <rPh sb="6" eb="7">
      <t>ヨウ</t>
    </rPh>
    <rPh sb="9" eb="11">
      <t>ジドウ</t>
    </rPh>
    <rPh sb="11" eb="12">
      <t>スウ</t>
    </rPh>
    <phoneticPr fontId="1"/>
  </si>
  <si>
    <t>支援センターの実施の有無</t>
    <rPh sb="0" eb="2">
      <t>シエン</t>
    </rPh>
    <rPh sb="7" eb="9">
      <t>ジッシ</t>
    </rPh>
    <rPh sb="10" eb="12">
      <t>ウム</t>
    </rPh>
    <phoneticPr fontId="1"/>
  </si>
  <si>
    <t>主任保育士加算の適用</t>
    <rPh sb="0" eb="2">
      <t>シュニン</t>
    </rPh>
    <rPh sb="2" eb="5">
      <t>ホイクシ</t>
    </rPh>
    <rPh sb="5" eb="7">
      <t>カサン</t>
    </rPh>
    <rPh sb="8" eb="10">
      <t>テキヨウ</t>
    </rPh>
    <phoneticPr fontId="1"/>
  </si>
  <si>
    <t>チーム保育推進加算の適用</t>
    <rPh sb="3" eb="5">
      <t>ホイク</t>
    </rPh>
    <rPh sb="5" eb="7">
      <t>スイシン</t>
    </rPh>
    <rPh sb="7" eb="9">
      <t>カサン</t>
    </rPh>
    <rPh sb="10" eb="12">
      <t>テキヨウ</t>
    </rPh>
    <phoneticPr fontId="1"/>
  </si>
  <si>
    <t>チーム保育推進加算の使途</t>
    <rPh sb="3" eb="5">
      <t>ホイク</t>
    </rPh>
    <rPh sb="5" eb="7">
      <t>スイシン</t>
    </rPh>
    <rPh sb="7" eb="9">
      <t>カサン</t>
    </rPh>
    <rPh sb="10" eb="12">
      <t>シト</t>
    </rPh>
    <phoneticPr fontId="1"/>
  </si>
  <si>
    <t>３歳児配置改善加算の適用</t>
    <rPh sb="1" eb="3">
      <t>サイジ</t>
    </rPh>
    <rPh sb="3" eb="5">
      <t>ハイチ</t>
    </rPh>
    <rPh sb="5" eb="7">
      <t>カイゼン</t>
    </rPh>
    <rPh sb="7" eb="9">
      <t>カサン</t>
    </rPh>
    <rPh sb="10" eb="12">
      <t>テキヨウ</t>
    </rPh>
    <phoneticPr fontId="1"/>
  </si>
  <si>
    <t>平成</t>
    <rPh sb="0" eb="2">
      <t>ヘイセイ</t>
    </rPh>
    <phoneticPr fontId="1"/>
  </si>
  <si>
    <t>主任保育士加算の要件（次のうち２以上の要件を満たすこと）</t>
    <rPh sb="0" eb="2">
      <t>シュニン</t>
    </rPh>
    <rPh sb="2" eb="5">
      <t>ホイクシ</t>
    </rPh>
    <rPh sb="5" eb="7">
      <t>カサン</t>
    </rPh>
    <rPh sb="8" eb="10">
      <t>ヨウケン</t>
    </rPh>
    <rPh sb="11" eb="12">
      <t>ツギ</t>
    </rPh>
    <rPh sb="16" eb="18">
      <t>イジョウ</t>
    </rPh>
    <rPh sb="19" eb="21">
      <t>ヨウケン</t>
    </rPh>
    <rPh sb="22" eb="23">
      <t>ミ</t>
    </rPh>
    <phoneticPr fontId="1"/>
  </si>
  <si>
    <t>延長保育事業を実施していること</t>
    <rPh sb="0" eb="2">
      <t>エンチョウ</t>
    </rPh>
    <rPh sb="2" eb="4">
      <t>ホイク</t>
    </rPh>
    <rPh sb="4" eb="6">
      <t>ジギョウ</t>
    </rPh>
    <rPh sb="7" eb="9">
      <t>ジッシ</t>
    </rPh>
    <phoneticPr fontId="1"/>
  </si>
  <si>
    <t>○</t>
    <phoneticPr fontId="1"/>
  </si>
  <si>
    <t>一時預かり事業（一般型）を実施し、月の平均利用児童数が１人以上いること</t>
    <rPh sb="0" eb="2">
      <t>イチジ</t>
    </rPh>
    <rPh sb="2" eb="3">
      <t>アズ</t>
    </rPh>
    <rPh sb="5" eb="7">
      <t>ジギョウ</t>
    </rPh>
    <rPh sb="8" eb="11">
      <t>イッパンガタ</t>
    </rPh>
    <rPh sb="13" eb="15">
      <t>ジッシ</t>
    </rPh>
    <rPh sb="17" eb="18">
      <t>ツキ</t>
    </rPh>
    <rPh sb="19" eb="21">
      <t>ヘイキン</t>
    </rPh>
    <rPh sb="21" eb="23">
      <t>リヨウ</t>
    </rPh>
    <rPh sb="23" eb="25">
      <t>ジドウ</t>
    </rPh>
    <rPh sb="25" eb="26">
      <t>スウ</t>
    </rPh>
    <rPh sb="28" eb="29">
      <t>ニン</t>
    </rPh>
    <rPh sb="29" eb="31">
      <t>イジョウ</t>
    </rPh>
    <phoneticPr fontId="1"/>
  </si>
  <si>
    <t>病児保育事業を実施していること</t>
    <rPh sb="0" eb="2">
      <t>ビョウジ</t>
    </rPh>
    <rPh sb="2" eb="4">
      <t>ホイク</t>
    </rPh>
    <rPh sb="4" eb="6">
      <t>ジギョウ</t>
    </rPh>
    <rPh sb="7" eb="9">
      <t>ジッシ</t>
    </rPh>
    <phoneticPr fontId="1"/>
  </si>
  <si>
    <t>乳児が３人以上利用していること</t>
    <rPh sb="0" eb="2">
      <t>ニュウジ</t>
    </rPh>
    <rPh sb="4" eb="7">
      <t>ニンイジョウ</t>
    </rPh>
    <rPh sb="7" eb="9">
      <t>リヨウ</t>
    </rPh>
    <phoneticPr fontId="1"/>
  </si>
  <si>
    <t>障害児が１人以上利用していること</t>
    <rPh sb="0" eb="2">
      <t>ショウガイ</t>
    </rPh>
    <rPh sb="2" eb="3">
      <t>ジ</t>
    </rPh>
    <rPh sb="5" eb="8">
      <t>ニンイジョウ</t>
    </rPh>
    <rPh sb="8" eb="10">
      <t>リヨウ</t>
    </rPh>
    <phoneticPr fontId="1"/>
  </si>
  <si>
    <t>チーム保育推進加算の要件（次のすべての要件を満たすこと）</t>
    <rPh sb="3" eb="5">
      <t>ホイク</t>
    </rPh>
    <rPh sb="5" eb="7">
      <t>スイシン</t>
    </rPh>
    <rPh sb="7" eb="9">
      <t>カサン</t>
    </rPh>
    <rPh sb="10" eb="12">
      <t>ヨウケン</t>
    </rPh>
    <rPh sb="13" eb="14">
      <t>ツギ</t>
    </rPh>
    <rPh sb="19" eb="21">
      <t>ヨウケン</t>
    </rPh>
    <rPh sb="22" eb="23">
      <t>ミ</t>
    </rPh>
    <phoneticPr fontId="1"/>
  </si>
  <si>
    <t>保育士定数を超えて保育士を配置していること（他の加算との重複不可）</t>
    <rPh sb="0" eb="3">
      <t>ホイクシ</t>
    </rPh>
    <rPh sb="3" eb="5">
      <t>テイスウ</t>
    </rPh>
    <rPh sb="6" eb="7">
      <t>コ</t>
    </rPh>
    <rPh sb="9" eb="12">
      <t>ホイクシ</t>
    </rPh>
    <rPh sb="13" eb="15">
      <t>ハイチ</t>
    </rPh>
    <rPh sb="22" eb="23">
      <t>ホカ</t>
    </rPh>
    <rPh sb="24" eb="26">
      <t>カサン</t>
    </rPh>
    <rPh sb="28" eb="30">
      <t>チョウフク</t>
    </rPh>
    <rPh sb="30" eb="32">
      <t>フカ</t>
    </rPh>
    <phoneticPr fontId="1"/>
  </si>
  <si>
    <t>処遇改善等加算Iの職員の平均勤続年数が１５年以上であること</t>
    <rPh sb="0" eb="2">
      <t>ショグウ</t>
    </rPh>
    <rPh sb="2" eb="4">
      <t>カイゼン</t>
    </rPh>
    <rPh sb="4" eb="5">
      <t>トウ</t>
    </rPh>
    <rPh sb="5" eb="7">
      <t>カサン</t>
    </rPh>
    <rPh sb="9" eb="11">
      <t>ショクイン</t>
    </rPh>
    <rPh sb="12" eb="14">
      <t>ヘイキン</t>
    </rPh>
    <rPh sb="14" eb="16">
      <t>キンゾク</t>
    </rPh>
    <rPh sb="16" eb="18">
      <t>ネンスウ</t>
    </rPh>
    <rPh sb="21" eb="24">
      <t>ネンイジョウ</t>
    </rPh>
    <phoneticPr fontId="1"/>
  </si>
  <si>
    <t>キャリアを積んだチームリーダーの位置づけ当チーム保育体制を整備すること</t>
    <rPh sb="5" eb="6">
      <t>ツ</t>
    </rPh>
    <rPh sb="16" eb="18">
      <t>イチ</t>
    </rPh>
    <rPh sb="20" eb="21">
      <t>トウ</t>
    </rPh>
    <rPh sb="24" eb="26">
      <t>ホイク</t>
    </rPh>
    <rPh sb="26" eb="28">
      <t>タイセイ</t>
    </rPh>
    <rPh sb="29" eb="31">
      <t>セイビ</t>
    </rPh>
    <phoneticPr fontId="1"/>
  </si>
  <si>
    <t>チーム保育推進加算による増収は、保育士の増員や、当該保育所全体の職員の賃金改善に充てること</t>
    <rPh sb="3" eb="5">
      <t>ホイク</t>
    </rPh>
    <rPh sb="5" eb="7">
      <t>スイシン</t>
    </rPh>
    <rPh sb="7" eb="9">
      <t>カサン</t>
    </rPh>
    <rPh sb="12" eb="14">
      <t>ゾウシュウ</t>
    </rPh>
    <rPh sb="16" eb="19">
      <t>ホイクシ</t>
    </rPh>
    <rPh sb="20" eb="22">
      <t>ゾウイン</t>
    </rPh>
    <rPh sb="24" eb="26">
      <t>トウガイ</t>
    </rPh>
    <rPh sb="26" eb="28">
      <t>ホイク</t>
    </rPh>
    <rPh sb="28" eb="29">
      <t>ショ</t>
    </rPh>
    <rPh sb="29" eb="31">
      <t>ゼンタイ</t>
    </rPh>
    <rPh sb="32" eb="34">
      <t>ショクイン</t>
    </rPh>
    <rPh sb="35" eb="37">
      <t>チンギン</t>
    </rPh>
    <rPh sb="37" eb="39">
      <t>カイゼン</t>
    </rPh>
    <rPh sb="40" eb="41">
      <t>ア</t>
    </rPh>
    <phoneticPr fontId="1"/>
  </si>
  <si>
    <t>民間保育施設職員定数及び職員現況調書</t>
    <rPh sb="0" eb="2">
      <t>ミンカン</t>
    </rPh>
    <rPh sb="2" eb="4">
      <t>ホイク</t>
    </rPh>
    <rPh sb="4" eb="6">
      <t>シセツ</t>
    </rPh>
    <rPh sb="6" eb="8">
      <t>ショクイン</t>
    </rPh>
    <rPh sb="8" eb="10">
      <t>テイスウ</t>
    </rPh>
    <rPh sb="10" eb="11">
      <t>オヨ</t>
    </rPh>
    <rPh sb="12" eb="14">
      <t>ショクイン</t>
    </rPh>
    <rPh sb="14" eb="16">
      <t>ゲンキョウ</t>
    </rPh>
    <rPh sb="16" eb="18">
      <t>チョウショ</t>
    </rPh>
    <phoneticPr fontId="6"/>
  </si>
  <si>
    <t>園名</t>
    <rPh sb="0" eb="1">
      <t>エン</t>
    </rPh>
    <rPh sb="1" eb="2">
      <t>メイ</t>
    </rPh>
    <phoneticPr fontId="6"/>
  </si>
  <si>
    <t>氏名</t>
    <rPh sb="0" eb="2">
      <t>シメイ</t>
    </rPh>
    <phoneticPr fontId="6"/>
  </si>
  <si>
    <t>年齢（歳）</t>
    <rPh sb="0" eb="2">
      <t>ネンレイ</t>
    </rPh>
    <rPh sb="3" eb="4">
      <t>サイ</t>
    </rPh>
    <phoneticPr fontId="6"/>
  </si>
  <si>
    <t>保有する資格について</t>
    <rPh sb="0" eb="2">
      <t>ホユウ</t>
    </rPh>
    <rPh sb="4" eb="6">
      <t>シカク</t>
    </rPh>
    <phoneticPr fontId="6"/>
  </si>
  <si>
    <t>採用等</t>
    <rPh sb="0" eb="2">
      <t>サイヨウ</t>
    </rPh>
    <rPh sb="2" eb="3">
      <t>トウ</t>
    </rPh>
    <phoneticPr fontId="6"/>
  </si>
  <si>
    <t>退職等</t>
    <rPh sb="0" eb="2">
      <t>タイショク</t>
    </rPh>
    <rPh sb="2" eb="3">
      <t>トウ</t>
    </rPh>
    <phoneticPr fontId="6"/>
  </si>
  <si>
    <t>主に従事
する業務</t>
    <rPh sb="0" eb="1">
      <t>オモ</t>
    </rPh>
    <rPh sb="2" eb="4">
      <t>ジュウジ</t>
    </rPh>
    <rPh sb="7" eb="9">
      <t>ギョウム</t>
    </rPh>
    <phoneticPr fontId="6"/>
  </si>
  <si>
    <t>雇用形態
（補助金）</t>
    <rPh sb="0" eb="2">
      <t>コヨウ</t>
    </rPh>
    <rPh sb="2" eb="4">
      <t>ケイタイ</t>
    </rPh>
    <rPh sb="6" eb="9">
      <t>ホジョキン</t>
    </rPh>
    <phoneticPr fontId="1"/>
  </si>
  <si>
    <t>要件緩和</t>
    <rPh sb="0" eb="2">
      <t>ヨウケン</t>
    </rPh>
    <rPh sb="2" eb="4">
      <t>カンワ</t>
    </rPh>
    <phoneticPr fontId="1"/>
  </si>
  <si>
    <t>幼稚園教諭</t>
    <rPh sb="0" eb="5">
      <t>ヨウチエンキョウユ</t>
    </rPh>
    <phoneticPr fontId="1"/>
  </si>
  <si>
    <t>小学校教諭</t>
    <rPh sb="0" eb="3">
      <t>ショウガッコウ</t>
    </rPh>
    <rPh sb="3" eb="5">
      <t>キョウユ</t>
    </rPh>
    <phoneticPr fontId="1"/>
  </si>
  <si>
    <t>養護教諭</t>
    <rPh sb="0" eb="2">
      <t>ヨウゴ</t>
    </rPh>
    <rPh sb="2" eb="4">
      <t>キョウユ</t>
    </rPh>
    <phoneticPr fontId="1"/>
  </si>
  <si>
    <t>保健師</t>
    <rPh sb="0" eb="3">
      <t>ホケンシ</t>
    </rPh>
    <phoneticPr fontId="1"/>
  </si>
  <si>
    <t>看護師</t>
    <rPh sb="0" eb="3">
      <t>カンゴシ</t>
    </rPh>
    <phoneticPr fontId="1"/>
  </si>
  <si>
    <t>准看護師</t>
    <rPh sb="0" eb="4">
      <t>ジュンカンゴシ</t>
    </rPh>
    <phoneticPr fontId="1"/>
  </si>
  <si>
    <t>(管理)栄養士</t>
    <rPh sb="1" eb="3">
      <t>カンリ</t>
    </rPh>
    <rPh sb="4" eb="7">
      <t>エイヨウシ</t>
    </rPh>
    <phoneticPr fontId="1"/>
  </si>
  <si>
    <t>調理師</t>
    <rPh sb="0" eb="3">
      <t>チョウリシ</t>
    </rPh>
    <phoneticPr fontId="1"/>
  </si>
  <si>
    <t>年月日</t>
    <rPh sb="0" eb="3">
      <t>ネンガッピ</t>
    </rPh>
    <phoneticPr fontId="1"/>
  </si>
  <si>
    <t>事由</t>
    <rPh sb="0" eb="2">
      <t>ジユウ</t>
    </rPh>
    <phoneticPr fontId="1"/>
  </si>
  <si>
    <t>資格あり</t>
    <rPh sb="0" eb="2">
      <t>シカク</t>
    </rPh>
    <phoneticPr fontId="1"/>
  </si>
  <si>
    <t>資格なし</t>
    <rPh sb="0" eb="2">
      <t>シカク</t>
    </rPh>
    <phoneticPr fontId="1"/>
  </si>
  <si>
    <t>該当</t>
    <rPh sb="0" eb="2">
      <t>ガイトウ</t>
    </rPh>
    <phoneticPr fontId="1"/>
  </si>
  <si>
    <t>国費要件</t>
    <rPh sb="0" eb="2">
      <t>コクヒ</t>
    </rPh>
    <rPh sb="2" eb="4">
      <t>ヨウケン</t>
    </rPh>
    <phoneticPr fontId="1"/>
  </si>
  <si>
    <t>採用</t>
    <rPh sb="0" eb="2">
      <t>サイヨウ</t>
    </rPh>
    <phoneticPr fontId="1"/>
  </si>
  <si>
    <t>園長</t>
    <rPh sb="0" eb="2">
      <t>エンチョウ</t>
    </rPh>
    <phoneticPr fontId="1"/>
  </si>
  <si>
    <t>副園長</t>
    <rPh sb="0" eb="3">
      <t>フクエンチョウ</t>
    </rPh>
    <phoneticPr fontId="1"/>
  </si>
  <si>
    <t>3歳未満</t>
    <rPh sb="1" eb="4">
      <t>サイミマン</t>
    </rPh>
    <phoneticPr fontId="1"/>
  </si>
  <si>
    <t>基本分</t>
    <rPh sb="0" eb="2">
      <t>キホン</t>
    </rPh>
    <rPh sb="2" eb="3">
      <t>ブン</t>
    </rPh>
    <phoneticPr fontId="1"/>
  </si>
  <si>
    <t>退職</t>
    <rPh sb="0" eb="2">
      <t>タイショク</t>
    </rPh>
    <phoneticPr fontId="1"/>
  </si>
  <si>
    <t>要配慮保育</t>
    <rPh sb="0" eb="1">
      <t>ヨウ</t>
    </rPh>
    <rPh sb="1" eb="3">
      <t>ハイリョ</t>
    </rPh>
    <rPh sb="3" eb="5">
      <t>ホイク</t>
    </rPh>
    <phoneticPr fontId="1"/>
  </si>
  <si>
    <t>給食室（調理）</t>
    <rPh sb="0" eb="3">
      <t>キュウショクシツ</t>
    </rPh>
    <rPh sb="4" eb="6">
      <t>チョウリ</t>
    </rPh>
    <phoneticPr fontId="1"/>
  </si>
  <si>
    <t>計</t>
    <rPh sb="0" eb="1">
      <t>ケイ</t>
    </rPh>
    <phoneticPr fontId="6"/>
  </si>
  <si>
    <t>※　　勤務形態について</t>
    <rPh sb="3" eb="5">
      <t>キンム</t>
    </rPh>
    <rPh sb="5" eb="6">
      <t>ケイ</t>
    </rPh>
    <rPh sb="6" eb="7">
      <t>タイ</t>
    </rPh>
    <phoneticPr fontId="6"/>
  </si>
  <si>
    <t>　　 ： (給付費)園の就業規則で定める常勤時間以上の勤務を行う者</t>
    <rPh sb="6" eb="8">
      <t>キュウフ</t>
    </rPh>
    <rPh sb="8" eb="9">
      <t>ヒ</t>
    </rPh>
    <rPh sb="10" eb="11">
      <t>エン</t>
    </rPh>
    <rPh sb="12" eb="14">
      <t>シュウギョウ</t>
    </rPh>
    <rPh sb="14" eb="16">
      <t>キソク</t>
    </rPh>
    <rPh sb="17" eb="18">
      <t>サダ</t>
    </rPh>
    <rPh sb="20" eb="22">
      <t>ジョウキン</t>
    </rPh>
    <rPh sb="22" eb="24">
      <t>ジカン</t>
    </rPh>
    <rPh sb="24" eb="26">
      <t>イジョウ</t>
    </rPh>
    <rPh sb="27" eb="29">
      <t>キンム</t>
    </rPh>
    <rPh sb="30" eb="31">
      <t>オコナ</t>
    </rPh>
    <rPh sb="32" eb="33">
      <t>モノ</t>
    </rPh>
    <phoneticPr fontId="6"/>
  </si>
  <si>
    <t>　　 ： （給付費）園の就業規則で定める常勤時間未満の勤務を行う者</t>
    <rPh sb="6" eb="8">
      <t>キュウフ</t>
    </rPh>
    <rPh sb="8" eb="9">
      <t>ヒ</t>
    </rPh>
    <rPh sb="10" eb="11">
      <t>エン</t>
    </rPh>
    <rPh sb="12" eb="14">
      <t>シュウギョウ</t>
    </rPh>
    <rPh sb="14" eb="16">
      <t>キソク</t>
    </rPh>
    <rPh sb="17" eb="18">
      <t>サダ</t>
    </rPh>
    <rPh sb="20" eb="22">
      <t>ジョウキン</t>
    </rPh>
    <rPh sb="22" eb="24">
      <t>ジカン</t>
    </rPh>
    <rPh sb="24" eb="26">
      <t>ミマン</t>
    </rPh>
    <rPh sb="27" eb="29">
      <t>キンム</t>
    </rPh>
    <rPh sb="30" eb="31">
      <t>オコナ</t>
    </rPh>
    <rPh sb="32" eb="33">
      <t>モノ</t>
    </rPh>
    <phoneticPr fontId="6"/>
  </si>
  <si>
    <t>系列園から異動</t>
    <rPh sb="0" eb="2">
      <t>ケイレツ</t>
    </rPh>
    <rPh sb="2" eb="3">
      <t>エン</t>
    </rPh>
    <rPh sb="5" eb="7">
      <t>イドウ</t>
    </rPh>
    <phoneticPr fontId="1"/>
  </si>
  <si>
    <t>系列園へ異動</t>
    <rPh sb="0" eb="2">
      <t>ケイレツ</t>
    </rPh>
    <rPh sb="2" eb="3">
      <t>エン</t>
    </rPh>
    <rPh sb="4" eb="6">
      <t>イドウ</t>
    </rPh>
    <phoneticPr fontId="1"/>
  </si>
  <si>
    <t>担当業務変更</t>
    <rPh sb="0" eb="2">
      <t>タントウ</t>
    </rPh>
    <rPh sb="2" eb="4">
      <t>ギョウム</t>
    </rPh>
    <rPh sb="4" eb="6">
      <t>ヘンコウ</t>
    </rPh>
    <phoneticPr fontId="1"/>
  </si>
  <si>
    <t>産・育休復帰</t>
    <rPh sb="0" eb="1">
      <t>サン</t>
    </rPh>
    <rPh sb="2" eb="4">
      <t>イクキュウ</t>
    </rPh>
    <rPh sb="4" eb="6">
      <t>フッキ</t>
    </rPh>
    <phoneticPr fontId="1"/>
  </si>
  <si>
    <t>産・育休取得</t>
    <rPh sb="0" eb="1">
      <t>サン</t>
    </rPh>
    <rPh sb="2" eb="4">
      <t>イクキュウ</t>
    </rPh>
    <rPh sb="4" eb="6">
      <t>シュトク</t>
    </rPh>
    <phoneticPr fontId="1"/>
  </si>
  <si>
    <t>a</t>
    <phoneticPr fontId="1"/>
  </si>
  <si>
    <t>病気・療養等休暇復帰</t>
    <rPh sb="0" eb="2">
      <t>ビョウキ</t>
    </rPh>
    <rPh sb="3" eb="5">
      <t>リョウヨウ</t>
    </rPh>
    <rPh sb="5" eb="6">
      <t>トウ</t>
    </rPh>
    <rPh sb="6" eb="8">
      <t>キュウカ</t>
    </rPh>
    <rPh sb="8" eb="10">
      <t>フッキ</t>
    </rPh>
    <phoneticPr fontId="1"/>
  </si>
  <si>
    <t>病気・療養等休暇取得</t>
    <rPh sb="0" eb="2">
      <t>ビョウキ</t>
    </rPh>
    <rPh sb="3" eb="5">
      <t>リョウヨウ</t>
    </rPh>
    <rPh sb="5" eb="6">
      <t>トウ</t>
    </rPh>
    <rPh sb="6" eb="8">
      <t>キュウカ</t>
    </rPh>
    <rPh sb="8" eb="10">
      <t>シュトク</t>
    </rPh>
    <phoneticPr fontId="1"/>
  </si>
  <si>
    <t>b</t>
    <phoneticPr fontId="1"/>
  </si>
  <si>
    <t>資格取得</t>
    <rPh sb="0" eb="2">
      <t>シカク</t>
    </rPh>
    <rPh sb="2" eb="4">
      <t>シュトク</t>
    </rPh>
    <phoneticPr fontId="1"/>
  </si>
  <si>
    <t>その他</t>
    <rPh sb="2" eb="3">
      <t>タ</t>
    </rPh>
    <phoneticPr fontId="1"/>
  </si>
  <si>
    <t>医療的ケア</t>
    <rPh sb="0" eb="3">
      <t>イリョウテキ</t>
    </rPh>
    <phoneticPr fontId="1"/>
  </si>
  <si>
    <t>c</t>
    <phoneticPr fontId="1"/>
  </si>
  <si>
    <t>d</t>
    <phoneticPr fontId="1"/>
  </si>
  <si>
    <t>e</t>
    <phoneticPr fontId="1"/>
  </si>
  <si>
    <t>f</t>
    <phoneticPr fontId="1"/>
  </si>
  <si>
    <t>g</t>
    <phoneticPr fontId="1"/>
  </si>
  <si>
    <t>h</t>
    <phoneticPr fontId="1"/>
  </si>
  <si>
    <t>１・２歳児</t>
    <rPh sb="3" eb="4">
      <t>サイ</t>
    </rPh>
    <rPh sb="4" eb="5">
      <t>ジ</t>
    </rPh>
    <phoneticPr fontId="1"/>
  </si>
  <si>
    <t>産休明け</t>
    <rPh sb="0" eb="2">
      <t>サンキュウ</t>
    </rPh>
    <rPh sb="2" eb="3">
      <t>ア</t>
    </rPh>
    <phoneticPr fontId="1"/>
  </si>
  <si>
    <t>勤務時間数入力シート</t>
    <rPh sb="0" eb="2">
      <t>キンム</t>
    </rPh>
    <rPh sb="2" eb="4">
      <t>ジカン</t>
    </rPh>
    <rPh sb="4" eb="5">
      <t>スウ</t>
    </rPh>
    <rPh sb="5" eb="7">
      <t>ニュウリョク</t>
    </rPh>
    <phoneticPr fontId="1"/>
  </si>
  <si>
    <t>給付費カウント</t>
    <rPh sb="0" eb="2">
      <t>キュウフ</t>
    </rPh>
    <rPh sb="2" eb="3">
      <t>ヒ</t>
    </rPh>
    <phoneticPr fontId="1"/>
  </si>
  <si>
    <t>職員名</t>
    <rPh sb="0" eb="2">
      <t>ショクイン</t>
    </rPh>
    <rPh sb="2" eb="3">
      <t>メイ</t>
    </rPh>
    <phoneticPr fontId="6"/>
  </si>
  <si>
    <t>作業列</t>
    <rPh sb="0" eb="2">
      <t>サギョウ</t>
    </rPh>
    <rPh sb="2" eb="3">
      <t>レツ</t>
    </rPh>
    <phoneticPr fontId="1"/>
  </si>
  <si>
    <t>→　就業規則に定める月の「常勤時間数」</t>
    <rPh sb="2" eb="4">
      <t>シュウギョウ</t>
    </rPh>
    <rPh sb="4" eb="6">
      <t>キソク</t>
    </rPh>
    <rPh sb="7" eb="8">
      <t>サダ</t>
    </rPh>
    <rPh sb="10" eb="11">
      <t>ツキ</t>
    </rPh>
    <rPh sb="13" eb="15">
      <t>ジョウキン</t>
    </rPh>
    <rPh sb="15" eb="18">
      <t>ジカンスウ</t>
    </rPh>
    <phoneticPr fontId="1"/>
  </si>
  <si>
    <t>↓　労働契約上の就業時間（１カ月あたり）</t>
    <rPh sb="2" eb="4">
      <t>ロウドウ</t>
    </rPh>
    <rPh sb="4" eb="6">
      <t>ケイヤク</t>
    </rPh>
    <rPh sb="6" eb="7">
      <t>ジョウ</t>
    </rPh>
    <rPh sb="8" eb="10">
      <t>シュウギョウ</t>
    </rPh>
    <rPh sb="10" eb="12">
      <t>ジカン</t>
    </rPh>
    <rPh sb="15" eb="16">
      <t>ゲツ</t>
    </rPh>
    <phoneticPr fontId="1"/>
  </si>
  <si>
    <t>千葉市施設型給付対象施設保育士等配置基準改善費算出内訳書（２）</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</si>
  <si>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（１）各月別入所児童数及び保育士定数（国基準）</t>
    <rPh sb="3" eb="4">
      <t>カク</t>
    </rPh>
    <rPh sb="4" eb="6">
      <t>ツキベツ</t>
    </rPh>
    <rPh sb="6" eb="8">
      <t>ニュウショ</t>
    </rPh>
    <rPh sb="8" eb="10">
      <t>ジドウ</t>
    </rPh>
    <rPh sb="10" eb="11">
      <t>スウ</t>
    </rPh>
    <rPh sb="11" eb="12">
      <t>オヨ</t>
    </rPh>
    <rPh sb="13" eb="16">
      <t>ホイクシ</t>
    </rPh>
    <rPh sb="16" eb="18">
      <t>テイスウ</t>
    </rPh>
    <rPh sb="19" eb="20">
      <t>クニ</t>
    </rPh>
    <rPh sb="20" eb="22">
      <t>キジュン</t>
    </rPh>
    <phoneticPr fontId="15"/>
  </si>
  <si>
    <t>施設名</t>
    <rPh sb="0" eb="2">
      <t>シセツ</t>
    </rPh>
    <rPh sb="2" eb="3">
      <t>メイ</t>
    </rPh>
    <phoneticPr fontId="15"/>
  </si>
  <si>
    <t>（児童定員）</t>
    <rPh sb="1" eb="3">
      <t>ジドウ</t>
    </rPh>
    <rPh sb="3" eb="5">
      <t>テイイン</t>
    </rPh>
    <phoneticPr fontId="15"/>
  </si>
  <si>
    <t>児童数計</t>
    <rPh sb="0" eb="2">
      <t>ジドウ</t>
    </rPh>
    <rPh sb="2" eb="3">
      <t>スウ</t>
    </rPh>
    <rPh sb="3" eb="4">
      <t>ケイ</t>
    </rPh>
    <phoneticPr fontId="15"/>
  </si>
  <si>
    <t>0歳</t>
    <rPh sb="1" eb="2">
      <t>サイ</t>
    </rPh>
    <phoneticPr fontId="15"/>
  </si>
  <si>
    <t>1歳</t>
    <rPh sb="1" eb="2">
      <t>サイ</t>
    </rPh>
    <phoneticPr fontId="15"/>
  </si>
  <si>
    <t>０歳児</t>
    <rPh sb="1" eb="3">
      <t>サイジ</t>
    </rPh>
    <phoneticPr fontId="15"/>
  </si>
  <si>
    <t>３歳児</t>
    <rPh sb="1" eb="2">
      <t>サイ</t>
    </rPh>
    <rPh sb="2" eb="3">
      <t>ジ</t>
    </rPh>
    <phoneticPr fontId="15"/>
  </si>
  <si>
    <t>４・５歳児</t>
    <rPh sb="3" eb="5">
      <t>サイジ</t>
    </rPh>
    <phoneticPr fontId="15"/>
  </si>
  <si>
    <t>÷３</t>
    <phoneticPr fontId="15"/>
  </si>
  <si>
    <t>÷６</t>
    <phoneticPr fontId="15"/>
  </si>
  <si>
    <t>÷１５</t>
    <phoneticPr fontId="15"/>
  </si>
  <si>
    <t>÷２０</t>
    <phoneticPr fontId="15"/>
  </si>
  <si>
    <t>÷３０</t>
    <phoneticPr fontId="15"/>
  </si>
  <si>
    <t>4月</t>
    <rPh sb="1" eb="2">
      <t>ガツ</t>
    </rPh>
    <phoneticPr fontId="1"/>
  </si>
  <si>
    <t>5月</t>
  </si>
  <si>
    <t>6月</t>
  </si>
  <si>
    <t>7月</t>
  </si>
  <si>
    <t>8月</t>
  </si>
  <si>
    <t>9月</t>
  </si>
  <si>
    <t>10月</t>
  </si>
  <si>
    <t>11月</t>
  </si>
  <si>
    <t>12月</t>
  </si>
  <si>
    <t>1月</t>
  </si>
  <si>
    <t>2月</t>
  </si>
  <si>
    <t>3月</t>
  </si>
  <si>
    <t>(2)　月別配置内訳書　（A)保育士配置</t>
    <rPh sb="4" eb="6">
      <t>ツキベツ</t>
    </rPh>
    <rPh sb="6" eb="8">
      <t>ハイチ</t>
    </rPh>
    <rPh sb="8" eb="11">
      <t>ウチワケショ</t>
    </rPh>
    <rPh sb="15" eb="18">
      <t>ホイクシ</t>
    </rPh>
    <rPh sb="18" eb="20">
      <t>ハイチ</t>
    </rPh>
    <phoneticPr fontId="15"/>
  </si>
  <si>
    <t>園名  　</t>
    <rPh sb="0" eb="1">
      <t>エン</t>
    </rPh>
    <rPh sb="1" eb="2">
      <t>メイ</t>
    </rPh>
    <phoneticPr fontId="15"/>
  </si>
  <si>
    <t>←①シートの施設名に入力すると自動入力されます。</t>
    <rPh sb="6" eb="8">
      <t>シセツ</t>
    </rPh>
    <rPh sb="8" eb="9">
      <t>メイ</t>
    </rPh>
    <rPh sb="10" eb="12">
      <t>ニュウリョク</t>
    </rPh>
    <rPh sb="15" eb="17">
      <t>ジドウ</t>
    </rPh>
    <rPh sb="17" eb="19">
      <t>ニュウリョク</t>
    </rPh>
    <phoneticPr fontId="1"/>
  </si>
  <si>
    <t>月</t>
    <rPh sb="0" eb="1">
      <t>ツキ</t>
    </rPh>
    <phoneticPr fontId="15"/>
  </si>
  <si>
    <r>
      <t>職員定数　</t>
    </r>
    <r>
      <rPr>
        <sz val="14"/>
        <rFont val="ＭＳ Ｐゴシック"/>
        <family val="3"/>
        <charset val="128"/>
      </rPr>
      <t>Ａ</t>
    </r>
    <rPh sb="0" eb="2">
      <t>ショクイン</t>
    </rPh>
    <rPh sb="2" eb="4">
      <t>テイスウ</t>
    </rPh>
    <phoneticPr fontId="15"/>
  </si>
  <si>
    <t>就業規則で定める月の常勤時間数</t>
    <rPh sb="0" eb="2">
      <t>シュウギョウ</t>
    </rPh>
    <rPh sb="2" eb="4">
      <t>キソク</t>
    </rPh>
    <rPh sb="5" eb="6">
      <t>サダ</t>
    </rPh>
    <rPh sb="8" eb="9">
      <t>ツキ</t>
    </rPh>
    <rPh sb="10" eb="12">
      <t>ジョウキン</t>
    </rPh>
    <rPh sb="12" eb="14">
      <t>ジカン</t>
    </rPh>
    <rPh sb="14" eb="15">
      <t>スウ</t>
    </rPh>
    <phoneticPr fontId="15"/>
  </si>
  <si>
    <t>加配数</t>
    <rPh sb="0" eb="1">
      <t>カ</t>
    </rPh>
    <rPh sb="1" eb="2">
      <t>ハイ</t>
    </rPh>
    <rPh sb="2" eb="3">
      <t>スウ</t>
    </rPh>
    <phoneticPr fontId="15"/>
  </si>
  <si>
    <t>B表</t>
    <rPh sb="1" eb="2">
      <t>ヒョウ</t>
    </rPh>
    <phoneticPr fontId="1"/>
  </si>
  <si>
    <t>C表</t>
    <rPh sb="1" eb="2">
      <t>ヒョウ</t>
    </rPh>
    <phoneticPr fontId="1"/>
  </si>
  <si>
    <t>E</t>
    <phoneticPr fontId="15"/>
  </si>
  <si>
    <t>雇用人数</t>
    <rPh sb="0" eb="2">
      <t>コヨウ</t>
    </rPh>
    <rPh sb="2" eb="4">
      <t>ニンズウ</t>
    </rPh>
    <phoneticPr fontId="15"/>
  </si>
  <si>
    <t>一時預かり</t>
    <rPh sb="0" eb="2">
      <t>イチジ</t>
    </rPh>
    <rPh sb="2" eb="3">
      <t>アズ</t>
    </rPh>
    <phoneticPr fontId="15"/>
  </si>
  <si>
    <t>チーム保育推進加算</t>
    <rPh sb="3" eb="5">
      <t>ホイク</t>
    </rPh>
    <rPh sb="5" eb="7">
      <t>スイシン</t>
    </rPh>
    <rPh sb="7" eb="9">
      <t>カサン</t>
    </rPh>
    <phoneticPr fontId="15"/>
  </si>
  <si>
    <t>支援センター</t>
    <rPh sb="0" eb="2">
      <t>シエン</t>
    </rPh>
    <phoneticPr fontId="15"/>
  </si>
  <si>
    <t>その他</t>
    <phoneticPr fontId="15"/>
  </si>
  <si>
    <t>通常保育</t>
    <rPh sb="0" eb="2">
      <t>ツウジョウ</t>
    </rPh>
    <rPh sb="2" eb="4">
      <t>ホイク</t>
    </rPh>
    <phoneticPr fontId="15"/>
  </si>
  <si>
    <t>要件緩和の算定可能数</t>
    <phoneticPr fontId="1"/>
  </si>
  <si>
    <t>保健師・看護師・准看護師の算定可能数</t>
    <rPh sb="0" eb="3">
      <t>ホケンシ</t>
    </rPh>
    <rPh sb="4" eb="7">
      <t>カンゴシ</t>
    </rPh>
    <rPh sb="8" eb="12">
      <t>ジュンカンゴシ</t>
    </rPh>
    <phoneticPr fontId="1"/>
  </si>
  <si>
    <t xml:space="preserve">配置の状況  </t>
    <rPh sb="0" eb="2">
      <t>ハイチ</t>
    </rPh>
    <rPh sb="3" eb="5">
      <t>ジョウキョウ</t>
    </rPh>
    <phoneticPr fontId="15"/>
  </si>
  <si>
    <t>正規職員</t>
    <rPh sb="0" eb="2">
      <t>セイキ</t>
    </rPh>
    <rPh sb="2" eb="4">
      <t>ショクイン</t>
    </rPh>
    <phoneticPr fontId="15"/>
  </si>
  <si>
    <t>常勤的非常勤</t>
    <rPh sb="0" eb="3">
      <t>ジョウキンテキ</t>
    </rPh>
    <rPh sb="3" eb="6">
      <t>ヒジョウキン</t>
    </rPh>
    <phoneticPr fontId="15"/>
  </si>
  <si>
    <t>短時間非常勤の時間数計（※２）</t>
    <rPh sb="0" eb="3">
      <t>タンジカン</t>
    </rPh>
    <rPh sb="3" eb="6">
      <t>ヒジョウキン</t>
    </rPh>
    <rPh sb="7" eb="10">
      <t>ジカンスウ</t>
    </rPh>
    <rPh sb="10" eb="11">
      <t>ケイ</t>
    </rPh>
    <phoneticPr fontId="15"/>
  </si>
  <si>
    <t>常勤の者</t>
    <rPh sb="0" eb="2">
      <t>ジョウキン</t>
    </rPh>
    <rPh sb="3" eb="4">
      <t>モノ</t>
    </rPh>
    <phoneticPr fontId="1"/>
  </si>
  <si>
    <t>非常勤の者（時間数）</t>
    <rPh sb="0" eb="3">
      <t>ヒジョウキン</t>
    </rPh>
    <rPh sb="4" eb="5">
      <t>モノ</t>
    </rPh>
    <rPh sb="6" eb="9">
      <t>ジカンスウ</t>
    </rPh>
    <phoneticPr fontId="15"/>
  </si>
  <si>
    <t>（所長設置加算該当保育園のみ）</t>
    <rPh sb="1" eb="3">
      <t>ショチョウ</t>
    </rPh>
    <rPh sb="3" eb="5">
      <t>セッチ</t>
    </rPh>
    <rPh sb="5" eb="7">
      <t>カサン</t>
    </rPh>
    <rPh sb="7" eb="9">
      <t>ガイトウ</t>
    </rPh>
    <rPh sb="9" eb="12">
      <t>ホイクエン</t>
    </rPh>
    <phoneticPr fontId="15"/>
  </si>
  <si>
    <t>常勤的非常勤・嘱託常勤</t>
    <rPh sb="0" eb="3">
      <t>ジョウキンテキ</t>
    </rPh>
    <rPh sb="3" eb="6">
      <t>ヒジョウキン</t>
    </rPh>
    <rPh sb="7" eb="9">
      <t>ショクタク</t>
    </rPh>
    <rPh sb="9" eb="11">
      <t>ジョウキン</t>
    </rPh>
    <phoneticPr fontId="15"/>
  </si>
  <si>
    <t>短時間非常勤等
の時間数</t>
    <rPh sb="0" eb="3">
      <t>タンジカン</t>
    </rPh>
    <rPh sb="3" eb="6">
      <t>ヒジョウキン</t>
    </rPh>
    <rPh sb="6" eb="7">
      <t>トウ</t>
    </rPh>
    <rPh sb="9" eb="12">
      <t>ジカンスウ</t>
    </rPh>
    <phoneticPr fontId="15"/>
  </si>
  <si>
    <t>短時間非常勤（常勤換算）</t>
    <rPh sb="0" eb="3">
      <t>タンジカン</t>
    </rPh>
    <rPh sb="3" eb="6">
      <t>ヒジョウキン</t>
    </rPh>
    <rPh sb="7" eb="9">
      <t>ジョウキン</t>
    </rPh>
    <rPh sb="9" eb="11">
      <t>カンサン</t>
    </rPh>
    <phoneticPr fontId="15"/>
  </si>
  <si>
    <r>
      <t>計　　　</t>
    </r>
    <r>
      <rPr>
        <sz val="14"/>
        <rFont val="ＭＳ Ｐゴシック"/>
        <family val="3"/>
        <charset val="128"/>
      </rPr>
      <t>Ｂ</t>
    </r>
    <rPh sb="0" eb="1">
      <t>ケイ</t>
    </rPh>
    <phoneticPr fontId="15"/>
  </si>
  <si>
    <t>定数の充足状況
（不足数）</t>
    <rPh sb="0" eb="2">
      <t>テイスウ</t>
    </rPh>
    <rPh sb="3" eb="5">
      <t>ジュウソク</t>
    </rPh>
    <rPh sb="5" eb="7">
      <t>ジョウキョウ</t>
    </rPh>
    <rPh sb="9" eb="11">
      <t>フソク</t>
    </rPh>
    <rPh sb="11" eb="12">
      <t>スウ</t>
    </rPh>
    <phoneticPr fontId="1"/>
  </si>
  <si>
    <t>補助金対象者数
（支給可否）</t>
    <rPh sb="0" eb="2">
      <t>ホジョ</t>
    </rPh>
    <rPh sb="2" eb="3">
      <t>キン</t>
    </rPh>
    <rPh sb="3" eb="5">
      <t>タイショウ</t>
    </rPh>
    <rPh sb="5" eb="6">
      <t>シャ</t>
    </rPh>
    <rPh sb="6" eb="7">
      <t>スウ</t>
    </rPh>
    <rPh sb="9" eb="11">
      <t>シキュウ</t>
    </rPh>
    <rPh sb="11" eb="13">
      <t>カヒ</t>
    </rPh>
    <phoneticPr fontId="1"/>
  </si>
  <si>
    <t>（※１）</t>
  </si>
  <si>
    <t>Ｃ</t>
    <phoneticPr fontId="15"/>
  </si>
  <si>
    <t>定数参入可能数</t>
    <rPh sb="0" eb="2">
      <t>テイスウ</t>
    </rPh>
    <rPh sb="2" eb="4">
      <t>サンニュウ</t>
    </rPh>
    <rPh sb="4" eb="6">
      <t>カノウ</t>
    </rPh>
    <rPh sb="6" eb="7">
      <t>スウ</t>
    </rPh>
    <phoneticPr fontId="15"/>
  </si>
  <si>
    <t>加配数</t>
    <rPh sb="0" eb="2">
      <t>カハイ</t>
    </rPh>
    <rPh sb="2" eb="3">
      <t>スウ</t>
    </rPh>
    <phoneticPr fontId="1"/>
  </si>
  <si>
    <t>ａ</t>
    <phoneticPr fontId="15"/>
  </si>
  <si>
    <t>ｂ</t>
    <phoneticPr fontId="15"/>
  </si>
  <si>
    <t>ｃ</t>
    <phoneticPr fontId="15"/>
  </si>
  <si>
    <t>d</t>
  </si>
  <si>
    <t>e</t>
  </si>
  <si>
    <t>★</t>
    <phoneticPr fontId="15"/>
  </si>
  <si>
    <t>f</t>
  </si>
  <si>
    <t>h</t>
  </si>
  <si>
    <t>i</t>
  </si>
  <si>
    <t>j</t>
  </si>
  <si>
    <t>q</t>
  </si>
  <si>
    <t>r</t>
  </si>
  <si>
    <t>s</t>
  </si>
  <si>
    <t>t</t>
  </si>
  <si>
    <t>u</t>
  </si>
  <si>
    <t>v</t>
  </si>
  <si>
    <t>w</t>
  </si>
  <si>
    <t>x</t>
  </si>
  <si>
    <t>y</t>
  </si>
  <si>
    <t>ｚ</t>
    <phoneticPr fontId="15"/>
  </si>
  <si>
    <t>aa</t>
    <phoneticPr fontId="15"/>
  </si>
  <si>
    <t>ab</t>
    <phoneticPr fontId="1"/>
  </si>
  <si>
    <t>（B-A)</t>
    <phoneticPr fontId="1"/>
  </si>
  <si>
    <t>※１</t>
    <phoneticPr fontId="15"/>
  </si>
  <si>
    <t>　　Ａは「各月別入所児童数及び保育士定数」のＡと同じです。</t>
    <phoneticPr fontId="15"/>
  </si>
  <si>
    <t>※２</t>
    <phoneticPr fontId="15"/>
  </si>
  <si>
    <t>※３</t>
    <phoneticPr fontId="15"/>
  </si>
  <si>
    <t>　　一番右の「補助金対象者数」の人数が「１」以上のときに基本分等の補助金該当となります。</t>
    <rPh sb="2" eb="4">
      <t>イチバン</t>
    </rPh>
    <rPh sb="4" eb="5">
      <t>ミギ</t>
    </rPh>
    <rPh sb="7" eb="10">
      <t>ホジョキン</t>
    </rPh>
    <rPh sb="10" eb="12">
      <t>タイショウ</t>
    </rPh>
    <rPh sb="12" eb="13">
      <t>シャ</t>
    </rPh>
    <rPh sb="13" eb="14">
      <t>スウ</t>
    </rPh>
    <rPh sb="16" eb="18">
      <t>ニンズウ</t>
    </rPh>
    <rPh sb="22" eb="24">
      <t>イジョウ</t>
    </rPh>
    <rPh sb="28" eb="30">
      <t>キホン</t>
    </rPh>
    <rPh sb="30" eb="31">
      <t>ブン</t>
    </rPh>
    <rPh sb="31" eb="32">
      <t>トウ</t>
    </rPh>
    <rPh sb="33" eb="36">
      <t>ホジョキン</t>
    </rPh>
    <rPh sb="36" eb="38">
      <t>ガイトウ</t>
    </rPh>
    <phoneticPr fontId="15"/>
  </si>
  <si>
    <t>(2)　月別配置内訳書　（B)要件緩和職員配置</t>
    <rPh sb="4" eb="6">
      <t>ツキベツ</t>
    </rPh>
    <rPh sb="6" eb="8">
      <t>ハイチ</t>
    </rPh>
    <rPh sb="8" eb="11">
      <t>ウチワケショ</t>
    </rPh>
    <rPh sb="15" eb="17">
      <t>ヨウケン</t>
    </rPh>
    <rPh sb="17" eb="19">
      <t>カンワ</t>
    </rPh>
    <rPh sb="19" eb="21">
      <t>ショクイン</t>
    </rPh>
    <rPh sb="21" eb="23">
      <t>ハイチ</t>
    </rPh>
    <phoneticPr fontId="15"/>
  </si>
  <si>
    <t>要件緩和対象職員</t>
    <rPh sb="0" eb="2">
      <t>ヨウケン</t>
    </rPh>
    <rPh sb="2" eb="4">
      <t>カンワ</t>
    </rPh>
    <rPh sb="4" eb="6">
      <t>タイショウ</t>
    </rPh>
    <rPh sb="6" eb="8">
      <t>ショクイン</t>
    </rPh>
    <phoneticPr fontId="15"/>
  </si>
  <si>
    <t>配置状況</t>
    <rPh sb="0" eb="2">
      <t>ハイチ</t>
    </rPh>
    <rPh sb="2" eb="4">
      <t>ジョウキョウ</t>
    </rPh>
    <phoneticPr fontId="1"/>
  </si>
  <si>
    <t>計Bの内訳</t>
    <rPh sb="0" eb="1">
      <t>ケイ</t>
    </rPh>
    <rPh sb="3" eb="5">
      <t>ウチワケ</t>
    </rPh>
    <phoneticPr fontId="1"/>
  </si>
  <si>
    <t>幼稚園教諭・小学校教諭・養護教諭</t>
    <rPh sb="0" eb="3">
      <t>ヨウチエン</t>
    </rPh>
    <rPh sb="3" eb="5">
      <t>キョウユ</t>
    </rPh>
    <rPh sb="6" eb="9">
      <t>ショウガッコウ</t>
    </rPh>
    <rPh sb="9" eb="11">
      <t>キョウユ</t>
    </rPh>
    <rPh sb="12" eb="14">
      <t>ヨウゴ</t>
    </rPh>
    <rPh sb="14" eb="16">
      <t>キョウユ</t>
    </rPh>
    <phoneticPr fontId="15"/>
  </si>
  <si>
    <t>その他市長が認める者</t>
    <rPh sb="2" eb="3">
      <t>タ</t>
    </rPh>
    <rPh sb="3" eb="5">
      <t>シチョウ</t>
    </rPh>
    <rPh sb="6" eb="7">
      <t>ミト</t>
    </rPh>
    <rPh sb="9" eb="10">
      <t>モノ</t>
    </rPh>
    <phoneticPr fontId="1"/>
  </si>
  <si>
    <t>（A表へ転記）</t>
    <rPh sb="2" eb="3">
      <t>ヒョウ</t>
    </rPh>
    <rPh sb="4" eb="6">
      <t>テンキ</t>
    </rPh>
    <phoneticPr fontId="1"/>
  </si>
  <si>
    <t>正規職員</t>
    <rPh sb="0" eb="2">
      <t>セイキ</t>
    </rPh>
    <rPh sb="2" eb="4">
      <t>ショクイン</t>
    </rPh>
    <phoneticPr fontId="1"/>
  </si>
  <si>
    <t>常勤的非常勤</t>
    <rPh sb="0" eb="3">
      <t>ジョウキンテキ</t>
    </rPh>
    <rPh sb="3" eb="6">
      <t>ヒジョウキン</t>
    </rPh>
    <phoneticPr fontId="1"/>
  </si>
  <si>
    <t>短時間の時間数計</t>
    <rPh sb="0" eb="3">
      <t>タンジカン</t>
    </rPh>
    <rPh sb="4" eb="7">
      <t>ジカンスウ</t>
    </rPh>
    <rPh sb="7" eb="8">
      <t>ケイ</t>
    </rPh>
    <phoneticPr fontId="1"/>
  </si>
  <si>
    <t>i</t>
    <phoneticPr fontId="15"/>
  </si>
  <si>
    <t>j</t>
    <phoneticPr fontId="1"/>
  </si>
  <si>
    <t>k</t>
    <phoneticPr fontId="15"/>
  </si>
  <si>
    <t>l</t>
    <phoneticPr fontId="15"/>
  </si>
  <si>
    <t>m</t>
    <phoneticPr fontId="15"/>
  </si>
  <si>
    <t>q</t>
    <phoneticPr fontId="15"/>
  </si>
  <si>
    <t>r</t>
    <phoneticPr fontId="15"/>
  </si>
  <si>
    <t>s</t>
    <phoneticPr fontId="15"/>
  </si>
  <si>
    <t>t</t>
    <phoneticPr fontId="1"/>
  </si>
  <si>
    <t>u</t>
    <phoneticPr fontId="1"/>
  </si>
  <si>
    <t>v</t>
    <phoneticPr fontId="1"/>
  </si>
  <si>
    <t>w</t>
    <phoneticPr fontId="15"/>
  </si>
  <si>
    <t>x</t>
    <phoneticPr fontId="15"/>
  </si>
  <si>
    <t>y</t>
    <phoneticPr fontId="15"/>
  </si>
  <si>
    <t>z</t>
    <phoneticPr fontId="1"/>
  </si>
  <si>
    <t>aa</t>
    <phoneticPr fontId="1"/>
  </si>
  <si>
    <t>ac</t>
    <phoneticPr fontId="15"/>
  </si>
  <si>
    <t>ad</t>
    <phoneticPr fontId="15"/>
  </si>
  <si>
    <t>ae</t>
    <phoneticPr fontId="15"/>
  </si>
  <si>
    <t>保健師の確保数</t>
    <rPh sb="0" eb="3">
      <t>ホケンシ</t>
    </rPh>
    <rPh sb="4" eb="6">
      <t>カクホ</t>
    </rPh>
    <rPh sb="6" eb="7">
      <t>スウ</t>
    </rPh>
    <phoneticPr fontId="1"/>
  </si>
  <si>
    <t>看護師の確保数</t>
    <rPh sb="0" eb="3">
      <t>カンゴシ</t>
    </rPh>
    <rPh sb="4" eb="6">
      <t>カクホ</t>
    </rPh>
    <rPh sb="6" eb="7">
      <t>スウ</t>
    </rPh>
    <phoneticPr fontId="1"/>
  </si>
  <si>
    <t>准看護師の確保数</t>
    <rPh sb="0" eb="4">
      <t>ジュンカンゴシ</t>
    </rPh>
    <rPh sb="5" eb="7">
      <t>カクホ</t>
    </rPh>
    <rPh sb="7" eb="8">
      <t>スウ</t>
    </rPh>
    <phoneticPr fontId="1"/>
  </si>
  <si>
    <t>計Bの
内訳</t>
    <rPh sb="0" eb="1">
      <t>ケイ</t>
    </rPh>
    <rPh sb="4" eb="6">
      <t>ウチワケ</t>
    </rPh>
    <phoneticPr fontId="1"/>
  </si>
  <si>
    <t>調理員等定数</t>
    <rPh sb="0" eb="3">
      <t>チョウリイン</t>
    </rPh>
    <rPh sb="3" eb="4">
      <t>トウ</t>
    </rPh>
    <rPh sb="4" eb="6">
      <t>テイスウ</t>
    </rPh>
    <phoneticPr fontId="15"/>
  </si>
  <si>
    <t>（管理）栄養士の確保数</t>
    <rPh sb="1" eb="3">
      <t>カンリ</t>
    </rPh>
    <rPh sb="4" eb="7">
      <t>エイヨウシ</t>
    </rPh>
    <rPh sb="8" eb="10">
      <t>カクホ</t>
    </rPh>
    <rPh sb="10" eb="11">
      <t>スウ</t>
    </rPh>
    <phoneticPr fontId="1"/>
  </si>
  <si>
    <t>調理師の確保数</t>
    <rPh sb="0" eb="3">
      <t>チョウリシ</t>
    </rPh>
    <rPh sb="4" eb="6">
      <t>カクホ</t>
    </rPh>
    <rPh sb="6" eb="7">
      <t>スウ</t>
    </rPh>
    <phoneticPr fontId="1"/>
  </si>
  <si>
    <t>その他調理員の確保数</t>
    <rPh sb="2" eb="3">
      <t>タ</t>
    </rPh>
    <rPh sb="3" eb="6">
      <t>チョウリイン</t>
    </rPh>
    <rPh sb="7" eb="9">
      <t>カクホ</t>
    </rPh>
    <rPh sb="9" eb="10">
      <t>スウ</t>
    </rPh>
    <phoneticPr fontId="1"/>
  </si>
  <si>
    <t>配置数合計</t>
    <rPh sb="0" eb="2">
      <t>ハイチ</t>
    </rPh>
    <rPh sb="2" eb="3">
      <t>スウ</t>
    </rPh>
    <rPh sb="3" eb="5">
      <t>ゴウケイ</t>
    </rPh>
    <phoneticPr fontId="15"/>
  </si>
  <si>
    <t>短時間非常勤
（常勤換算）</t>
    <rPh sb="0" eb="3">
      <t>タンジカン</t>
    </rPh>
    <rPh sb="3" eb="6">
      <t>ヒジョウキン</t>
    </rPh>
    <rPh sb="8" eb="10">
      <t>ジョウキン</t>
    </rPh>
    <rPh sb="10" eb="12">
      <t>カンサン</t>
    </rPh>
    <phoneticPr fontId="15"/>
  </si>
  <si>
    <t>（A表へ
転記）</t>
    <rPh sb="2" eb="3">
      <t>ヒョウ</t>
    </rPh>
    <rPh sb="5" eb="7">
      <t>テンキ</t>
    </rPh>
    <phoneticPr fontId="1"/>
  </si>
  <si>
    <t>短時間非常勤職員の時間数計（※２）</t>
    <rPh sb="0" eb="3">
      <t>タンジカン</t>
    </rPh>
    <rPh sb="3" eb="6">
      <t>ヒジョウキン</t>
    </rPh>
    <rPh sb="6" eb="8">
      <t>ショクイン</t>
    </rPh>
    <rPh sb="9" eb="12">
      <t>ジカンスウ</t>
    </rPh>
    <rPh sb="12" eb="13">
      <t>ケイ</t>
    </rPh>
    <phoneticPr fontId="15"/>
  </si>
  <si>
    <t>計</t>
    <rPh sb="0" eb="1">
      <t>ケイ</t>
    </rPh>
    <phoneticPr fontId="15"/>
  </si>
  <si>
    <t>a</t>
    <phoneticPr fontId="15"/>
  </si>
  <si>
    <t>b</t>
    <phoneticPr fontId="15"/>
  </si>
  <si>
    <t>c</t>
    <phoneticPr fontId="15"/>
  </si>
  <si>
    <t>i</t>
    <phoneticPr fontId="1"/>
  </si>
  <si>
    <t>k</t>
    <phoneticPr fontId="1"/>
  </si>
  <si>
    <t>l</t>
    <phoneticPr fontId="1"/>
  </si>
  <si>
    <t>m</t>
    <phoneticPr fontId="1"/>
  </si>
  <si>
    <t>n</t>
    <phoneticPr fontId="1"/>
  </si>
  <si>
    <t>o</t>
    <phoneticPr fontId="1"/>
  </si>
  <si>
    <t>p</t>
    <phoneticPr fontId="1"/>
  </si>
  <si>
    <t>t</t>
    <phoneticPr fontId="15"/>
  </si>
  <si>
    <t>u</t>
    <phoneticPr fontId="15"/>
  </si>
  <si>
    <t>v</t>
    <phoneticPr fontId="15"/>
  </si>
  <si>
    <t>千葉市施設型給付対象施設保育士等配置基準改善費算出内訳書（３）</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</si>
  <si>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１．</t>
    <phoneticPr fontId="1"/>
  </si>
  <si>
    <t>対象者名</t>
    <rPh sb="0" eb="3">
      <t>タイショウシャ</t>
    </rPh>
    <rPh sb="3" eb="4">
      <t>メイ</t>
    </rPh>
    <phoneticPr fontId="1"/>
  </si>
  <si>
    <t>雇用形態</t>
    <rPh sb="0" eb="2">
      <t>コヨウ</t>
    </rPh>
    <rPh sb="2" eb="4">
      <t>ケイタイ</t>
    </rPh>
    <phoneticPr fontId="1"/>
  </si>
  <si>
    <t>就労時間</t>
    <rPh sb="0" eb="2">
      <t>シュウロウ</t>
    </rPh>
    <rPh sb="2" eb="4">
      <t>ジカン</t>
    </rPh>
    <phoneticPr fontId="1"/>
  </si>
  <si>
    <t>賃金単価</t>
    <rPh sb="0" eb="2">
      <t>チンギン</t>
    </rPh>
    <rPh sb="2" eb="4">
      <t>タンカ</t>
    </rPh>
    <phoneticPr fontId="1"/>
  </si>
  <si>
    <t>対象経費</t>
    <rPh sb="0" eb="2">
      <t>タイショウ</t>
    </rPh>
    <rPh sb="2" eb="4">
      <t>ケイヒ</t>
    </rPh>
    <phoneticPr fontId="1"/>
  </si>
  <si>
    <t>補助単価</t>
    <rPh sb="0" eb="2">
      <t>ホジョ</t>
    </rPh>
    <rPh sb="2" eb="4">
      <t>タンカ</t>
    </rPh>
    <phoneticPr fontId="1"/>
  </si>
  <si>
    <t>補助額</t>
    <rPh sb="0" eb="2">
      <t>ホジョ</t>
    </rPh>
    <rPh sb="2" eb="3">
      <t>ガク</t>
    </rPh>
    <phoneticPr fontId="1"/>
  </si>
  <si>
    <t>取得IDX</t>
    <rPh sb="0" eb="2">
      <t>シュトク</t>
    </rPh>
    <phoneticPr fontId="1"/>
  </si>
  <si>
    <t>短時間非常勤</t>
  </si>
  <si>
    <t>予備1</t>
    <rPh sb="0" eb="2">
      <t>ヨビ</t>
    </rPh>
    <phoneticPr fontId="1"/>
  </si>
  <si>
    <t>計</t>
    <rPh sb="0" eb="1">
      <t>ケイ</t>
    </rPh>
    <phoneticPr fontId="1"/>
  </si>
  <si>
    <t>２．</t>
    <phoneticPr fontId="1"/>
  </si>
  <si>
    <t>千葉市施設型給付対象施設保育士等配置基準改善費算出内訳書（４）</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</si>
  <si>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３．</t>
    <phoneticPr fontId="1"/>
  </si>
  <si>
    <t>千葉市施設型給付対象施設保育士等配置基準改善費算出内訳書（５）</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</si>
  <si>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４．</t>
    <phoneticPr fontId="1"/>
  </si>
  <si>
    <t>千葉市施設型給付対象施設保育士等配置基準改善費算出内訳書（６）</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</si>
  <si>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５．</t>
    <phoneticPr fontId="1"/>
  </si>
  <si>
    <t>４月　小計</t>
    <rPh sb="1" eb="2">
      <t>ガツ</t>
    </rPh>
    <rPh sb="3" eb="5">
      <t>ショウケイ</t>
    </rPh>
    <phoneticPr fontId="1"/>
  </si>
  <si>
    <t>-</t>
    <phoneticPr fontId="1"/>
  </si>
  <si>
    <t>５月　小計</t>
    <rPh sb="1" eb="2">
      <t>ガツ</t>
    </rPh>
    <rPh sb="3" eb="5">
      <t>ショウケイ</t>
    </rPh>
    <phoneticPr fontId="1"/>
  </si>
  <si>
    <t>６月　小計</t>
    <rPh sb="1" eb="2">
      <t>ガツ</t>
    </rPh>
    <rPh sb="3" eb="5">
      <t>ショウケイ</t>
    </rPh>
    <phoneticPr fontId="1"/>
  </si>
  <si>
    <t>７月　小計</t>
    <rPh sb="1" eb="2">
      <t>ガツ</t>
    </rPh>
    <rPh sb="3" eb="5">
      <t>ショウケイ</t>
    </rPh>
    <phoneticPr fontId="1"/>
  </si>
  <si>
    <t>８月　小計</t>
    <rPh sb="1" eb="2">
      <t>ガツ</t>
    </rPh>
    <rPh sb="3" eb="5">
      <t>ショウケイ</t>
    </rPh>
    <phoneticPr fontId="1"/>
  </si>
  <si>
    <t>９月　小計</t>
    <rPh sb="1" eb="2">
      <t>ガツ</t>
    </rPh>
    <rPh sb="3" eb="5">
      <t>ショウケイ</t>
    </rPh>
    <phoneticPr fontId="1"/>
  </si>
  <si>
    <t>１０月　小計</t>
    <rPh sb="2" eb="3">
      <t>ガツ</t>
    </rPh>
    <rPh sb="4" eb="6">
      <t>ショウケイ</t>
    </rPh>
    <phoneticPr fontId="1"/>
  </si>
  <si>
    <t>１１月　小計</t>
    <rPh sb="2" eb="3">
      <t>ガツ</t>
    </rPh>
    <rPh sb="4" eb="6">
      <t>ショウケイ</t>
    </rPh>
    <phoneticPr fontId="1"/>
  </si>
  <si>
    <t>１２月　小計</t>
    <rPh sb="2" eb="3">
      <t>ガツ</t>
    </rPh>
    <rPh sb="4" eb="6">
      <t>ショウケイ</t>
    </rPh>
    <phoneticPr fontId="1"/>
  </si>
  <si>
    <t>１月　小計</t>
    <rPh sb="1" eb="2">
      <t>ガツ</t>
    </rPh>
    <rPh sb="3" eb="5">
      <t>ショウケイ</t>
    </rPh>
    <phoneticPr fontId="1"/>
  </si>
  <si>
    <t>２月　小計</t>
    <rPh sb="1" eb="2">
      <t>ガツ</t>
    </rPh>
    <rPh sb="3" eb="5">
      <t>ショウケイ</t>
    </rPh>
    <phoneticPr fontId="1"/>
  </si>
  <si>
    <t>３月　小計</t>
    <rPh sb="1" eb="2">
      <t>ガツ</t>
    </rPh>
    <rPh sb="3" eb="5">
      <t>ショウケイ</t>
    </rPh>
    <phoneticPr fontId="1"/>
  </si>
  <si>
    <t>千葉市施設型給付対象施設保育士等配置基準改善費算出内訳書（７）</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</si>
  <si>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６．</t>
    <phoneticPr fontId="1"/>
  </si>
  <si>
    <t>勤務日数</t>
    <rPh sb="0" eb="2">
      <t>キンム</t>
    </rPh>
    <rPh sb="2" eb="4">
      <t>ニッスウ</t>
    </rPh>
    <phoneticPr fontId="1"/>
  </si>
  <si>
    <t>交通費単価</t>
    <rPh sb="0" eb="3">
      <t>コウツウヒ</t>
    </rPh>
    <rPh sb="3" eb="5">
      <t>タンカ</t>
    </rPh>
    <phoneticPr fontId="1"/>
  </si>
  <si>
    <t xml:space="preserve"> </t>
    <phoneticPr fontId="6"/>
  </si>
  <si>
    <t>円</t>
    <rPh sb="0" eb="1">
      <t>エン</t>
    </rPh>
    <phoneticPr fontId="6"/>
  </si>
  <si>
    <t>種目</t>
    <rPh sb="0" eb="2">
      <t>シュモク</t>
    </rPh>
    <phoneticPr fontId="6"/>
  </si>
  <si>
    <t>円</t>
    <rPh sb="0" eb="1">
      <t>エン</t>
    </rPh>
    <phoneticPr fontId="29"/>
  </si>
  <si>
    <t>合 計</t>
    <phoneticPr fontId="29"/>
  </si>
  <si>
    <t>補助金の交付決定額</t>
    <rPh sb="0" eb="3">
      <t>ホジョキン</t>
    </rPh>
    <rPh sb="4" eb="6">
      <t>コウフ</t>
    </rPh>
    <rPh sb="6" eb="8">
      <t>ケッテイ</t>
    </rPh>
    <rPh sb="8" eb="9">
      <t>ガク</t>
    </rPh>
    <phoneticPr fontId="29"/>
  </si>
  <si>
    <t>補助金の既交付額</t>
    <rPh sb="0" eb="3">
      <t>ホジョキン</t>
    </rPh>
    <rPh sb="4" eb="5">
      <t>キ</t>
    </rPh>
    <rPh sb="5" eb="8">
      <t>コウフガク</t>
    </rPh>
    <phoneticPr fontId="29"/>
  </si>
  <si>
    <t>法人名</t>
    <rPh sb="0" eb="2">
      <t>ホウジン</t>
    </rPh>
    <rPh sb="2" eb="3">
      <t>メイ</t>
    </rPh>
    <phoneticPr fontId="15"/>
  </si>
  <si>
    <t>代表者職氏名</t>
    <rPh sb="0" eb="3">
      <t>ダイヒョウシャ</t>
    </rPh>
    <rPh sb="3" eb="4">
      <t>ショク</t>
    </rPh>
    <rPh sb="4" eb="6">
      <t>シメイ</t>
    </rPh>
    <phoneticPr fontId="15"/>
  </si>
  <si>
    <t>確認・修正等を要する箇所一覧</t>
    <rPh sb="0" eb="2">
      <t>カクニン</t>
    </rPh>
    <rPh sb="3" eb="5">
      <t>シュウセイ</t>
    </rPh>
    <rPh sb="5" eb="6">
      <t>トウ</t>
    </rPh>
    <rPh sb="7" eb="8">
      <t>ヨウ</t>
    </rPh>
    <rPh sb="10" eb="12">
      <t>カショ</t>
    </rPh>
    <rPh sb="12" eb="14">
      <t>イチラン</t>
    </rPh>
    <phoneticPr fontId="1"/>
  </si>
  <si>
    <t>（依頼内容）</t>
    <rPh sb="1" eb="3">
      <t>イライ</t>
    </rPh>
    <rPh sb="3" eb="5">
      <t>ナイヨウ</t>
    </rPh>
    <phoneticPr fontId="1"/>
  </si>
  <si>
    <t>・記載内容に疑義があり、確認・修正を依頼するもの　　</t>
    <phoneticPr fontId="1"/>
  </si>
  <si>
    <t>→　記載内容の確認・修正をお願いします。</t>
    <phoneticPr fontId="1"/>
  </si>
  <si>
    <t>・記載内容の誤りに対し修正したもの　　</t>
    <phoneticPr fontId="1"/>
  </si>
  <si>
    <t>・修正完了後、再度全体の整合の確認をお願いします。</t>
    <rPh sb="1" eb="3">
      <t>シュウセイ</t>
    </rPh>
    <rPh sb="3" eb="5">
      <t>カンリョウ</t>
    </rPh>
    <rPh sb="5" eb="6">
      <t>ゴ</t>
    </rPh>
    <rPh sb="7" eb="9">
      <t>サイド</t>
    </rPh>
    <rPh sb="9" eb="11">
      <t>ゼンタイ</t>
    </rPh>
    <rPh sb="12" eb="14">
      <t>セイゴウ</t>
    </rPh>
    <rPh sb="15" eb="17">
      <t>カクニン</t>
    </rPh>
    <rPh sb="19" eb="20">
      <t>ネガ</t>
    </rPh>
    <phoneticPr fontId="1"/>
  </si>
  <si>
    <t>確認等箇所</t>
    <rPh sb="0" eb="2">
      <t>カクニン</t>
    </rPh>
    <rPh sb="2" eb="3">
      <t>トウ</t>
    </rPh>
    <rPh sb="3" eb="5">
      <t>カショ</t>
    </rPh>
    <phoneticPr fontId="1"/>
  </si>
  <si>
    <t>内容</t>
    <rPh sb="0" eb="2">
      <t>ナイヨウ</t>
    </rPh>
    <phoneticPr fontId="1"/>
  </si>
  <si>
    <t>シート名</t>
    <rPh sb="3" eb="4">
      <t>メイ</t>
    </rPh>
    <phoneticPr fontId="1"/>
  </si>
  <si>
    <t>記載内容に疑義があり、確認・修正を依頼するもの</t>
    <rPh sb="0" eb="2">
      <t>キサイ</t>
    </rPh>
    <rPh sb="2" eb="4">
      <t>ナイヨウ</t>
    </rPh>
    <rPh sb="5" eb="7">
      <t>ギギ</t>
    </rPh>
    <rPh sb="11" eb="13">
      <t>カクニン</t>
    </rPh>
    <rPh sb="14" eb="16">
      <t>シュウセイ</t>
    </rPh>
    <rPh sb="17" eb="19">
      <t>イライ</t>
    </rPh>
    <phoneticPr fontId="1"/>
  </si>
  <si>
    <t>記載内容の誤りに対し修正したもの</t>
    <rPh sb="0" eb="2">
      <t>キサイ</t>
    </rPh>
    <rPh sb="2" eb="4">
      <t>ナイヨウ</t>
    </rPh>
    <rPh sb="5" eb="6">
      <t>アヤマ</t>
    </rPh>
    <rPh sb="8" eb="9">
      <t>タイ</t>
    </rPh>
    <rPh sb="10" eb="12">
      <t>シュウセイ</t>
    </rPh>
    <phoneticPr fontId="1"/>
  </si>
  <si>
    <t>①基本情報</t>
    <rPh sb="1" eb="3">
      <t>キホン</t>
    </rPh>
    <rPh sb="3" eb="5">
      <t>ジョウホウ</t>
    </rPh>
    <phoneticPr fontId="1"/>
  </si>
  <si>
    <t>②-1職員名簿</t>
    <rPh sb="3" eb="5">
      <t>ショクイン</t>
    </rPh>
    <rPh sb="5" eb="7">
      <t>メイボ</t>
    </rPh>
    <phoneticPr fontId="1"/>
  </si>
  <si>
    <t>②-2勤務時間数入力</t>
    <rPh sb="3" eb="5">
      <t>キンム</t>
    </rPh>
    <rPh sb="5" eb="7">
      <t>ジカン</t>
    </rPh>
    <rPh sb="7" eb="8">
      <t>スウ</t>
    </rPh>
    <rPh sb="8" eb="10">
      <t>ニュウリョク</t>
    </rPh>
    <phoneticPr fontId="1"/>
  </si>
  <si>
    <t>③児童数及び保育士定数 (2)-(1)</t>
    <phoneticPr fontId="1"/>
  </si>
  <si>
    <t>④-1月別配置内訳書(2)-(2)-(A)</t>
    <phoneticPr fontId="1"/>
  </si>
  <si>
    <t>④-2月別配置内訳書(2)-(2)-(B)</t>
    <phoneticPr fontId="1"/>
  </si>
  <si>
    <t>常勤時間数</t>
  </si>
  <si>
    <t>○職員現況調書の記載方法</t>
    <rPh sb="1" eb="3">
      <t>ショクイン</t>
    </rPh>
    <rPh sb="3" eb="5">
      <t>ゲンキョウ</t>
    </rPh>
    <rPh sb="5" eb="7">
      <t>チョウショ</t>
    </rPh>
    <rPh sb="8" eb="10">
      <t>キサイ</t>
    </rPh>
    <rPh sb="10" eb="12">
      <t>ホウホウ</t>
    </rPh>
    <phoneticPr fontId="1"/>
  </si>
  <si>
    <t>項目</t>
    <rPh sb="0" eb="2">
      <t>コウモク</t>
    </rPh>
    <phoneticPr fontId="1"/>
  </si>
  <si>
    <t>記載方法</t>
    <rPh sb="0" eb="2">
      <t>キサイ</t>
    </rPh>
    <rPh sb="2" eb="4">
      <t>ホウホウ</t>
    </rPh>
    <phoneticPr fontId="1"/>
  </si>
  <si>
    <t>B列</t>
    <rPh sb="1" eb="2">
      <t>レツ</t>
    </rPh>
    <phoneticPr fontId="1"/>
  </si>
  <si>
    <t>職種をプルダウンメニューから選択してください。</t>
    <rPh sb="0" eb="2">
      <t>ショクシュ</t>
    </rPh>
    <rPh sb="14" eb="16">
      <t>センタク</t>
    </rPh>
    <phoneticPr fontId="1"/>
  </si>
  <si>
    <t>C列</t>
    <rPh sb="1" eb="2">
      <t>レツ</t>
    </rPh>
    <phoneticPr fontId="1"/>
  </si>
  <si>
    <t>D列</t>
    <rPh sb="1" eb="2">
      <t>レツ</t>
    </rPh>
    <phoneticPr fontId="1"/>
  </si>
  <si>
    <t>E列</t>
    <rPh sb="1" eb="2">
      <t>レツ</t>
    </rPh>
    <phoneticPr fontId="1"/>
  </si>
  <si>
    <t>職員の氏名を記載してください。</t>
    <rPh sb="0" eb="2">
      <t>ショクイン</t>
    </rPh>
    <rPh sb="3" eb="5">
      <t>シメイ</t>
    </rPh>
    <rPh sb="6" eb="8">
      <t>キサイ</t>
    </rPh>
    <phoneticPr fontId="1"/>
  </si>
  <si>
    <t>F列</t>
    <rPh sb="1" eb="2">
      <t>レツ</t>
    </rPh>
    <phoneticPr fontId="1"/>
  </si>
  <si>
    <t>職員の性別を記選択してください。</t>
    <rPh sb="0" eb="2">
      <t>ショクイン</t>
    </rPh>
    <rPh sb="3" eb="5">
      <t>セイベツ</t>
    </rPh>
    <rPh sb="6" eb="7">
      <t>キ</t>
    </rPh>
    <rPh sb="7" eb="9">
      <t>センタク</t>
    </rPh>
    <phoneticPr fontId="1"/>
  </si>
  <si>
    <t>G列</t>
    <rPh sb="1" eb="2">
      <t>レツ</t>
    </rPh>
    <phoneticPr fontId="1"/>
  </si>
  <si>
    <t>職員の年齢を記載してください。</t>
    <rPh sb="0" eb="2">
      <t>ショクイン</t>
    </rPh>
    <rPh sb="3" eb="5">
      <t>ネンレイ</t>
    </rPh>
    <rPh sb="6" eb="8">
      <t>キサイ</t>
    </rPh>
    <phoneticPr fontId="1"/>
  </si>
  <si>
    <t>H～P列</t>
    <rPh sb="3" eb="4">
      <t>レツ</t>
    </rPh>
    <phoneticPr fontId="1"/>
  </si>
  <si>
    <t>Q列</t>
    <rPh sb="1" eb="2">
      <t>レツ</t>
    </rPh>
    <phoneticPr fontId="1"/>
  </si>
  <si>
    <t>H～P列に記載のもの以外で、特筆すべき資格を有する場合、記載してください。</t>
    <rPh sb="3" eb="4">
      <t>レツ</t>
    </rPh>
    <rPh sb="5" eb="7">
      <t>キサイ</t>
    </rPh>
    <rPh sb="10" eb="12">
      <t>イガイ</t>
    </rPh>
    <rPh sb="14" eb="16">
      <t>トクヒツ</t>
    </rPh>
    <rPh sb="19" eb="21">
      <t>シカク</t>
    </rPh>
    <rPh sb="22" eb="23">
      <t>ユウ</t>
    </rPh>
    <rPh sb="25" eb="27">
      <t>バアイ</t>
    </rPh>
    <rPh sb="28" eb="30">
      <t>キサイ</t>
    </rPh>
    <phoneticPr fontId="1"/>
  </si>
  <si>
    <t>R列</t>
    <rPh sb="1" eb="2">
      <t>レツ</t>
    </rPh>
    <phoneticPr fontId="1"/>
  </si>
  <si>
    <t>要件緩和の適用開始となった日付を入力してください。</t>
    <rPh sb="0" eb="2">
      <t>ヨウケン</t>
    </rPh>
    <rPh sb="2" eb="4">
      <t>カンワ</t>
    </rPh>
    <rPh sb="5" eb="7">
      <t>テキヨウ</t>
    </rPh>
    <rPh sb="7" eb="9">
      <t>カイシ</t>
    </rPh>
    <rPh sb="13" eb="15">
      <t>ヒヅケ</t>
    </rPh>
    <rPh sb="16" eb="18">
      <t>ニュウリョク</t>
    </rPh>
    <phoneticPr fontId="1"/>
  </si>
  <si>
    <t>S列</t>
    <rPh sb="1" eb="2">
      <t>レツ</t>
    </rPh>
    <phoneticPr fontId="1"/>
  </si>
  <si>
    <t>新規採用、系列園からの異動、担当業務の変更等、新たに業務に就くこととなった日を記載してください。</t>
    <rPh sb="0" eb="2">
      <t>シンキ</t>
    </rPh>
    <rPh sb="2" eb="4">
      <t>サイヨウ</t>
    </rPh>
    <rPh sb="5" eb="7">
      <t>ケイレツ</t>
    </rPh>
    <rPh sb="7" eb="8">
      <t>エン</t>
    </rPh>
    <rPh sb="11" eb="13">
      <t>イドウ</t>
    </rPh>
    <rPh sb="14" eb="16">
      <t>タントウ</t>
    </rPh>
    <rPh sb="16" eb="18">
      <t>ギョウム</t>
    </rPh>
    <rPh sb="19" eb="21">
      <t>ヘンコウ</t>
    </rPh>
    <rPh sb="21" eb="22">
      <t>トウ</t>
    </rPh>
    <rPh sb="23" eb="24">
      <t>アラ</t>
    </rPh>
    <rPh sb="26" eb="28">
      <t>ギョウム</t>
    </rPh>
    <rPh sb="29" eb="30">
      <t>ツ</t>
    </rPh>
    <rPh sb="37" eb="38">
      <t>ヒ</t>
    </rPh>
    <rPh sb="39" eb="41">
      <t>キサイ</t>
    </rPh>
    <phoneticPr fontId="1"/>
  </si>
  <si>
    <t>T列</t>
    <rPh sb="1" eb="2">
      <t>レツ</t>
    </rPh>
    <phoneticPr fontId="1"/>
  </si>
  <si>
    <t>S列に記載することとなった事由をプルダウンメニューから選択してください。</t>
    <rPh sb="1" eb="2">
      <t>レツ</t>
    </rPh>
    <rPh sb="3" eb="5">
      <t>キサイ</t>
    </rPh>
    <rPh sb="13" eb="15">
      <t>ジユウ</t>
    </rPh>
    <rPh sb="27" eb="29">
      <t>センタク</t>
    </rPh>
    <phoneticPr fontId="1"/>
  </si>
  <si>
    <t>U列</t>
    <rPh sb="1" eb="2">
      <t>レツ</t>
    </rPh>
    <phoneticPr fontId="1"/>
  </si>
  <si>
    <t>退職、系列園への異動、担当業務の変更等、現在の業務を離れることとなった日を記載してください。</t>
    <rPh sb="0" eb="2">
      <t>タイショク</t>
    </rPh>
    <rPh sb="3" eb="5">
      <t>ケイレツ</t>
    </rPh>
    <rPh sb="5" eb="6">
      <t>エン</t>
    </rPh>
    <rPh sb="8" eb="10">
      <t>イドウ</t>
    </rPh>
    <rPh sb="11" eb="13">
      <t>タントウ</t>
    </rPh>
    <rPh sb="13" eb="15">
      <t>ギョウム</t>
    </rPh>
    <rPh sb="16" eb="18">
      <t>ヘンコウ</t>
    </rPh>
    <rPh sb="18" eb="19">
      <t>トウ</t>
    </rPh>
    <rPh sb="20" eb="22">
      <t>ゲンザイ</t>
    </rPh>
    <rPh sb="23" eb="25">
      <t>ギョウム</t>
    </rPh>
    <rPh sb="26" eb="27">
      <t>ハナ</t>
    </rPh>
    <rPh sb="35" eb="36">
      <t>ヒ</t>
    </rPh>
    <rPh sb="37" eb="39">
      <t>キサイ</t>
    </rPh>
    <phoneticPr fontId="1"/>
  </si>
  <si>
    <t>V列</t>
    <rPh sb="1" eb="2">
      <t>レツ</t>
    </rPh>
    <phoneticPr fontId="1"/>
  </si>
  <si>
    <t>U列に記載することとなった事由をプルダウンメニューから選択してください。</t>
    <rPh sb="1" eb="2">
      <t>レツ</t>
    </rPh>
    <rPh sb="3" eb="5">
      <t>キサイ</t>
    </rPh>
    <rPh sb="13" eb="15">
      <t>ジユウ</t>
    </rPh>
    <rPh sb="27" eb="29">
      <t>センタク</t>
    </rPh>
    <phoneticPr fontId="1"/>
  </si>
  <si>
    <t>W列</t>
    <rPh sb="1" eb="2">
      <t>レツ</t>
    </rPh>
    <phoneticPr fontId="1"/>
  </si>
  <si>
    <t>○勤務時間入力シートの記載方法</t>
    <rPh sb="1" eb="3">
      <t>キンム</t>
    </rPh>
    <rPh sb="3" eb="5">
      <t>ジカン</t>
    </rPh>
    <rPh sb="5" eb="7">
      <t>ニュウリョク</t>
    </rPh>
    <rPh sb="11" eb="13">
      <t>キサイ</t>
    </rPh>
    <rPh sb="13" eb="15">
      <t>ホウホウ</t>
    </rPh>
    <phoneticPr fontId="1"/>
  </si>
  <si>
    <t>各園が就業規則に定める月ごとの「常勤時間数」を記載してください。
各月ごとに「常勤時間数」が変動する場合は、上書き修正してください。</t>
    <rPh sb="0" eb="2">
      <t>カクエン</t>
    </rPh>
    <rPh sb="3" eb="5">
      <t>シュウギョウ</t>
    </rPh>
    <rPh sb="5" eb="7">
      <t>キソク</t>
    </rPh>
    <rPh sb="8" eb="9">
      <t>サダ</t>
    </rPh>
    <rPh sb="11" eb="12">
      <t>ツキ</t>
    </rPh>
    <rPh sb="16" eb="18">
      <t>ジョウキン</t>
    </rPh>
    <rPh sb="18" eb="21">
      <t>ジカンスウ</t>
    </rPh>
    <rPh sb="23" eb="25">
      <t>キサイ</t>
    </rPh>
    <rPh sb="33" eb="34">
      <t>カク</t>
    </rPh>
    <rPh sb="34" eb="35">
      <t>ツキ</t>
    </rPh>
    <rPh sb="39" eb="41">
      <t>ジョウキン</t>
    </rPh>
    <rPh sb="41" eb="44">
      <t>ジカンスウ</t>
    </rPh>
    <rPh sb="46" eb="48">
      <t>ヘンドウ</t>
    </rPh>
    <rPh sb="50" eb="52">
      <t>バアイ</t>
    </rPh>
    <rPh sb="54" eb="56">
      <t>ウワガ</t>
    </rPh>
    <rPh sb="57" eb="59">
      <t>シュウセイ</t>
    </rPh>
    <phoneticPr fontId="1"/>
  </si>
  <si>
    <t>このシートの取り扱いについて</t>
    <rPh sb="6" eb="7">
      <t>ト</t>
    </rPh>
    <rPh sb="8" eb="9">
      <t>アツカ</t>
    </rPh>
    <phoneticPr fontId="1"/>
  </si>
  <si>
    <t>・このシートの内容を修正したい場合は、「②-1職員名簿」、「②-2勤務時間数入力のシート」を修正してください。</t>
    <rPh sb="7" eb="9">
      <t>ナイヨウ</t>
    </rPh>
    <rPh sb="10" eb="12">
      <t>シュウセイ</t>
    </rPh>
    <rPh sb="15" eb="17">
      <t>バアイ</t>
    </rPh>
    <rPh sb="46" eb="48">
      <t>シュウセイ</t>
    </rPh>
    <phoneticPr fontId="1"/>
  </si>
  <si>
    <t>・②-1職員名簿、②-2勤務時間数入力のシートから必要事項を転記していますので、記載する必要はありません。</t>
    <rPh sb="4" eb="6">
      <t>ショクイン</t>
    </rPh>
    <rPh sb="6" eb="8">
      <t>メイボ</t>
    </rPh>
    <rPh sb="12" eb="14">
      <t>キンム</t>
    </rPh>
    <rPh sb="14" eb="16">
      <t>ジカン</t>
    </rPh>
    <rPh sb="16" eb="17">
      <t>スウ</t>
    </rPh>
    <rPh sb="17" eb="19">
      <t>ニュウリョク</t>
    </rPh>
    <rPh sb="25" eb="27">
      <t>ヒツヨウ</t>
    </rPh>
    <rPh sb="27" eb="29">
      <t>ジコウ</t>
    </rPh>
    <rPh sb="30" eb="32">
      <t>テンキ</t>
    </rPh>
    <phoneticPr fontId="1"/>
  </si>
  <si>
    <t>・記載されている内容の確認をお願いします。</t>
    <rPh sb="1" eb="3">
      <t>キサイ</t>
    </rPh>
    <rPh sb="8" eb="10">
      <t>ナイヨウ</t>
    </rPh>
    <rPh sb="11" eb="13">
      <t>カクニン</t>
    </rPh>
    <rPh sb="15" eb="16">
      <t>ネガ</t>
    </rPh>
    <phoneticPr fontId="1"/>
  </si>
  <si>
    <t>○このシートの記載方法</t>
    <rPh sb="7" eb="9">
      <t>キサイ</t>
    </rPh>
    <rPh sb="9" eb="11">
      <t>ホウホウ</t>
    </rPh>
    <phoneticPr fontId="1"/>
  </si>
  <si>
    <t>・B列に「1」が表示されている月が補助対象となります。</t>
    <rPh sb="2" eb="3">
      <t>レツ</t>
    </rPh>
    <rPh sb="8" eb="10">
      <t>ヒョウジ</t>
    </rPh>
    <rPh sb="15" eb="16">
      <t>ツキ</t>
    </rPh>
    <rPh sb="17" eb="19">
      <t>ホジョ</t>
    </rPh>
    <rPh sb="19" eb="21">
      <t>タイショウ</t>
    </rPh>
    <phoneticPr fontId="1"/>
  </si>
  <si>
    <t>「賃金単価を記載」と表示されているセルに、職員の賃金単価を記載してください（非常勤職員のみ）。</t>
    <rPh sb="10" eb="12">
      <t>ヒョウジ</t>
    </rPh>
    <rPh sb="21" eb="23">
      <t>ショクイン</t>
    </rPh>
    <rPh sb="24" eb="26">
      <t>チンギン</t>
    </rPh>
    <rPh sb="26" eb="28">
      <t>タンカ</t>
    </rPh>
    <rPh sb="29" eb="31">
      <t>キサイ</t>
    </rPh>
    <rPh sb="38" eb="41">
      <t>ヒジョウキン</t>
    </rPh>
    <rPh sb="41" eb="43">
      <t>ショクイン</t>
    </rPh>
    <phoneticPr fontId="1"/>
  </si>
  <si>
    <t>・B列に表示されている人数が補助対象となります。</t>
    <rPh sb="2" eb="3">
      <t>レツ</t>
    </rPh>
    <rPh sb="4" eb="6">
      <t>ヒョウジ</t>
    </rPh>
    <rPh sb="11" eb="13">
      <t>ニンズウ</t>
    </rPh>
    <rPh sb="14" eb="16">
      <t>ホジョ</t>
    </rPh>
    <rPh sb="16" eb="18">
      <t>タイショウ</t>
    </rPh>
    <phoneticPr fontId="1"/>
  </si>
  <si>
    <t>・C列に表示されている人数が補助対象となります。</t>
    <rPh sb="2" eb="3">
      <t>レツ</t>
    </rPh>
    <rPh sb="4" eb="6">
      <t>ヒョウジ</t>
    </rPh>
    <rPh sb="11" eb="13">
      <t>ニンズウ</t>
    </rPh>
    <rPh sb="14" eb="16">
      <t>ホジョ</t>
    </rPh>
    <rPh sb="16" eb="18">
      <t>タイショウ</t>
    </rPh>
    <phoneticPr fontId="1"/>
  </si>
  <si>
    <t>「勤務日数を記載（定期利用の場合、1と記載)」と表示されているセルに、職員の勤務日数を記載してください（非常勤職員のみ）。
通勤に定期券を利用する者については、便宜上「1」を記載してください。</t>
    <rPh sb="24" eb="26">
      <t>ヒョウジ</t>
    </rPh>
    <rPh sb="35" eb="37">
      <t>ショクイン</t>
    </rPh>
    <rPh sb="38" eb="40">
      <t>キンム</t>
    </rPh>
    <rPh sb="40" eb="42">
      <t>ニッスウ</t>
    </rPh>
    <rPh sb="43" eb="45">
      <t>キサイ</t>
    </rPh>
    <rPh sb="52" eb="55">
      <t>ヒジョウキン</t>
    </rPh>
    <rPh sb="55" eb="57">
      <t>ショクイン</t>
    </rPh>
    <rPh sb="62" eb="64">
      <t>ツウキン</t>
    </rPh>
    <rPh sb="65" eb="68">
      <t>テイキケン</t>
    </rPh>
    <rPh sb="69" eb="71">
      <t>リヨウ</t>
    </rPh>
    <rPh sb="73" eb="74">
      <t>モノ</t>
    </rPh>
    <rPh sb="80" eb="82">
      <t>ベンギ</t>
    </rPh>
    <rPh sb="82" eb="83">
      <t>ジョウ</t>
    </rPh>
    <rPh sb="87" eb="89">
      <t>キサイ</t>
    </rPh>
    <phoneticPr fontId="1"/>
  </si>
  <si>
    <t>I列</t>
    <rPh sb="1" eb="2">
      <t>レツ</t>
    </rPh>
    <phoneticPr fontId="1"/>
  </si>
  <si>
    <t>「日額の交通費を記載（定期利用の場合は月額)」と表示されているセルに、職員の交通費を記載してください（非常勤職員のみ）。
通勤に定期券を利用する者については、定期券の金額（1カ月分）を記載してください。</t>
    <rPh sb="24" eb="26">
      <t>ヒョウジ</t>
    </rPh>
    <rPh sb="35" eb="37">
      <t>ショクイン</t>
    </rPh>
    <rPh sb="38" eb="41">
      <t>コウツウヒ</t>
    </rPh>
    <rPh sb="42" eb="44">
      <t>キサイ</t>
    </rPh>
    <rPh sb="51" eb="54">
      <t>ヒジョウキン</t>
    </rPh>
    <rPh sb="54" eb="56">
      <t>ショクイン</t>
    </rPh>
    <rPh sb="61" eb="63">
      <t>ツウキン</t>
    </rPh>
    <rPh sb="64" eb="67">
      <t>テイキケン</t>
    </rPh>
    <rPh sb="68" eb="70">
      <t>リヨウ</t>
    </rPh>
    <rPh sb="72" eb="73">
      <t>モノ</t>
    </rPh>
    <rPh sb="79" eb="82">
      <t>テイキケン</t>
    </rPh>
    <rPh sb="83" eb="85">
      <t>キンガク</t>
    </rPh>
    <rPh sb="88" eb="89">
      <t>ゲツ</t>
    </rPh>
    <rPh sb="89" eb="90">
      <t>ブン</t>
    </rPh>
    <rPh sb="92" eb="94">
      <t>キサイ</t>
    </rPh>
    <phoneticPr fontId="1"/>
  </si>
  <si>
    <t>介護・看護休暇取得</t>
    <rPh sb="0" eb="2">
      <t>カイゴ</t>
    </rPh>
    <rPh sb="3" eb="5">
      <t>カンゴ</t>
    </rPh>
    <rPh sb="5" eb="7">
      <t>キュウカ</t>
    </rPh>
    <rPh sb="7" eb="9">
      <t>シュトク</t>
    </rPh>
    <phoneticPr fontId="1"/>
  </si>
  <si>
    <t>介護・看護休暇復帰</t>
    <rPh sb="0" eb="2">
      <t>カイゴ</t>
    </rPh>
    <rPh sb="3" eb="5">
      <t>カンゴ</t>
    </rPh>
    <rPh sb="5" eb="7">
      <t>キュウカ</t>
    </rPh>
    <rPh sb="7" eb="9">
      <t>フッキ</t>
    </rPh>
    <phoneticPr fontId="1"/>
  </si>
  <si>
    <t>-</t>
    <phoneticPr fontId="1"/>
  </si>
  <si>
    <t>延長保育</t>
    <rPh sb="0" eb="2">
      <t>エンチョウ</t>
    </rPh>
    <rPh sb="2" eb="4">
      <t>ホイク</t>
    </rPh>
    <phoneticPr fontId="1"/>
  </si>
  <si>
    <t>勤務形態変更</t>
    <rPh sb="0" eb="2">
      <t>キンム</t>
    </rPh>
    <rPh sb="2" eb="4">
      <t>ケイタイ</t>
    </rPh>
    <rPh sb="4" eb="6">
      <t>ヘンコウ</t>
    </rPh>
    <phoneticPr fontId="1"/>
  </si>
  <si>
    <t>D3セル</t>
    <phoneticPr fontId="1"/>
  </si>
  <si>
    <t>年度（和暦）を「数字のみ」入力してください。</t>
    <rPh sb="0" eb="2">
      <t>ネンド</t>
    </rPh>
    <rPh sb="3" eb="5">
      <t>ワレキ</t>
    </rPh>
    <rPh sb="8" eb="10">
      <t>スウジ</t>
    </rPh>
    <rPh sb="13" eb="15">
      <t>ニュウリョク</t>
    </rPh>
    <phoneticPr fontId="1"/>
  </si>
  <si>
    <t>年</t>
    <rPh sb="0" eb="1">
      <t>ネン</t>
    </rPh>
    <phoneticPr fontId="1"/>
  </si>
  <si>
    <t>処遇改善加算Ⅰの平均勤続年数</t>
    <phoneticPr fontId="1"/>
  </si>
  <si>
    <t>入力担当者の氏名を入力してください。</t>
    <rPh sb="0" eb="2">
      <t>ニュウリョク</t>
    </rPh>
    <rPh sb="2" eb="5">
      <t>タントウシャ</t>
    </rPh>
    <rPh sb="6" eb="8">
      <t>シメイ</t>
    </rPh>
    <rPh sb="9" eb="11">
      <t>ニュウリョク</t>
    </rPh>
    <phoneticPr fontId="1"/>
  </si>
  <si>
    <t>一時預かり事業の実施の有無を選択してください。</t>
    <rPh sb="0" eb="2">
      <t>イチジ</t>
    </rPh>
    <rPh sb="2" eb="3">
      <t>アズ</t>
    </rPh>
    <rPh sb="5" eb="7">
      <t>ジギョウ</t>
    </rPh>
    <rPh sb="8" eb="10">
      <t>ジッシ</t>
    </rPh>
    <rPh sb="11" eb="13">
      <t>ウム</t>
    </rPh>
    <rPh sb="14" eb="16">
      <t>センタク</t>
    </rPh>
    <phoneticPr fontId="1"/>
  </si>
  <si>
    <t>保育標準時間児童の受け入れの有無を選択してください。</t>
    <rPh sb="14" eb="16">
      <t>ウム</t>
    </rPh>
    <rPh sb="17" eb="19">
      <t>センタク</t>
    </rPh>
    <phoneticPr fontId="1"/>
  </si>
  <si>
    <t>一時預かり事業を実施する場合の実施形態を選択してください。</t>
    <rPh sb="0" eb="2">
      <t>イチジ</t>
    </rPh>
    <rPh sb="2" eb="3">
      <t>アズ</t>
    </rPh>
    <rPh sb="5" eb="7">
      <t>ジギョウ</t>
    </rPh>
    <rPh sb="8" eb="10">
      <t>ジッシ</t>
    </rPh>
    <rPh sb="12" eb="14">
      <t>バアイ</t>
    </rPh>
    <rPh sb="15" eb="17">
      <t>ジッシ</t>
    </rPh>
    <rPh sb="17" eb="19">
      <t>ケイタイ</t>
    </rPh>
    <rPh sb="20" eb="22">
      <t>センタク</t>
    </rPh>
    <phoneticPr fontId="1"/>
  </si>
  <si>
    <t>一時預かり事業を「一般型」で実施する場合、1人加配の適用の有無を選択してください。</t>
    <rPh sb="0" eb="2">
      <t>イチジ</t>
    </rPh>
    <rPh sb="2" eb="3">
      <t>アズ</t>
    </rPh>
    <rPh sb="5" eb="7">
      <t>ジギョウ</t>
    </rPh>
    <rPh sb="9" eb="12">
      <t>イッパンガタ</t>
    </rPh>
    <rPh sb="14" eb="16">
      <t>ジッシ</t>
    </rPh>
    <rPh sb="18" eb="20">
      <t>バアイ</t>
    </rPh>
    <rPh sb="22" eb="23">
      <t>ニン</t>
    </rPh>
    <rPh sb="23" eb="25">
      <t>カハイ</t>
    </rPh>
    <rPh sb="26" eb="28">
      <t>テキヨウ</t>
    </rPh>
    <rPh sb="29" eb="31">
      <t>ウム</t>
    </rPh>
    <rPh sb="32" eb="34">
      <t>センタク</t>
    </rPh>
    <phoneticPr fontId="1"/>
  </si>
  <si>
    <t>医療的ケア児受け入れに係る保健師・看護師・准看護師の加配数を入力してください。
単位（人）は入力不要です。</t>
    <rPh sb="0" eb="3">
      <t>イリョウテキ</t>
    </rPh>
    <rPh sb="5" eb="6">
      <t>ジ</t>
    </rPh>
    <rPh sb="6" eb="7">
      <t>ウ</t>
    </rPh>
    <rPh sb="8" eb="9">
      <t>イ</t>
    </rPh>
    <rPh sb="11" eb="12">
      <t>カカ</t>
    </rPh>
    <rPh sb="13" eb="16">
      <t>ホケンシ</t>
    </rPh>
    <rPh sb="17" eb="20">
      <t>カンゴシ</t>
    </rPh>
    <rPh sb="21" eb="25">
      <t>ジュンカンゴシ</t>
    </rPh>
    <rPh sb="26" eb="28">
      <t>カハイ</t>
    </rPh>
    <rPh sb="28" eb="29">
      <t>スウ</t>
    </rPh>
    <rPh sb="30" eb="32">
      <t>ニュウリョク</t>
    </rPh>
    <rPh sb="40" eb="42">
      <t>タンイ</t>
    </rPh>
    <rPh sb="43" eb="44">
      <t>ニン</t>
    </rPh>
    <rPh sb="46" eb="48">
      <t>ニュウリョク</t>
    </rPh>
    <rPh sb="48" eb="50">
      <t>フヨウ</t>
    </rPh>
    <phoneticPr fontId="1"/>
  </si>
  <si>
    <t>要配慮児受け入れに係る加配保育士数を入力してください。
単位（人）は入力不要です。</t>
    <rPh sb="0" eb="1">
      <t>ヨウ</t>
    </rPh>
    <rPh sb="1" eb="3">
      <t>ハイリョ</t>
    </rPh>
    <rPh sb="3" eb="4">
      <t>ジ</t>
    </rPh>
    <rPh sb="4" eb="5">
      <t>ウ</t>
    </rPh>
    <rPh sb="6" eb="7">
      <t>イ</t>
    </rPh>
    <rPh sb="9" eb="10">
      <t>カカ</t>
    </rPh>
    <rPh sb="11" eb="13">
      <t>カハイ</t>
    </rPh>
    <rPh sb="13" eb="16">
      <t>ホイクシ</t>
    </rPh>
    <rPh sb="16" eb="17">
      <t>スウ</t>
    </rPh>
    <rPh sb="18" eb="20">
      <t>ニュウリョク</t>
    </rPh>
    <rPh sb="28" eb="30">
      <t>タンイ</t>
    </rPh>
    <rPh sb="31" eb="32">
      <t>ニン</t>
    </rPh>
    <rPh sb="34" eb="36">
      <t>ニュウリョク</t>
    </rPh>
    <rPh sb="36" eb="38">
      <t>フヨウ</t>
    </rPh>
    <phoneticPr fontId="1"/>
  </si>
  <si>
    <t>医療的ケア児の受入数を入力してください。
単位（人）は入力不要です。</t>
    <rPh sb="0" eb="3">
      <t>イリョウテキ</t>
    </rPh>
    <rPh sb="5" eb="6">
      <t>ジ</t>
    </rPh>
    <rPh sb="7" eb="10">
      <t>ウケイレスウ</t>
    </rPh>
    <rPh sb="11" eb="13">
      <t>ニュウリョク</t>
    </rPh>
    <rPh sb="21" eb="23">
      <t>タンイ</t>
    </rPh>
    <rPh sb="24" eb="25">
      <t>ニン</t>
    </rPh>
    <rPh sb="27" eb="29">
      <t>ニュウリョク</t>
    </rPh>
    <rPh sb="29" eb="31">
      <t>フヨウ</t>
    </rPh>
    <phoneticPr fontId="1"/>
  </si>
  <si>
    <t>支援センターの実施の有無を選択してください。</t>
    <rPh sb="0" eb="2">
      <t>シエン</t>
    </rPh>
    <rPh sb="7" eb="9">
      <t>ジッシ</t>
    </rPh>
    <rPh sb="10" eb="12">
      <t>ウム</t>
    </rPh>
    <rPh sb="13" eb="15">
      <t>センタク</t>
    </rPh>
    <phoneticPr fontId="1"/>
  </si>
  <si>
    <t>主任保育士加算適用の有無を選択してください。</t>
    <rPh sb="0" eb="2">
      <t>シュニン</t>
    </rPh>
    <rPh sb="2" eb="5">
      <t>ホイクシ</t>
    </rPh>
    <rPh sb="5" eb="7">
      <t>カサン</t>
    </rPh>
    <rPh sb="7" eb="9">
      <t>テキヨウ</t>
    </rPh>
    <rPh sb="10" eb="12">
      <t>ウム</t>
    </rPh>
    <rPh sb="13" eb="15">
      <t>センタク</t>
    </rPh>
    <phoneticPr fontId="1"/>
  </si>
  <si>
    <t>・対象職員：正規職員、常勤的非常勤、短時間非常勤</t>
    <rPh sb="1" eb="3">
      <t>タイショウ</t>
    </rPh>
    <rPh sb="3" eb="5">
      <t>ショクイン</t>
    </rPh>
    <rPh sb="6" eb="8">
      <t>セイキ</t>
    </rPh>
    <rPh sb="8" eb="10">
      <t>ショクイン</t>
    </rPh>
    <rPh sb="11" eb="14">
      <t>ジョウキンテキ</t>
    </rPh>
    <rPh sb="14" eb="17">
      <t>ヒジョウキン</t>
    </rPh>
    <rPh sb="18" eb="21">
      <t>タンジカン</t>
    </rPh>
    <rPh sb="21" eb="24">
      <t>ヒジョウキン</t>
    </rPh>
    <phoneticPr fontId="1"/>
  </si>
  <si>
    <t>１　入力部分</t>
    <rPh sb="2" eb="4">
      <t>ニュウリョク</t>
    </rPh>
    <rPh sb="4" eb="6">
      <t>ブブン</t>
    </rPh>
    <phoneticPr fontId="1"/>
  </si>
  <si>
    <t>（１）データ提出期限</t>
    <rPh sb="6" eb="8">
      <t>テイシュツ</t>
    </rPh>
    <rPh sb="8" eb="10">
      <t>キゲン</t>
    </rPh>
    <phoneticPr fontId="1"/>
  </si>
  <si>
    <t>提出先</t>
    <rPh sb="0" eb="2">
      <t>テイシュツ</t>
    </rPh>
    <rPh sb="2" eb="3">
      <t>サキ</t>
    </rPh>
    <phoneticPr fontId="1"/>
  </si>
  <si>
    <t>〒260-8722　千葉市中央区千葉港２－１　千葉中央CC９F</t>
    <rPh sb="10" eb="13">
      <t>チバシ</t>
    </rPh>
    <rPh sb="13" eb="16">
      <t>チュウオウク</t>
    </rPh>
    <rPh sb="16" eb="19">
      <t>チバミナト</t>
    </rPh>
    <rPh sb="23" eb="25">
      <t>チバ</t>
    </rPh>
    <rPh sb="25" eb="27">
      <t>チュウオウ</t>
    </rPh>
    <phoneticPr fontId="1"/>
  </si>
  <si>
    <t>TEL ０４３－２４５－５７２９ 　FAX０４３－２４５－５８９４</t>
    <phoneticPr fontId="1"/>
  </si>
  <si>
    <t>千葉市こども未来局こども未来部幼保運営課</t>
    <phoneticPr fontId="1"/>
  </si>
  <si>
    <t>unei-josei@city.chiba.lg.jp</t>
    <phoneticPr fontId="1"/>
  </si>
  <si>
    <t>e-mail:</t>
    <phoneticPr fontId="1"/>
  </si>
  <si>
    <t>項目・セル等</t>
    <rPh sb="0" eb="2">
      <t>コウモク</t>
    </rPh>
    <rPh sb="5" eb="6">
      <t>トウ</t>
    </rPh>
    <phoneticPr fontId="1"/>
  </si>
  <si>
    <t>正規職員「以外」の職員については、補助事業の対象者となる場合には雇用契約内容証明書を作成し、提出すること。</t>
    <rPh sb="0" eb="2">
      <t>セイキ</t>
    </rPh>
    <rPh sb="2" eb="4">
      <t>ショクイン</t>
    </rPh>
    <rPh sb="5" eb="7">
      <t>イガイ</t>
    </rPh>
    <rPh sb="9" eb="11">
      <t>ショクイン</t>
    </rPh>
    <rPh sb="17" eb="19">
      <t>ホジョ</t>
    </rPh>
    <rPh sb="19" eb="21">
      <t>ジギョウ</t>
    </rPh>
    <rPh sb="22" eb="25">
      <t>タイショウシャ</t>
    </rPh>
    <rPh sb="28" eb="30">
      <t>バアイ</t>
    </rPh>
    <rPh sb="32" eb="34">
      <t>コヨウ</t>
    </rPh>
    <rPh sb="34" eb="36">
      <t>ケイヤク</t>
    </rPh>
    <rPh sb="36" eb="38">
      <t>ナイヨウ</t>
    </rPh>
    <rPh sb="38" eb="40">
      <t>ショウメイ</t>
    </rPh>
    <rPh sb="40" eb="41">
      <t>ショ</t>
    </rPh>
    <rPh sb="42" eb="44">
      <t>サクセイ</t>
    </rPh>
    <rPh sb="46" eb="48">
      <t>テイシュツ</t>
    </rPh>
    <phoneticPr fontId="1"/>
  </si>
  <si>
    <t>※雇用契約内容証明書に代えて、労働契約書（写）の提出でも可。</t>
    <rPh sb="1" eb="3">
      <t>コヨウ</t>
    </rPh>
    <rPh sb="3" eb="5">
      <t>ケイヤク</t>
    </rPh>
    <rPh sb="5" eb="7">
      <t>ナイヨウ</t>
    </rPh>
    <rPh sb="7" eb="9">
      <t>ショウメイ</t>
    </rPh>
    <rPh sb="9" eb="10">
      <t>ショ</t>
    </rPh>
    <rPh sb="11" eb="12">
      <t>カ</t>
    </rPh>
    <rPh sb="15" eb="17">
      <t>ロウドウ</t>
    </rPh>
    <rPh sb="17" eb="19">
      <t>ケイヤク</t>
    </rPh>
    <rPh sb="19" eb="20">
      <t>ショ</t>
    </rPh>
    <rPh sb="21" eb="22">
      <t>ウツ</t>
    </rPh>
    <rPh sb="24" eb="26">
      <t>テイシュツ</t>
    </rPh>
    <rPh sb="28" eb="29">
      <t>カ</t>
    </rPh>
    <phoneticPr fontId="1"/>
  </si>
  <si>
    <t>ab</t>
  </si>
  <si>
    <t>ac</t>
  </si>
  <si>
    <t>ad</t>
  </si>
  <si>
    <t>ae</t>
  </si>
  <si>
    <t>af</t>
  </si>
  <si>
    <t>ag</t>
  </si>
  <si>
    <t>ah</t>
  </si>
  <si>
    <t>ai</t>
  </si>
  <si>
    <t>aj</t>
  </si>
  <si>
    <t>ak</t>
  </si>
  <si>
    <t>al</t>
  </si>
  <si>
    <t>am</t>
  </si>
  <si>
    <t>an</t>
  </si>
  <si>
    <t>ao</t>
    <phoneticPr fontId="1"/>
  </si>
  <si>
    <t>園長</t>
    <rPh sb="0" eb="2">
      <t>エンチョウ</t>
    </rPh>
    <phoneticPr fontId="1"/>
  </si>
  <si>
    <t>区　名</t>
    <rPh sb="0" eb="1">
      <t>ク</t>
    </rPh>
    <rPh sb="2" eb="3">
      <t>メイ</t>
    </rPh>
    <phoneticPr fontId="2"/>
  </si>
  <si>
    <t>区　分</t>
    <rPh sb="0" eb="1">
      <t>ク</t>
    </rPh>
    <rPh sb="2" eb="3">
      <t>ブン</t>
    </rPh>
    <phoneticPr fontId="2"/>
  </si>
  <si>
    <t>中央区</t>
    <rPh sb="0" eb="3">
      <t>チュウオウク</t>
    </rPh>
    <phoneticPr fontId="47"/>
  </si>
  <si>
    <t>花見川区</t>
    <rPh sb="0" eb="3">
      <t>ハナミガワ</t>
    </rPh>
    <rPh sb="3" eb="4">
      <t>ク</t>
    </rPh>
    <phoneticPr fontId="47"/>
  </si>
  <si>
    <t>稲毛区</t>
    <rPh sb="0" eb="2">
      <t>イナゲ</t>
    </rPh>
    <rPh sb="2" eb="3">
      <t>ク</t>
    </rPh>
    <phoneticPr fontId="47"/>
  </si>
  <si>
    <t>若葉区</t>
    <rPh sb="0" eb="2">
      <t>ワカバ</t>
    </rPh>
    <rPh sb="2" eb="3">
      <t>ク</t>
    </rPh>
    <phoneticPr fontId="47"/>
  </si>
  <si>
    <t>緑区</t>
    <rPh sb="0" eb="1">
      <t>ミドリ</t>
    </rPh>
    <rPh sb="1" eb="2">
      <t>ク</t>
    </rPh>
    <phoneticPr fontId="47"/>
  </si>
  <si>
    <t>美浜区</t>
    <rPh sb="0" eb="2">
      <t>ミハマ</t>
    </rPh>
    <rPh sb="2" eb="3">
      <t>ク</t>
    </rPh>
    <phoneticPr fontId="47"/>
  </si>
  <si>
    <t>幼稚園型認定こども園</t>
  </si>
  <si>
    <t>院内保育園</t>
  </si>
  <si>
    <t>認定こども園　葵幼稚園</t>
  </si>
  <si>
    <t>幼保連携型認定こども園　植草学園大学附属弁天こども園</t>
  </si>
  <si>
    <t>みどり保育園</t>
  </si>
  <si>
    <t>認定こども園　さつきが丘幼稚園</t>
  </si>
  <si>
    <t>稲毛保育園</t>
  </si>
  <si>
    <t>認定こども園　小ばと幼稚園</t>
  </si>
  <si>
    <t>幼保連携型認定こども園　ウィズダムナーサリースクール</t>
  </si>
  <si>
    <t>旭ヶ丘保育園</t>
  </si>
  <si>
    <t>認定こども園　みつわ台幼稚園</t>
  </si>
  <si>
    <t>わかくさ保育園</t>
  </si>
  <si>
    <t>認定こども園　ほまれ幼稚園</t>
  </si>
  <si>
    <t>認定こども園　白梅幼稚園</t>
  </si>
  <si>
    <t>認定こども園　かしの木学園　かしの木園</t>
  </si>
  <si>
    <t>認定こども園　かしの木学園　カトライア・キンダーガルテン</t>
  </si>
  <si>
    <t>認定こども園　あいりす幼稚園</t>
  </si>
  <si>
    <t>幼保連携型認定こども園　幕張海浜こども園</t>
  </si>
  <si>
    <t>今井保育園</t>
  </si>
  <si>
    <t>認定こども園　仁戸名幼稚園</t>
  </si>
  <si>
    <t>認定こども園　はまの幼稚園</t>
  </si>
  <si>
    <t>ちどり保育園</t>
  </si>
  <si>
    <t>認定こども園　まこと第三幼稚園</t>
  </si>
  <si>
    <t>作草部保育園</t>
  </si>
  <si>
    <t>認定こども園　稲毛すみれ幼稚園</t>
  </si>
  <si>
    <t>若竹保育園</t>
  </si>
  <si>
    <t>おゆみ野保育園</t>
  </si>
  <si>
    <t>認定こども園　鏡戸幼稚園</t>
  </si>
  <si>
    <t>認定こども園　キッズビレッジ</t>
  </si>
  <si>
    <t>認定こども園　高洲幼稚園</t>
  </si>
  <si>
    <t>幼保連携型認定こども園　打瀬保育園</t>
  </si>
  <si>
    <t>千葉寺保育園</t>
  </si>
  <si>
    <t>認定こども園　ひまわり幼稚園</t>
  </si>
  <si>
    <t>幕張いもっこ保育園</t>
  </si>
  <si>
    <t>認定こども園　まこと第二幼稚園</t>
  </si>
  <si>
    <t>南小中台保育園</t>
  </si>
  <si>
    <t>認定こども園　山王幼稚園</t>
  </si>
  <si>
    <t>みつわ台保育園</t>
  </si>
  <si>
    <t>ナーセリー鏡戸</t>
  </si>
  <si>
    <t>認定こども園　明徳土気こども園</t>
  </si>
  <si>
    <t>まどか保育園</t>
  </si>
  <si>
    <t>認定こども園　高浜幼稚園</t>
  </si>
  <si>
    <t>幼保連携型認定こども園　千葉女子専門学校附属聖こども園</t>
  </si>
  <si>
    <t>慈光保育園</t>
  </si>
  <si>
    <t>認定こども園　千葉明徳短期大学附属幼稚園</t>
  </si>
  <si>
    <t>幕張本郷きらきら保育園</t>
  </si>
  <si>
    <t>認定こども園　花見川ちぐさ幼稚園</t>
  </si>
  <si>
    <t>山王保育園</t>
  </si>
  <si>
    <t>認定こども園　土岐幼稚園</t>
  </si>
  <si>
    <t>たいよう保育園</t>
  </si>
  <si>
    <t>なぎさ保育園</t>
  </si>
  <si>
    <t>認定こども園　千葉さざなみ幼稚園</t>
  </si>
  <si>
    <t>松ケ丘保育園</t>
  </si>
  <si>
    <t>認定こども園　登戸幼稚園</t>
  </si>
  <si>
    <t>泉保育園</t>
  </si>
  <si>
    <t>チャイルド・ガーデン保育園</t>
  </si>
  <si>
    <t>すずらん保育園</t>
  </si>
  <si>
    <t>明和輝保育園</t>
  </si>
  <si>
    <t>もみじ保育園</t>
  </si>
  <si>
    <t>認定こども園　真砂幼稚園</t>
  </si>
  <si>
    <t>ひなたぼっこ保育園</t>
  </si>
  <si>
    <t>認定こども園　松ヶ丘幼稚園</t>
  </si>
  <si>
    <t>新検見川すきっぷ保育園</t>
  </si>
  <si>
    <t>キッズマーム保育園</t>
  </si>
  <si>
    <t>グレース保育園</t>
  </si>
  <si>
    <t>みらい保育園</t>
  </si>
  <si>
    <t>はまかぜ保育園</t>
  </si>
  <si>
    <t>認定こども園　都幼稚園</t>
  </si>
  <si>
    <t>幕張本郷ナーサリー</t>
  </si>
  <si>
    <t>稲毛すきっぷ保育園</t>
  </si>
  <si>
    <t>千葉聖心保育園</t>
  </si>
  <si>
    <t>真生保育園</t>
  </si>
  <si>
    <t>アスク海浜幕張保育園</t>
  </si>
  <si>
    <t>明徳浜野駅保育園</t>
  </si>
  <si>
    <t>ほのぼのたんぽぽほいくえん</t>
  </si>
  <si>
    <t>稲毛ひだまり保育園</t>
  </si>
  <si>
    <t>都賀保育園</t>
  </si>
  <si>
    <t>スクルドエンジェル保育園幕張園</t>
  </si>
  <si>
    <t>ミルキーホーム都賀園</t>
  </si>
  <si>
    <t>おゆみ野すきっぷ保育園</t>
  </si>
  <si>
    <t>いろは保育園</t>
  </si>
  <si>
    <t>ししの子保育園</t>
  </si>
  <si>
    <t>まほろばのお日さま保育園</t>
  </si>
  <si>
    <t>たかし保育園稲毛海岸</t>
  </si>
  <si>
    <t>ローゼンそが保育園</t>
  </si>
  <si>
    <t>ぴょんぴょん保育園</t>
  </si>
  <si>
    <t>アストロナーサリー小仲台</t>
  </si>
  <si>
    <t>マミー＆ミー西都賀保育園</t>
  </si>
  <si>
    <t>美光保育園</t>
  </si>
  <si>
    <t>第２幕張海浜保育園</t>
  </si>
  <si>
    <t>幕張本郷すきっぷ保育園</t>
  </si>
  <si>
    <t>若葉保育園</t>
  </si>
  <si>
    <t>あおぞら保育園</t>
  </si>
  <si>
    <t>なのはな保育園</t>
  </si>
  <si>
    <t>ピラミッドメソッド千葉保育園</t>
  </si>
  <si>
    <t>花見川さくら学園保育園</t>
  </si>
  <si>
    <t>アストロキャンプ稲毛東保育園</t>
  </si>
  <si>
    <t>都賀せいわ保育園</t>
  </si>
  <si>
    <t>テンダーラビング保育園誉田</t>
  </si>
  <si>
    <t>キッズガーデン海浜幕張保育園</t>
  </si>
  <si>
    <t>ルーチェ保育園千葉新田町</t>
  </si>
  <si>
    <t>日乃出保育園</t>
  </si>
  <si>
    <t>スクルドエンジェル保育園稲毛園</t>
  </si>
  <si>
    <t>やまどり保育園</t>
  </si>
  <si>
    <t>誉田おもいやり保育園</t>
  </si>
  <si>
    <t>ふぇりーちぇほいくえん</t>
  </si>
  <si>
    <t>検見川わくわく保育園</t>
  </si>
  <si>
    <t>ＫＯＲＵ保育園</t>
  </si>
  <si>
    <t>マリア保育園</t>
  </si>
  <si>
    <t>さくらんぼ保育園</t>
  </si>
  <si>
    <t>京進のほいくえん　HOPPA幕張ベイパーク</t>
  </si>
  <si>
    <t>寒川保育園</t>
  </si>
  <si>
    <t>キートスチャイルドケア幕張本郷</t>
  </si>
  <si>
    <t>稲毛こどもの木保育園</t>
  </si>
  <si>
    <t>キートスチャイルドケア桜木</t>
  </si>
  <si>
    <t>げんき保育園</t>
  </si>
  <si>
    <t>京進のほいくえんＨＯＰＰＡ幕張町5丁目</t>
  </si>
  <si>
    <t>稲毛キッズマーム保育園</t>
  </si>
  <si>
    <t>小倉台　いろは保育園</t>
  </si>
  <si>
    <t>マミー＆ミーおゆみ野保育園</t>
  </si>
  <si>
    <t>本千葉エンゼルホーム保育園</t>
  </si>
  <si>
    <t>京進のほいくえんＨＯＰＰＡ幕張本郷駅前</t>
  </si>
  <si>
    <t>キートスチャイルドケア園生町</t>
  </si>
  <si>
    <t>つぐみ保育園</t>
  </si>
  <si>
    <t>かるがも保育園　おゆみ野園</t>
  </si>
  <si>
    <t>キートスチャイルドケア新田町</t>
  </si>
  <si>
    <t>千葉検見川雲母保育園</t>
  </si>
  <si>
    <t>千葉稲毛雲母保育園</t>
  </si>
  <si>
    <t>みつばち保育園　若葉</t>
  </si>
  <si>
    <t>そが中央保育園</t>
  </si>
  <si>
    <t>かえで保育園幕張本郷</t>
  </si>
  <si>
    <t>ナーサリーホーム園生保育園</t>
  </si>
  <si>
    <t>アンファンジュール保育園おゆみ野</t>
  </si>
  <si>
    <t>すえひろ保育園</t>
  </si>
  <si>
    <t>すまいるキャンディ保育園</t>
  </si>
  <si>
    <t>小ばと会なでしこ保育園</t>
  </si>
  <si>
    <t>ぽかぽか保育園おてんとさん</t>
  </si>
  <si>
    <t>千葉こども保育園</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</si>
  <si>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</si>
  <si>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</si>
  <si>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</si>
  <si>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</si>
  <si>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</si>
  <si>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</si>
  <si>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</si>
  <si>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</si>
  <si>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ナーサリーホーム小仲台</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</si>
  <si>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</si>
  <si>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</si>
  <si>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</si>
  <si>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</si>
  <si>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</si>
  <si>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</si>
  <si>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</si>
  <si>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</si>
  <si>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</si>
  <si>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</si>
  <si>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</si>
  <si>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</si>
  <si>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</si>
  <si>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</si>
  <si>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</si>
  <si>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</si>
  <si>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通し
番号</t>
    <rPh sb="0" eb="1">
      <t>トオ</t>
    </rPh>
    <rPh sb="3" eb="5">
      <t>バンゴウ</t>
    </rPh>
    <phoneticPr fontId="1"/>
  </si>
  <si>
    <t>0003013</t>
  </si>
  <si>
    <t>0003026</t>
  </si>
  <si>
    <t>0003057</t>
  </si>
  <si>
    <t>0003072</t>
  </si>
  <si>
    <t>3210006</t>
  </si>
  <si>
    <t>3210118</t>
  </si>
  <si>
    <t>3210134</t>
  </si>
  <si>
    <t>3210135</t>
  </si>
  <si>
    <t>3210202</t>
  </si>
  <si>
    <t>3210204</t>
  </si>
  <si>
    <t>3210206</t>
  </si>
  <si>
    <t>3210207</t>
  </si>
  <si>
    <t>3210208</t>
  </si>
  <si>
    <t>3210210</t>
  </si>
  <si>
    <t>3210211</t>
  </si>
  <si>
    <t>3210212</t>
  </si>
  <si>
    <t>3210213</t>
  </si>
  <si>
    <t>3210214</t>
  </si>
  <si>
    <t>3210215</t>
  </si>
  <si>
    <t>3210216</t>
  </si>
  <si>
    <t>3210322</t>
  </si>
  <si>
    <t>3210323</t>
  </si>
  <si>
    <t>3210324</t>
  </si>
  <si>
    <t>3210325</t>
  </si>
  <si>
    <t>3210326</t>
  </si>
  <si>
    <t>3210327</t>
  </si>
  <si>
    <t>3210476</t>
  </si>
  <si>
    <t>3210477</t>
  </si>
  <si>
    <t>3210478</t>
  </si>
  <si>
    <t>3210479</t>
  </si>
  <si>
    <t>3210480</t>
  </si>
  <si>
    <t>3210493</t>
  </si>
  <si>
    <t>3210592</t>
  </si>
  <si>
    <t>3210593</t>
  </si>
  <si>
    <t>3210594</t>
  </si>
  <si>
    <t>交付決定額</t>
    <rPh sb="0" eb="2">
      <t>コウフ</t>
    </rPh>
    <rPh sb="2" eb="4">
      <t>ケッテイ</t>
    </rPh>
    <rPh sb="4" eb="5">
      <t>ガク</t>
    </rPh>
    <phoneticPr fontId="1"/>
  </si>
  <si>
    <t>交付決定日</t>
    <rPh sb="0" eb="2">
      <t>コウフ</t>
    </rPh>
    <rPh sb="2" eb="4">
      <t>ケッテイ</t>
    </rPh>
    <rPh sb="4" eb="5">
      <t>ビ</t>
    </rPh>
    <phoneticPr fontId="1"/>
  </si>
  <si>
    <t>概算払日1</t>
    <rPh sb="0" eb="2">
      <t>ガイサン</t>
    </rPh>
    <rPh sb="2" eb="3">
      <t>バラ</t>
    </rPh>
    <rPh sb="3" eb="4">
      <t>ヒ</t>
    </rPh>
    <phoneticPr fontId="1"/>
  </si>
  <si>
    <t>概算払日2</t>
    <rPh sb="0" eb="2">
      <t>ガイサン</t>
    </rPh>
    <rPh sb="2" eb="3">
      <t>バラ</t>
    </rPh>
    <rPh sb="3" eb="4">
      <t>ヒ</t>
    </rPh>
    <phoneticPr fontId="1"/>
  </si>
  <si>
    <t>理事長</t>
  </si>
  <si>
    <t>（福）あかね福祉会</t>
  </si>
  <si>
    <t>篠原　昌敏</t>
  </si>
  <si>
    <t>村松　重彦</t>
  </si>
  <si>
    <t>代表理事</t>
  </si>
  <si>
    <t>（学）千葉明徳学園</t>
  </si>
  <si>
    <t>福中　儀明</t>
  </si>
  <si>
    <t>千葉市中央区南生実町1412番地</t>
  </si>
  <si>
    <t>堀口　路加</t>
  </si>
  <si>
    <t>（学）植草学園</t>
  </si>
  <si>
    <t>植草　和典</t>
  </si>
  <si>
    <t>更新日</t>
    <rPh sb="0" eb="3">
      <t>コウシンビ</t>
    </rPh>
    <phoneticPr fontId="1"/>
  </si>
  <si>
    <t>総数</t>
    <rPh sb="0" eb="2">
      <t>ソウスウ</t>
    </rPh>
    <phoneticPr fontId="1"/>
  </si>
  <si>
    <t>決定通知書文書番号</t>
    <rPh sb="0" eb="2">
      <t>ケッテイ</t>
    </rPh>
    <rPh sb="2" eb="4">
      <t>ツウチ</t>
    </rPh>
    <rPh sb="4" eb="5">
      <t>ショ</t>
    </rPh>
    <rPh sb="5" eb="7">
      <t>ブンショ</t>
    </rPh>
    <rPh sb="7" eb="9">
      <t>バンゴウ</t>
    </rPh>
    <phoneticPr fontId="1"/>
  </si>
  <si>
    <t>法人情報</t>
    <rPh sb="0" eb="2">
      <t>ホウジン</t>
    </rPh>
    <rPh sb="2" eb="4">
      <t>ジョウホウ</t>
    </rPh>
    <phoneticPr fontId="4"/>
  </si>
  <si>
    <t>代理人情報</t>
    <rPh sb="0" eb="3">
      <t>ダイリニン</t>
    </rPh>
    <rPh sb="3" eb="5">
      <t>ジョウホウ</t>
    </rPh>
    <phoneticPr fontId="4"/>
  </si>
  <si>
    <t>債権者番号</t>
    <rPh sb="0" eb="3">
      <t>サイケンシャ</t>
    </rPh>
    <rPh sb="3" eb="5">
      <t>バンゴウ</t>
    </rPh>
    <phoneticPr fontId="4"/>
  </si>
  <si>
    <t>法人名</t>
    <rPh sb="0" eb="2">
      <t>ホウジン</t>
    </rPh>
    <rPh sb="2" eb="3">
      <t>メイ</t>
    </rPh>
    <phoneticPr fontId="4"/>
  </si>
  <si>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</si>
  <si>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</si>
  <si>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4"/>
  </si>
  <si>
    <t>千葉市緑区おゆみ野2-1-15</t>
  </si>
  <si>
    <t>来栖　宏二</t>
  </si>
  <si>
    <t>羽田　政幸</t>
  </si>
  <si>
    <t>千葉市中央区新千葉3-14-18</t>
  </si>
  <si>
    <t>大森　昭彦</t>
  </si>
  <si>
    <t>千葉市稲毛区稲毛東1-14-13</t>
  </si>
  <si>
    <t>千葉県八千代市八千代台東２丁目５－２</t>
  </si>
  <si>
    <t>山口　義裕</t>
  </si>
  <si>
    <t>（学）井元学園</t>
  </si>
  <si>
    <t>千葉県千葉市花見川区花見川８－１９</t>
  </si>
  <si>
    <t>井元　詔一</t>
  </si>
  <si>
    <t>（福）千葉明徳会</t>
  </si>
  <si>
    <t>千葉県千葉市緑区土気町１６２６番地５</t>
  </si>
  <si>
    <t>畑佐　健二郎</t>
  </si>
  <si>
    <t>増田　和人</t>
  </si>
  <si>
    <t>畠山　一雄</t>
  </si>
  <si>
    <t>石川　進一</t>
  </si>
  <si>
    <t>長谷部　聡</t>
  </si>
  <si>
    <t>秋山　清</t>
  </si>
  <si>
    <t>長谷川　豊</t>
  </si>
  <si>
    <t>能勢　正明</t>
  </si>
  <si>
    <t>石原　隆広</t>
  </si>
  <si>
    <t>千葉市花見川区さつきが丘1-33-1</t>
  </si>
  <si>
    <t>西澤　貫応</t>
  </si>
  <si>
    <t>濱田　純孝</t>
  </si>
  <si>
    <t>伊藤　健一</t>
  </si>
  <si>
    <t>土岐　由美子</t>
  </si>
  <si>
    <t>片岡　伸介</t>
  </si>
  <si>
    <t>三幣　利夫</t>
  </si>
  <si>
    <t>PW保存用
（通常は非表示）</t>
    <rPh sb="2" eb="5">
      <t>ホゾンヨウ</t>
    </rPh>
    <rPh sb="7" eb="9">
      <t>ツウジョウ</t>
    </rPh>
    <rPh sb="10" eb="13">
      <t>ヒヒョウジ</t>
    </rPh>
    <phoneticPr fontId="4"/>
  </si>
  <si>
    <t>配置</t>
    <rPh sb="0" eb="2">
      <t>ハイチ</t>
    </rPh>
    <phoneticPr fontId="1"/>
  </si>
  <si>
    <t>兼務</t>
    <rPh sb="0" eb="2">
      <t>ケンム</t>
    </rPh>
    <phoneticPr fontId="1"/>
  </si>
  <si>
    <t>嘱託</t>
    <rPh sb="0" eb="2">
      <t>ショクタク</t>
    </rPh>
    <phoneticPr fontId="1"/>
  </si>
  <si>
    <t>栄養管理加算の適用</t>
    <rPh sb="0" eb="2">
      <t>エイヨウ</t>
    </rPh>
    <rPh sb="2" eb="4">
      <t>カンリ</t>
    </rPh>
    <rPh sb="4" eb="6">
      <t>カサン</t>
    </rPh>
    <rPh sb="7" eb="9">
      <t>テキヨウ</t>
    </rPh>
    <phoneticPr fontId="1"/>
  </si>
  <si>
    <t>栄養管理加算の適用内容</t>
    <rPh sb="0" eb="2">
      <t>エイヨウ</t>
    </rPh>
    <rPh sb="2" eb="4">
      <t>カンリ</t>
    </rPh>
    <rPh sb="4" eb="6">
      <t>カサン</t>
    </rPh>
    <rPh sb="7" eb="9">
      <t>テキヨウ</t>
    </rPh>
    <rPh sb="9" eb="11">
      <t>ナイヨウ</t>
    </rPh>
    <phoneticPr fontId="1"/>
  </si>
  <si>
    <t>栄養管理加算</t>
    <rPh sb="0" eb="2">
      <t>エイヨウ</t>
    </rPh>
    <rPh sb="2" eb="4">
      <t>カンリ</t>
    </rPh>
    <rPh sb="4" eb="6">
      <t>カサン</t>
    </rPh>
    <phoneticPr fontId="1"/>
  </si>
  <si>
    <t>D4セル</t>
  </si>
  <si>
    <t>園の所在する区を選択してください。</t>
    <rPh sb="0" eb="1">
      <t>エン</t>
    </rPh>
    <rPh sb="2" eb="4">
      <t>ショザイ</t>
    </rPh>
    <rPh sb="6" eb="7">
      <t>ク</t>
    </rPh>
    <rPh sb="8" eb="10">
      <t>センタク</t>
    </rPh>
    <phoneticPr fontId="1"/>
  </si>
  <si>
    <t>園の類型を選択してください。</t>
    <rPh sb="0" eb="1">
      <t>エン</t>
    </rPh>
    <rPh sb="2" eb="4">
      <t>ルイケイ</t>
    </rPh>
    <rPh sb="5" eb="7">
      <t>センタク</t>
    </rPh>
    <phoneticPr fontId="1"/>
  </si>
  <si>
    <t>L8セル</t>
    <phoneticPr fontId="1"/>
  </si>
  <si>
    <t>栄養管理加算適用の有無を選択してください。</t>
    <rPh sb="0" eb="2">
      <t>エイヨウ</t>
    </rPh>
    <rPh sb="2" eb="4">
      <t>カンリ</t>
    </rPh>
    <rPh sb="4" eb="6">
      <t>カサン</t>
    </rPh>
    <rPh sb="6" eb="8">
      <t>テキヨウ</t>
    </rPh>
    <rPh sb="9" eb="11">
      <t>ウム</t>
    </rPh>
    <rPh sb="12" eb="14">
      <t>センタク</t>
    </rPh>
    <phoneticPr fontId="1"/>
  </si>
  <si>
    <t>栄養管理加算が適用される場合、その使途を選択してください。</t>
    <rPh sb="0" eb="2">
      <t>エイヨウ</t>
    </rPh>
    <rPh sb="2" eb="4">
      <t>カンリ</t>
    </rPh>
    <rPh sb="4" eb="6">
      <t>カサン</t>
    </rPh>
    <phoneticPr fontId="1"/>
  </si>
  <si>
    <t>有・無</t>
    <rPh sb="0" eb="1">
      <t>アリ</t>
    </rPh>
    <rPh sb="2" eb="3">
      <t>ナシ</t>
    </rPh>
    <phoneticPr fontId="1"/>
  </si>
  <si>
    <t>数字</t>
    <rPh sb="0" eb="2">
      <t>スウジ</t>
    </rPh>
    <phoneticPr fontId="1"/>
  </si>
  <si>
    <t>保育標準時間の受け入れ</t>
    <rPh sb="0" eb="2">
      <t>ホイク</t>
    </rPh>
    <rPh sb="2" eb="4">
      <t>ヒョウジュン</t>
    </rPh>
    <rPh sb="4" eb="6">
      <t>ジカン</t>
    </rPh>
    <rPh sb="7" eb="8">
      <t>ウ</t>
    </rPh>
    <rPh sb="9" eb="10">
      <t>イ</t>
    </rPh>
    <phoneticPr fontId="1"/>
  </si>
  <si>
    <t>F23～Q23セル</t>
  </si>
  <si>
    <t>F25～Q25セル</t>
  </si>
  <si>
    <t>認可計</t>
    <rPh sb="0" eb="2">
      <t>ニンカ</t>
    </rPh>
    <rPh sb="2" eb="3">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</si>
  <si>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</si>
  <si>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</si>
  <si>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</si>
  <si>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</si>
  <si>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</si>
  <si>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はっぴぃルーム本千葉駅前園</t>
  </si>
  <si>
    <t>幕張おおぞら保育園</t>
  </si>
  <si>
    <t>ちびっこランド稲毛愛教園</t>
  </si>
  <si>
    <t>リトルガーデンおゆみ野</t>
  </si>
  <si>
    <t>リトルガーデン幕張</t>
  </si>
  <si>
    <t>ぴょこたんランド</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</si>
  <si>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</si>
  <si>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</si>
  <si>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</si>
  <si>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</si>
  <si>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</si>
  <si>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</si>
  <si>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</si>
  <si>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</si>
  <si>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</si>
  <si>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</si>
  <si>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</si>
  <si>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</si>
  <si>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</si>
  <si>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r>
      <t>　４月分は市で把握している内容を予め記載しています。
　記載内容に誤りがある場合には、上書き修正の上、</t>
    </r>
    <r>
      <rPr>
        <b/>
        <u/>
        <sz val="14"/>
        <color rgb="FFFF0000"/>
        <rFont val="游ゴシック"/>
        <family val="3"/>
        <charset val="128"/>
        <scheme val="minor"/>
      </rPr>
      <t>文字の色を「赤」にしてください。</t>
    </r>
    <rPh sb="2" eb="3">
      <t>ガツ</t>
    </rPh>
    <rPh sb="3" eb="4">
      <t>ブン</t>
    </rPh>
    <rPh sb="5" eb="6">
      <t>シ</t>
    </rPh>
    <rPh sb="7" eb="9">
      <t>ハアク</t>
    </rPh>
    <rPh sb="13" eb="15">
      <t>ナイヨウ</t>
    </rPh>
    <rPh sb="16" eb="17">
      <t>アラカジ</t>
    </rPh>
    <rPh sb="18" eb="20">
      <t>キサイ</t>
    </rPh>
    <rPh sb="28" eb="30">
      <t>キサイ</t>
    </rPh>
    <rPh sb="30" eb="32">
      <t>ナイヨウ</t>
    </rPh>
    <rPh sb="33" eb="34">
      <t>アヤマ</t>
    </rPh>
    <rPh sb="38" eb="40">
      <t>バアイ</t>
    </rPh>
    <rPh sb="43" eb="45">
      <t>ウワガ</t>
    </rPh>
    <rPh sb="46" eb="48">
      <t>シュウセイ</t>
    </rPh>
    <rPh sb="49" eb="50">
      <t>ウエ</t>
    </rPh>
    <rPh sb="51" eb="53">
      <t>モジ</t>
    </rPh>
    <rPh sb="54" eb="55">
      <t>イロ</t>
    </rPh>
    <rPh sb="57" eb="58">
      <t>アカ</t>
    </rPh>
    <phoneticPr fontId="1"/>
  </si>
  <si>
    <t>事前にお知らせしている補助金用パスワード（アルファベット3桁+数字5桁）を入力してください。</t>
    <rPh sb="0" eb="2">
      <t>ジゼン</t>
    </rPh>
    <rPh sb="4" eb="5">
      <t>シ</t>
    </rPh>
    <rPh sb="11" eb="14">
      <t>ホジョキン</t>
    </rPh>
    <rPh sb="14" eb="15">
      <t>ヨウ</t>
    </rPh>
    <rPh sb="29" eb="30">
      <t>ケタ</t>
    </rPh>
    <rPh sb="31" eb="33">
      <t>スウジ</t>
    </rPh>
    <rPh sb="34" eb="35">
      <t>ケタ</t>
    </rPh>
    <rPh sb="37" eb="39">
      <t>ニュウリョク</t>
    </rPh>
    <phoneticPr fontId="1"/>
  </si>
  <si>
    <r>
      <t>　項目により、５月分～３月分は４月の内容を転記しています。
　年度途中で変更等があった場合には、上書き修正の上、</t>
    </r>
    <r>
      <rPr>
        <b/>
        <u/>
        <sz val="14"/>
        <color rgb="FFFF0000"/>
        <rFont val="游ゴシック"/>
        <family val="3"/>
        <charset val="128"/>
        <scheme val="minor"/>
      </rPr>
      <t>文字の色を「赤」にしてください。</t>
    </r>
    <rPh sb="1" eb="3">
      <t>コウモク</t>
    </rPh>
    <rPh sb="8" eb="9">
      <t>ガツ</t>
    </rPh>
    <rPh sb="9" eb="10">
      <t>ブン</t>
    </rPh>
    <rPh sb="12" eb="14">
      <t>ガツブン</t>
    </rPh>
    <rPh sb="16" eb="17">
      <t>ガツ</t>
    </rPh>
    <rPh sb="18" eb="20">
      <t>ナイヨウ</t>
    </rPh>
    <rPh sb="21" eb="23">
      <t>テンキ</t>
    </rPh>
    <rPh sb="31" eb="33">
      <t>ネンド</t>
    </rPh>
    <rPh sb="33" eb="35">
      <t>トチュウ</t>
    </rPh>
    <rPh sb="36" eb="38">
      <t>ヘンコウ</t>
    </rPh>
    <rPh sb="38" eb="39">
      <t>トウ</t>
    </rPh>
    <rPh sb="43" eb="45">
      <t>バアイ</t>
    </rPh>
    <rPh sb="48" eb="50">
      <t>ウワガ</t>
    </rPh>
    <rPh sb="51" eb="53">
      <t>シュウセイ</t>
    </rPh>
    <rPh sb="54" eb="55">
      <t>ウエ</t>
    </rPh>
    <rPh sb="56" eb="58">
      <t>モジ</t>
    </rPh>
    <rPh sb="59" eb="60">
      <t>イロ</t>
    </rPh>
    <rPh sb="62" eb="63">
      <t>アカ</t>
    </rPh>
    <phoneticPr fontId="1"/>
  </si>
  <si>
    <t>栄養管理加算額
（４月）</t>
    <rPh sb="0" eb="2">
      <t>エイヨウ</t>
    </rPh>
    <rPh sb="2" eb="4">
      <t>カンリ</t>
    </rPh>
    <rPh sb="4" eb="6">
      <t>カサン</t>
    </rPh>
    <rPh sb="6" eb="7">
      <t>ガク</t>
    </rPh>
    <rPh sb="10" eb="11">
      <t>ガツ</t>
    </rPh>
    <phoneticPr fontId="1"/>
  </si>
  <si>
    <t>栄養管理加算額
（５月）</t>
    <rPh sb="0" eb="2">
      <t>エイヨウ</t>
    </rPh>
    <rPh sb="2" eb="4">
      <t>カンリ</t>
    </rPh>
    <rPh sb="4" eb="6">
      <t>カサン</t>
    </rPh>
    <rPh sb="6" eb="7">
      <t>ガク</t>
    </rPh>
    <rPh sb="10" eb="11">
      <t>ガツ</t>
    </rPh>
    <phoneticPr fontId="1"/>
  </si>
  <si>
    <t>栄養管理加算額
（６月）</t>
    <rPh sb="0" eb="2">
      <t>エイヨウ</t>
    </rPh>
    <rPh sb="2" eb="4">
      <t>カンリ</t>
    </rPh>
    <rPh sb="4" eb="6">
      <t>カサン</t>
    </rPh>
    <rPh sb="6" eb="7">
      <t>ガク</t>
    </rPh>
    <rPh sb="10" eb="11">
      <t>ガツ</t>
    </rPh>
    <phoneticPr fontId="1"/>
  </si>
  <si>
    <t>栄養管理加算額
（７月）</t>
    <rPh sb="0" eb="2">
      <t>エイヨウ</t>
    </rPh>
    <rPh sb="2" eb="4">
      <t>カンリ</t>
    </rPh>
    <rPh sb="4" eb="6">
      <t>カサン</t>
    </rPh>
    <rPh sb="6" eb="7">
      <t>ガク</t>
    </rPh>
    <rPh sb="10" eb="11">
      <t>ガツ</t>
    </rPh>
    <phoneticPr fontId="1"/>
  </si>
  <si>
    <t>栄養管理加算額
（８月）</t>
    <rPh sb="0" eb="2">
      <t>エイヨウ</t>
    </rPh>
    <rPh sb="2" eb="4">
      <t>カンリ</t>
    </rPh>
    <rPh sb="4" eb="6">
      <t>カサン</t>
    </rPh>
    <rPh sb="6" eb="7">
      <t>ガク</t>
    </rPh>
    <rPh sb="10" eb="11">
      <t>ガツ</t>
    </rPh>
    <phoneticPr fontId="1"/>
  </si>
  <si>
    <t>栄養管理加算額
（９月）</t>
    <rPh sb="0" eb="2">
      <t>エイヨウ</t>
    </rPh>
    <rPh sb="2" eb="4">
      <t>カンリ</t>
    </rPh>
    <rPh sb="4" eb="6">
      <t>カサン</t>
    </rPh>
    <rPh sb="6" eb="7">
      <t>ガク</t>
    </rPh>
    <rPh sb="10" eb="11">
      <t>ガツ</t>
    </rPh>
    <phoneticPr fontId="1"/>
  </si>
  <si>
    <t>栄養管理加算額
（１０月）</t>
    <rPh sb="0" eb="2">
      <t>エイヨウ</t>
    </rPh>
    <rPh sb="2" eb="4">
      <t>カンリ</t>
    </rPh>
    <rPh sb="4" eb="6">
      <t>カサン</t>
    </rPh>
    <rPh sb="6" eb="7">
      <t>ガク</t>
    </rPh>
    <rPh sb="11" eb="12">
      <t>ガツ</t>
    </rPh>
    <phoneticPr fontId="1"/>
  </si>
  <si>
    <t>栄養管理加算額
（１１月）</t>
    <rPh sb="0" eb="2">
      <t>エイヨウ</t>
    </rPh>
    <rPh sb="2" eb="4">
      <t>カンリ</t>
    </rPh>
    <rPh sb="4" eb="6">
      <t>カサン</t>
    </rPh>
    <rPh sb="6" eb="7">
      <t>ガク</t>
    </rPh>
    <rPh sb="11" eb="12">
      <t>ガツ</t>
    </rPh>
    <phoneticPr fontId="1"/>
  </si>
  <si>
    <t>栄養管理加算額
（１２月）</t>
    <rPh sb="0" eb="2">
      <t>エイヨウ</t>
    </rPh>
    <rPh sb="2" eb="4">
      <t>カンリ</t>
    </rPh>
    <rPh sb="4" eb="6">
      <t>カサン</t>
    </rPh>
    <rPh sb="6" eb="7">
      <t>ガク</t>
    </rPh>
    <rPh sb="11" eb="12">
      <t>ガツ</t>
    </rPh>
    <phoneticPr fontId="1"/>
  </si>
  <si>
    <t>栄養管理加算額
（１月）</t>
    <rPh sb="0" eb="2">
      <t>エイヨウ</t>
    </rPh>
    <rPh sb="2" eb="4">
      <t>カンリ</t>
    </rPh>
    <rPh sb="4" eb="6">
      <t>カサン</t>
    </rPh>
    <rPh sb="6" eb="7">
      <t>ガク</t>
    </rPh>
    <rPh sb="10" eb="11">
      <t>ガツ</t>
    </rPh>
    <phoneticPr fontId="1"/>
  </si>
  <si>
    <t>栄養管理加算額
（２月）</t>
    <rPh sb="0" eb="2">
      <t>エイヨウ</t>
    </rPh>
    <rPh sb="2" eb="4">
      <t>カンリ</t>
    </rPh>
    <rPh sb="4" eb="6">
      <t>カサン</t>
    </rPh>
    <rPh sb="6" eb="7">
      <t>ガク</t>
    </rPh>
    <rPh sb="10" eb="11">
      <t>ガツ</t>
    </rPh>
    <phoneticPr fontId="1"/>
  </si>
  <si>
    <t>栄養管理加算額
（３月）</t>
    <rPh sb="0" eb="2">
      <t>エイヨウ</t>
    </rPh>
    <rPh sb="2" eb="4">
      <t>カンリ</t>
    </rPh>
    <rPh sb="4" eb="6">
      <t>カサン</t>
    </rPh>
    <rPh sb="6" eb="7">
      <t>ガク</t>
    </rPh>
    <rPh sb="10" eb="11">
      <t>ガツ</t>
    </rPh>
    <phoneticPr fontId="1"/>
  </si>
  <si>
    <t>J列</t>
    <rPh sb="1" eb="2">
      <t>レツ</t>
    </rPh>
    <phoneticPr fontId="1"/>
  </si>
  <si>
    <t>K列</t>
    <rPh sb="1" eb="2">
      <t>レツ</t>
    </rPh>
    <phoneticPr fontId="1"/>
  </si>
  <si>
    <t>【非表示】配置の場合の加算額</t>
    <rPh sb="1" eb="2">
      <t>ヒ</t>
    </rPh>
    <rPh sb="2" eb="4">
      <t>ヒョウジ</t>
    </rPh>
    <rPh sb="5" eb="7">
      <t>ハイチ</t>
    </rPh>
    <rPh sb="8" eb="10">
      <t>バアイ</t>
    </rPh>
    <rPh sb="11" eb="13">
      <t>カサン</t>
    </rPh>
    <rPh sb="13" eb="14">
      <t>ガク</t>
    </rPh>
    <phoneticPr fontId="1"/>
  </si>
  <si>
    <t>（様式第３号）</t>
    <rPh sb="3" eb="4">
      <t>ダイ</t>
    </rPh>
    <phoneticPr fontId="6"/>
  </si>
  <si>
    <t>今回の請求額</t>
    <rPh sb="0" eb="2">
      <t>コンカイ</t>
    </rPh>
    <rPh sb="3" eb="5">
      <t>セイキュウ</t>
    </rPh>
    <rPh sb="5" eb="6">
      <t>ガク</t>
    </rPh>
    <phoneticPr fontId="29"/>
  </si>
  <si>
    <t>AXA56260</t>
  </si>
  <si>
    <t>NVE78827</t>
  </si>
  <si>
    <t>SGV81024</t>
  </si>
  <si>
    <t>BQT98518</t>
  </si>
  <si>
    <t>CHI62351</t>
  </si>
  <si>
    <t>KFM57060</t>
  </si>
  <si>
    <t>YCG22960</t>
  </si>
  <si>
    <t>JZD58530</t>
  </si>
  <si>
    <t>IEY27296</t>
  </si>
  <si>
    <t>QVB34045</t>
  </si>
  <si>
    <t>ZPF41882</t>
  </si>
  <si>
    <t>BQN48397</t>
  </si>
  <si>
    <t>WQI20650</t>
  </si>
  <si>
    <t>UCC31844</t>
  </si>
  <si>
    <t>MGP17295</t>
  </si>
  <si>
    <t>EUI33058</t>
  </si>
  <si>
    <t>KWM21249</t>
  </si>
  <si>
    <t>NUF53325</t>
  </si>
  <si>
    <t>GMS31129</t>
  </si>
  <si>
    <t>MPR13959</t>
  </si>
  <si>
    <t>LXV18253</t>
  </si>
  <si>
    <t>NBP48057</t>
  </si>
  <si>
    <t>PXI11869</t>
  </si>
  <si>
    <t>WNH32107</t>
  </si>
  <si>
    <t>WCN98378</t>
  </si>
  <si>
    <t>RQA91423</t>
  </si>
  <si>
    <t>UVK30141</t>
  </si>
  <si>
    <t>NUD11102</t>
  </si>
  <si>
    <t>CFP67058</t>
  </si>
  <si>
    <t>KIK39280</t>
  </si>
  <si>
    <t>ROZ24113</t>
  </si>
  <si>
    <t>LXF39745</t>
  </si>
  <si>
    <t>NNJ69388</t>
  </si>
  <si>
    <t>XVD78126</t>
  </si>
  <si>
    <t>PKV27593</t>
  </si>
  <si>
    <t>CBH64602</t>
  </si>
  <si>
    <t>WTG68140</t>
  </si>
  <si>
    <t>嘱託等</t>
    <rPh sb="0" eb="2">
      <t>ショクタク</t>
    </rPh>
    <rPh sb="2" eb="3">
      <t>トウ</t>
    </rPh>
    <phoneticPr fontId="15"/>
  </si>
  <si>
    <t>看護師等</t>
    <rPh sb="0" eb="3">
      <t>カンゴシ</t>
    </rPh>
    <rPh sb="3" eb="4">
      <t>トウ</t>
    </rPh>
    <phoneticPr fontId="1"/>
  </si>
  <si>
    <t>調理</t>
    <rPh sb="0" eb="2">
      <t>チョウリ</t>
    </rPh>
    <phoneticPr fontId="1"/>
  </si>
  <si>
    <t>(2)-(2)-(A)から</t>
    <phoneticPr fontId="1"/>
  </si>
  <si>
    <t>(2)-(2)-(B)から</t>
    <phoneticPr fontId="1"/>
  </si>
  <si>
    <t>(2)-(2)-(C)から</t>
    <phoneticPr fontId="1"/>
  </si>
  <si>
    <t>(2)-(2)-(D)から</t>
    <phoneticPr fontId="1"/>
  </si>
  <si>
    <t>要配慮加配</t>
    <rPh sb="0" eb="1">
      <t>ヨウ</t>
    </rPh>
    <rPh sb="1" eb="3">
      <t>ハイリョ</t>
    </rPh>
    <rPh sb="3" eb="5">
      <t>カハイ</t>
    </rPh>
    <phoneticPr fontId="1"/>
  </si>
  <si>
    <t>医ケア加配</t>
    <rPh sb="0" eb="1">
      <t>イ</t>
    </rPh>
    <rPh sb="3" eb="5">
      <t>カハイ</t>
    </rPh>
    <phoneticPr fontId="1"/>
  </si>
  <si>
    <t>１・２歳加配</t>
    <rPh sb="3" eb="4">
      <t>サイ</t>
    </rPh>
    <rPh sb="4" eb="6">
      <t>カハイ</t>
    </rPh>
    <phoneticPr fontId="1"/>
  </si>
  <si>
    <t>１・２歳児童数</t>
    <rPh sb="3" eb="4">
      <t>サイ</t>
    </rPh>
    <rPh sb="4" eb="6">
      <t>ジドウ</t>
    </rPh>
    <rPh sb="6" eb="7">
      <t>スウ</t>
    </rPh>
    <phoneticPr fontId="1"/>
  </si>
  <si>
    <t>基本加算１</t>
    <rPh sb="0" eb="2">
      <t>キホン</t>
    </rPh>
    <rPh sb="2" eb="4">
      <t>カサン</t>
    </rPh>
    <phoneticPr fontId="1"/>
  </si>
  <si>
    <t>基本加算２</t>
    <rPh sb="0" eb="2">
      <t>キホン</t>
    </rPh>
    <rPh sb="2" eb="4">
      <t>カサン</t>
    </rPh>
    <phoneticPr fontId="1"/>
  </si>
  <si>
    <t>基本加算３</t>
    <rPh sb="0" eb="2">
      <t>キホン</t>
    </rPh>
    <rPh sb="2" eb="4">
      <t>カサン</t>
    </rPh>
    <phoneticPr fontId="1"/>
  </si>
  <si>
    <t>特定加算１</t>
    <rPh sb="0" eb="2">
      <t>トクテイ</t>
    </rPh>
    <rPh sb="2" eb="4">
      <t>カサン</t>
    </rPh>
    <phoneticPr fontId="1"/>
  </si>
  <si>
    <t>一般加算１</t>
    <rPh sb="0" eb="2">
      <t>イッパン</t>
    </rPh>
    <rPh sb="2" eb="4">
      <t>カサン</t>
    </rPh>
    <phoneticPr fontId="1"/>
  </si>
  <si>
    <t>一般加算２</t>
    <rPh sb="0" eb="2">
      <t>イッパン</t>
    </rPh>
    <rPh sb="2" eb="4">
      <t>カサン</t>
    </rPh>
    <phoneticPr fontId="1"/>
  </si>
  <si>
    <t>特定加算２</t>
    <rPh sb="0" eb="2">
      <t>トクテイ</t>
    </rPh>
    <rPh sb="2" eb="4">
      <t>カサン</t>
    </rPh>
    <phoneticPr fontId="1"/>
  </si>
  <si>
    <t>障害</t>
    <rPh sb="0" eb="2">
      <t>ショウガイ</t>
    </rPh>
    <phoneticPr fontId="1"/>
  </si>
  <si>
    <t>１・２歳</t>
    <rPh sb="3" eb="4">
      <t>サイ</t>
    </rPh>
    <phoneticPr fontId="1"/>
  </si>
  <si>
    <t>事務</t>
    <rPh sb="0" eb="2">
      <t>ジム</t>
    </rPh>
    <phoneticPr fontId="1"/>
  </si>
  <si>
    <t>通訳</t>
    <rPh sb="0" eb="2">
      <t>ツウヤク</t>
    </rPh>
    <phoneticPr fontId="1"/>
  </si>
  <si>
    <t>(2)　月別配置内訳書　（C)保健師・看護師・助産師</t>
    <rPh sb="4" eb="6">
      <t>ツキベツ</t>
    </rPh>
    <rPh sb="6" eb="8">
      <t>ハイチ</t>
    </rPh>
    <rPh sb="8" eb="11">
      <t>ウチワケショ</t>
    </rPh>
    <rPh sb="15" eb="18">
      <t>ホケンシ</t>
    </rPh>
    <rPh sb="19" eb="22">
      <t>カンゴシ</t>
    </rPh>
    <rPh sb="23" eb="26">
      <t>ジョサンシ</t>
    </rPh>
    <phoneticPr fontId="15"/>
  </si>
  <si>
    <t>（Ｄ)栄養士・調理師・調理員</t>
    <rPh sb="3" eb="6">
      <t>エイヨウシ</t>
    </rPh>
    <rPh sb="7" eb="10">
      <t>チョウリシ</t>
    </rPh>
    <rPh sb="11" eb="14">
      <t>チョウリイン</t>
    </rPh>
    <phoneticPr fontId="15"/>
  </si>
  <si>
    <t>事務の確保数</t>
    <rPh sb="0" eb="2">
      <t>ジム</t>
    </rPh>
    <rPh sb="3" eb="5">
      <t>カクホ</t>
    </rPh>
    <rPh sb="5" eb="6">
      <t>スウ</t>
    </rPh>
    <phoneticPr fontId="1"/>
  </si>
  <si>
    <t>(2)-(2)-(E)から</t>
    <phoneticPr fontId="1"/>
  </si>
  <si>
    <t>通訳の確保数</t>
    <rPh sb="0" eb="2">
      <t>ツウヤク</t>
    </rPh>
    <phoneticPr fontId="1"/>
  </si>
  <si>
    <t>基本加算２</t>
    <rPh sb="0" eb="2">
      <t>キホン</t>
    </rPh>
    <rPh sb="2" eb="4">
      <t>カサン</t>
    </rPh>
    <phoneticPr fontId="1"/>
  </si>
  <si>
    <t>基本加算３</t>
    <rPh sb="0" eb="2">
      <t>キホン</t>
    </rPh>
    <rPh sb="2" eb="4">
      <t>カサン</t>
    </rPh>
    <phoneticPr fontId="1"/>
  </si>
  <si>
    <t>基本加算１</t>
    <rPh sb="0" eb="2">
      <t>キホン</t>
    </rPh>
    <rPh sb="2" eb="4">
      <t>カサン</t>
    </rPh>
    <phoneticPr fontId="1"/>
  </si>
  <si>
    <t>栄養士</t>
    <rPh sb="0" eb="3">
      <t>エイヨウシ</t>
    </rPh>
    <phoneticPr fontId="1"/>
  </si>
  <si>
    <t>A</t>
    <phoneticPr fontId="1"/>
  </si>
  <si>
    <t>B</t>
    <phoneticPr fontId="1"/>
  </si>
  <si>
    <t>C</t>
    <phoneticPr fontId="1"/>
  </si>
  <si>
    <t>D</t>
    <phoneticPr fontId="1"/>
  </si>
  <si>
    <t>職種</t>
    <rPh sb="0" eb="2">
      <t>ショクシュ</t>
    </rPh>
    <phoneticPr fontId="1"/>
  </si>
  <si>
    <t>確保数</t>
    <rPh sb="0" eb="2">
      <t>カクホ</t>
    </rPh>
    <rPh sb="2" eb="3">
      <t>スウ</t>
    </rPh>
    <phoneticPr fontId="1"/>
  </si>
  <si>
    <t>加配数</t>
    <rPh sb="0" eb="2">
      <t>カハイ</t>
    </rPh>
    <rPh sb="2" eb="3">
      <t>スウ</t>
    </rPh>
    <phoneticPr fontId="1"/>
  </si>
  <si>
    <t>E</t>
    <phoneticPr fontId="1"/>
  </si>
  <si>
    <t>F</t>
    <phoneticPr fontId="1"/>
  </si>
  <si>
    <t>栄養士</t>
    <rPh sb="0" eb="3">
      <t>エイヨウシ</t>
    </rPh>
    <phoneticPr fontId="1"/>
  </si>
  <si>
    <t>栄養士以外</t>
    <rPh sb="0" eb="3">
      <t>エイヨウシ</t>
    </rPh>
    <rPh sb="3" eb="5">
      <t>イガイ</t>
    </rPh>
    <phoneticPr fontId="1"/>
  </si>
  <si>
    <t>補助
人工</t>
    <rPh sb="0" eb="2">
      <t>ホジョ</t>
    </rPh>
    <rPh sb="3" eb="5">
      <t>ニンク</t>
    </rPh>
    <phoneticPr fontId="1"/>
  </si>
  <si>
    <t>（管理）栄養士</t>
    <rPh sb="1" eb="3">
      <t>カンリ</t>
    </rPh>
    <rPh sb="4" eb="7">
      <t>エイヨウシ</t>
    </rPh>
    <phoneticPr fontId="1"/>
  </si>
  <si>
    <t>調理師</t>
    <rPh sb="0" eb="3">
      <t>チョウリシ</t>
    </rPh>
    <phoneticPr fontId="1"/>
  </si>
  <si>
    <t>園長の資格別人数</t>
    <rPh sb="0" eb="2">
      <t>エンチョウ</t>
    </rPh>
    <rPh sb="3" eb="5">
      <t>シカク</t>
    </rPh>
    <rPh sb="5" eb="6">
      <t>ベツ</t>
    </rPh>
    <rPh sb="6" eb="8">
      <t>ニンズウ</t>
    </rPh>
    <phoneticPr fontId="1"/>
  </si>
  <si>
    <t>配置職員数（園長を除く）</t>
    <rPh sb="0" eb="2">
      <t>ハイチ</t>
    </rPh>
    <rPh sb="2" eb="4">
      <t>ショクイン</t>
    </rPh>
    <rPh sb="4" eb="5">
      <t>スウ</t>
    </rPh>
    <rPh sb="6" eb="8">
      <t>エンチョウ</t>
    </rPh>
    <rPh sb="9" eb="10">
      <t>ノゾ</t>
    </rPh>
    <phoneticPr fontId="1"/>
  </si>
  <si>
    <t>加配職員数</t>
    <rPh sb="0" eb="2">
      <t>カハイ</t>
    </rPh>
    <rPh sb="2" eb="4">
      <t>ショクイン</t>
    </rPh>
    <rPh sb="4" eb="5">
      <t>スウ</t>
    </rPh>
    <phoneticPr fontId="1"/>
  </si>
  <si>
    <t>正</t>
    <rPh sb="0" eb="1">
      <t>セイ</t>
    </rPh>
    <phoneticPr fontId="1"/>
  </si>
  <si>
    <t>常</t>
    <rPh sb="0" eb="1">
      <t>ツネ</t>
    </rPh>
    <phoneticPr fontId="1"/>
  </si>
  <si>
    <t>男</t>
    <rPh sb="0" eb="1">
      <t>オトコ</t>
    </rPh>
    <phoneticPr fontId="1"/>
  </si>
  <si>
    <t>有</t>
    <rPh sb="0" eb="1">
      <t>ア</t>
    </rPh>
    <phoneticPr fontId="1"/>
  </si>
  <si>
    <t>パート</t>
    <phoneticPr fontId="1"/>
  </si>
  <si>
    <t>非</t>
    <rPh sb="0" eb="1">
      <t>ヒ</t>
    </rPh>
    <phoneticPr fontId="1"/>
  </si>
  <si>
    <t>女</t>
    <rPh sb="0" eb="1">
      <t>オンナ</t>
    </rPh>
    <phoneticPr fontId="1"/>
  </si>
  <si>
    <t>無</t>
    <rPh sb="0" eb="1">
      <t>ナ</t>
    </rPh>
    <phoneticPr fontId="1"/>
  </si>
  <si>
    <t>嘱託等</t>
    <rPh sb="0" eb="2">
      <t>ショクタク</t>
    </rPh>
    <rPh sb="2" eb="3">
      <t>トウ</t>
    </rPh>
    <phoneticPr fontId="1"/>
  </si>
  <si>
    <t>一時預かり</t>
    <phoneticPr fontId="1"/>
  </si>
  <si>
    <t>チーム保育推進加算</t>
    <phoneticPr fontId="1"/>
  </si>
  <si>
    <t>支援センター</t>
    <phoneticPr fontId="1"/>
  </si>
  <si>
    <t>準保育士</t>
    <rPh sb="0" eb="1">
      <t>ジュン</t>
    </rPh>
    <rPh sb="1" eb="4">
      <t>ホイクシ</t>
    </rPh>
    <phoneticPr fontId="1"/>
  </si>
  <si>
    <t>短時間保育士</t>
    <rPh sb="0" eb="3">
      <t>タンジカン</t>
    </rPh>
    <rPh sb="3" eb="5">
      <t>ホイク</t>
    </rPh>
    <rPh sb="5" eb="6">
      <t>シ</t>
    </rPh>
    <phoneticPr fontId="1"/>
  </si>
  <si>
    <t>その他</t>
    <phoneticPr fontId="1"/>
  </si>
  <si>
    <t>その他休暇復帰</t>
    <rPh sb="2" eb="3">
      <t>タ</t>
    </rPh>
    <rPh sb="3" eb="5">
      <t>キュウカ</t>
    </rPh>
    <rPh sb="5" eb="7">
      <t>フッキ</t>
    </rPh>
    <phoneticPr fontId="1"/>
  </si>
  <si>
    <t>その他休暇取得</t>
    <rPh sb="2" eb="3">
      <t>タ</t>
    </rPh>
    <rPh sb="3" eb="5">
      <t>キュウカ</t>
    </rPh>
    <rPh sb="5" eb="7">
      <t>シュトク</t>
    </rPh>
    <phoneticPr fontId="1"/>
  </si>
  <si>
    <t>補助対象
職種</t>
    <rPh sb="0" eb="2">
      <t>ホジョ</t>
    </rPh>
    <rPh sb="2" eb="4">
      <t>タイショウ</t>
    </rPh>
    <rPh sb="5" eb="7">
      <t>ショクシュ</t>
    </rPh>
    <phoneticPr fontId="1"/>
  </si>
  <si>
    <t>B</t>
  </si>
  <si>
    <t>C</t>
  </si>
  <si>
    <t>調理師等</t>
    <rPh sb="0" eb="3">
      <t>チョウリシ</t>
    </rPh>
    <rPh sb="3" eb="4">
      <t>トウ</t>
    </rPh>
    <phoneticPr fontId="1"/>
  </si>
  <si>
    <t>A</t>
  </si>
  <si>
    <t>D</t>
  </si>
  <si>
    <t>E</t>
  </si>
  <si>
    <t>F</t>
  </si>
  <si>
    <t>（様式第１号）</t>
    <rPh sb="3" eb="4">
      <t>ダイ</t>
    </rPh>
    <phoneticPr fontId="6"/>
  </si>
  <si>
    <t>千葉市施設型給付対象施設保育士等配置基準</t>
    <rPh sb="8" eb="10">
      <t>タイショウ</t>
    </rPh>
    <rPh sb="12" eb="15">
      <t>ホイクシ</t>
    </rPh>
    <phoneticPr fontId="15"/>
  </si>
  <si>
    <t>改善事業補助金交付申請書</t>
    <rPh sb="7" eb="9">
      <t>コウフ</t>
    </rPh>
    <rPh sb="9" eb="11">
      <t>シンセイ</t>
    </rPh>
    <rPh sb="11" eb="12">
      <t>ショ</t>
    </rPh>
    <phoneticPr fontId="6"/>
  </si>
  <si>
    <t>（あて先）　千 葉 市 長</t>
    <rPh sb="3" eb="4">
      <t>サキ</t>
    </rPh>
    <rPh sb="6" eb="7">
      <t>セン</t>
    </rPh>
    <rPh sb="8" eb="9">
      <t>ハ</t>
    </rPh>
    <rPh sb="10" eb="11">
      <t>シ</t>
    </rPh>
    <rPh sb="12" eb="13">
      <t>チョウ</t>
    </rPh>
    <phoneticPr fontId="6"/>
  </si>
  <si>
    <t>住所</t>
    <rPh sb="0" eb="2">
      <t>ジュウショ</t>
    </rPh>
    <phoneticPr fontId="15"/>
  </si>
  <si>
    <t>　</t>
    <phoneticPr fontId="6"/>
  </si>
  <si>
    <t>　(施設(園)名)</t>
    <phoneticPr fontId="15"/>
  </si>
  <si>
    <t>　　１　交付申請額</t>
    <rPh sb="4" eb="6">
      <t>コウフ</t>
    </rPh>
    <rPh sb="6" eb="8">
      <t>シンセイ</t>
    </rPh>
    <rPh sb="8" eb="9">
      <t>ガク</t>
    </rPh>
    <phoneticPr fontId="6"/>
  </si>
  <si>
    <t>　保育士等の配置を改善し、保育内容の充実と職員の処遇向上を図るものとする。</t>
    <rPh sb="1" eb="5">
      <t>ホイクシトウ</t>
    </rPh>
    <rPh sb="6" eb="8">
      <t>ハイチ</t>
    </rPh>
    <rPh sb="9" eb="11">
      <t>カイゼン</t>
    </rPh>
    <rPh sb="13" eb="15">
      <t>ホイク</t>
    </rPh>
    <rPh sb="15" eb="17">
      <t>ナイヨウ</t>
    </rPh>
    <rPh sb="18" eb="20">
      <t>ジュウジツ</t>
    </rPh>
    <rPh sb="21" eb="23">
      <t>ショクイン</t>
    </rPh>
    <rPh sb="24" eb="26">
      <t>ショグウ</t>
    </rPh>
    <rPh sb="26" eb="28">
      <t>コウジョウ</t>
    </rPh>
    <rPh sb="29" eb="30">
      <t>ハカ</t>
    </rPh>
    <phoneticPr fontId="15"/>
  </si>
  <si>
    <t>円</t>
  </si>
  <si>
    <t xml:space="preserve"> 合        計</t>
  </si>
  <si>
    <t>　別　紙</t>
    <rPh sb="1" eb="2">
      <t>ベツ</t>
    </rPh>
    <rPh sb="3" eb="4">
      <t>カミ</t>
    </rPh>
    <phoneticPr fontId="6"/>
  </si>
  <si>
    <t>算出基礎</t>
    <rPh sb="0" eb="2">
      <t>サンシュツ</t>
    </rPh>
    <rPh sb="2" eb="4">
      <t>キソ</t>
    </rPh>
    <phoneticPr fontId="6"/>
  </si>
  <si>
    <t>　千葉市施設型給付対象施設保育士等配置基準改善費算出内訳表（１）</t>
    <rPh sb="9" eb="11">
      <t>タイショウ</t>
    </rPh>
    <rPh sb="21" eb="23">
      <t>カイゼン</t>
    </rPh>
    <rPh sb="23" eb="24">
      <t>ヒ</t>
    </rPh>
    <rPh sb="24" eb="26">
      <t>サンシュツ</t>
    </rPh>
    <rPh sb="26" eb="28">
      <t>ウチワケ</t>
    </rPh>
    <rPh sb="28" eb="29">
      <t>ヒョウ</t>
    </rPh>
    <phoneticPr fontId="6"/>
  </si>
  <si>
    <t>添付書類</t>
    <rPh sb="0" eb="2">
      <t>テンプ</t>
    </rPh>
    <rPh sb="2" eb="4">
      <t>ショルイ</t>
    </rPh>
    <phoneticPr fontId="6"/>
  </si>
  <si>
    <t>１　別表　　民間保育施設職員定数及び職員現況調書</t>
    <rPh sb="2" eb="4">
      <t>ベッピョウ</t>
    </rPh>
    <rPh sb="6" eb="8">
      <t>ミンカン</t>
    </rPh>
    <rPh sb="8" eb="10">
      <t>ホイク</t>
    </rPh>
    <rPh sb="12" eb="14">
      <t>ショクイン</t>
    </rPh>
    <rPh sb="14" eb="16">
      <t>テイスウ</t>
    </rPh>
    <rPh sb="16" eb="17">
      <t>オヨ</t>
    </rPh>
    <rPh sb="18" eb="20">
      <t>ショクイン</t>
    </rPh>
    <rPh sb="20" eb="22">
      <t>ゲンキョウ</t>
    </rPh>
    <rPh sb="22" eb="24">
      <t>チョウショ</t>
    </rPh>
    <phoneticPr fontId="6"/>
  </si>
  <si>
    <t>２　雇用契約内容証明書</t>
    <rPh sb="2" eb="4">
      <t>コヨウ</t>
    </rPh>
    <rPh sb="4" eb="6">
      <t>ケイヤク</t>
    </rPh>
    <rPh sb="6" eb="8">
      <t>ナイヨウ</t>
    </rPh>
    <rPh sb="8" eb="11">
      <t>ショウメイショ</t>
    </rPh>
    <phoneticPr fontId="6"/>
  </si>
  <si>
    <t>３　要配慮保育職員配置決定通知書の写し</t>
    <rPh sb="2" eb="3">
      <t>ヨウ</t>
    </rPh>
    <rPh sb="3" eb="5">
      <t>ハイリョ</t>
    </rPh>
    <rPh sb="5" eb="7">
      <t>ホイク</t>
    </rPh>
    <rPh sb="7" eb="9">
      <t>ショクイン</t>
    </rPh>
    <rPh sb="9" eb="11">
      <t>ハイチ</t>
    </rPh>
    <rPh sb="11" eb="13">
      <t>ケッテイ</t>
    </rPh>
    <rPh sb="13" eb="16">
      <t>ツウチショ</t>
    </rPh>
    <rPh sb="17" eb="18">
      <t>ウツ</t>
    </rPh>
    <phoneticPr fontId="6"/>
  </si>
  <si>
    <t>ただし、２、３については該当する園のみ添付のこと。</t>
    <rPh sb="12" eb="14">
      <t>ガイトウ</t>
    </rPh>
    <rPh sb="16" eb="17">
      <t>エン</t>
    </rPh>
    <rPh sb="19" eb="21">
      <t>テンプ</t>
    </rPh>
    <phoneticPr fontId="6"/>
  </si>
  <si>
    <t xml:space="preserve">  千葉市施設型給付対象施設保育士等配置基準改善事業</t>
    <rPh sb="5" eb="8">
      <t>シセツガタ</t>
    </rPh>
    <rPh sb="8" eb="10">
      <t>キュウフ</t>
    </rPh>
    <rPh sb="10" eb="12">
      <t>タイショウ</t>
    </rPh>
    <rPh sb="12" eb="14">
      <t>シセツ</t>
    </rPh>
    <rPh sb="21" eb="22">
      <t>ジュン</t>
    </rPh>
    <rPh sb="22" eb="24">
      <t>カイゼン</t>
    </rPh>
    <rPh sb="24" eb="26">
      <t>ジギョウ</t>
    </rPh>
    <phoneticPr fontId="29"/>
  </si>
  <si>
    <t xml:space="preserve">  補助金分割払い請求書（第１期分）</t>
    <rPh sb="2" eb="5">
      <t>ホジョキン</t>
    </rPh>
    <rPh sb="5" eb="7">
      <t>ブンカツ</t>
    </rPh>
    <rPh sb="7" eb="8">
      <t>ハラ</t>
    </rPh>
    <rPh sb="9" eb="12">
      <t>セイキュウショ</t>
    </rPh>
    <rPh sb="13" eb="14">
      <t>ダイ</t>
    </rPh>
    <rPh sb="15" eb="16">
      <t>キ</t>
    </rPh>
    <rPh sb="16" eb="17">
      <t>ブン</t>
    </rPh>
    <phoneticPr fontId="29"/>
  </si>
  <si>
    <t>　住　　　　　  所</t>
    <rPh sb="1" eb="2">
      <t>ジュウ</t>
    </rPh>
    <rPh sb="9" eb="10">
      <t>ショ</t>
    </rPh>
    <phoneticPr fontId="29"/>
  </si>
  <si>
    <t>　法　　 人   　名</t>
    <rPh sb="1" eb="2">
      <t>ホウ</t>
    </rPh>
    <rPh sb="5" eb="6">
      <t>ヒト</t>
    </rPh>
    <rPh sb="10" eb="11">
      <t>ナ</t>
    </rPh>
    <phoneticPr fontId="15"/>
  </si>
  <si>
    <t>　代 表 者 職 氏 名</t>
    <rPh sb="1" eb="2">
      <t>ダイ</t>
    </rPh>
    <rPh sb="3" eb="4">
      <t>ヒョウ</t>
    </rPh>
    <rPh sb="5" eb="6">
      <t>モノ</t>
    </rPh>
    <rPh sb="7" eb="8">
      <t>ショク</t>
    </rPh>
    <rPh sb="9" eb="10">
      <t>シ</t>
    </rPh>
    <rPh sb="11" eb="12">
      <t>メイ</t>
    </rPh>
    <phoneticPr fontId="15"/>
  </si>
  <si>
    <t>　</t>
  </si>
  <si>
    <t>　（施設（園）名）</t>
    <rPh sb="2" eb="3">
      <t>シ</t>
    </rPh>
    <rPh sb="3" eb="4">
      <t>セツ</t>
    </rPh>
    <rPh sb="5" eb="6">
      <t>エン</t>
    </rPh>
    <rPh sb="7" eb="8">
      <t>ナ</t>
    </rPh>
    <phoneticPr fontId="15"/>
  </si>
  <si>
    <t>　　　１　請 求 金 額</t>
    <rPh sb="5" eb="6">
      <t>ショウ</t>
    </rPh>
    <rPh sb="7" eb="8">
      <t>モトム</t>
    </rPh>
    <rPh sb="9" eb="10">
      <t>キン</t>
    </rPh>
    <rPh sb="11" eb="12">
      <t>ガク</t>
    </rPh>
    <phoneticPr fontId="6"/>
  </si>
  <si>
    <t>　 年　 月　 日交付</t>
    <rPh sb="2" eb="3">
      <t>ネン</t>
    </rPh>
    <rPh sb="5" eb="6">
      <t>ガツ</t>
    </rPh>
    <rPh sb="8" eb="9">
      <t>ニチ</t>
    </rPh>
    <rPh sb="9" eb="11">
      <t>コウフ</t>
    </rPh>
    <phoneticPr fontId="29"/>
  </si>
  <si>
    <t>補助事業の
目的及び内容</t>
    <rPh sb="0" eb="2">
      <t>ホジョ</t>
    </rPh>
    <rPh sb="2" eb="4">
      <t>ジギョウ</t>
    </rPh>
    <rPh sb="6" eb="8">
      <t>モクテキ</t>
    </rPh>
    <phoneticPr fontId="6"/>
  </si>
  <si>
    <t>実績額が概算払い済額を下回る場合、令和４年５月末までに、</t>
    <phoneticPr fontId="1"/>
  </si>
  <si>
    <t>　　過払い額を返還していただきます。</t>
    <phoneticPr fontId="1"/>
  </si>
  <si>
    <t>（※）概算払いは、補助金返還が生じるおそれがある場合には請求しない</t>
    <phoneticPr fontId="1"/>
  </si>
  <si>
    <t>　　扱いにすることもできます。</t>
    <phoneticPr fontId="1"/>
  </si>
  <si>
    <t>（※）１回目の概算払いをしない場合でも、２回目の概算払いを受ける</t>
    <phoneticPr fontId="1"/>
  </si>
  <si>
    <t>　　ことができます。</t>
    <phoneticPr fontId="1"/>
  </si>
  <si>
    <t>・概算払いは、補助金返還が生じるおそれがある場合には請求しない扱いにすることもできます。</t>
    <phoneticPr fontId="1"/>
  </si>
  <si>
    <t>【概算払いについて（注意事項）】</t>
    <rPh sb="1" eb="3">
      <t>ガイサン</t>
    </rPh>
    <rPh sb="3" eb="4">
      <t>バラ</t>
    </rPh>
    <rPh sb="10" eb="12">
      <t>チュウイ</t>
    </rPh>
    <rPh sb="12" eb="14">
      <t>ジコウ</t>
    </rPh>
    <phoneticPr fontId="1"/>
  </si>
  <si>
    <t>概算払い（１回目）は請求しない</t>
  </si>
  <si>
    <t>概算払いは請求しないことが選択されています。</t>
    <phoneticPr fontId="1"/>
  </si>
  <si>
    <t>・１回目の概算払いをしない場合でも、２回目の概算払い（１０月末支払い予定）を受けることができます。</t>
    <rPh sb="29" eb="30">
      <t>ガツ</t>
    </rPh>
    <rPh sb="30" eb="31">
      <t>マツ</t>
    </rPh>
    <rPh sb="31" eb="33">
      <t>シハラ</t>
    </rPh>
    <rPh sb="34" eb="36">
      <t>ヨテイ</t>
    </rPh>
    <phoneticPr fontId="1"/>
  </si>
  <si>
    <t>Ｄ列</t>
    <rPh sb="1" eb="2">
      <t>レツ</t>
    </rPh>
    <phoneticPr fontId="1"/>
  </si>
  <si>
    <t>補助人工</t>
    <rPh sb="0" eb="2">
      <t>ホジョ</t>
    </rPh>
    <rPh sb="2" eb="4">
      <t>ニンク</t>
    </rPh>
    <phoneticPr fontId="1"/>
  </si>
  <si>
    <t>基本加算１</t>
    <rPh sb="0" eb="2">
      <t>キホン</t>
    </rPh>
    <rPh sb="2" eb="4">
      <t>カサン</t>
    </rPh>
    <phoneticPr fontId="29"/>
  </si>
  <si>
    <t>基本加算２</t>
    <rPh sb="0" eb="2">
      <t>キホン</t>
    </rPh>
    <rPh sb="2" eb="4">
      <t>カサン</t>
    </rPh>
    <phoneticPr fontId="29"/>
  </si>
  <si>
    <t>基本加算３</t>
    <rPh sb="0" eb="2">
      <t>キホン</t>
    </rPh>
    <rPh sb="2" eb="4">
      <t>カサン</t>
    </rPh>
    <phoneticPr fontId="29"/>
  </si>
  <si>
    <t>一般加算１</t>
    <rPh sb="0" eb="2">
      <t>イッパン</t>
    </rPh>
    <rPh sb="2" eb="4">
      <t>カサン</t>
    </rPh>
    <phoneticPr fontId="29"/>
  </si>
  <si>
    <t>-</t>
  </si>
  <si>
    <t>選択肢　→→→→→→→</t>
    <rPh sb="0" eb="3">
      <t>センタクシ</t>
    </rPh>
    <phoneticPr fontId="1"/>
  </si>
  <si>
    <t>文字列</t>
    <rPh sb="0" eb="3">
      <t>モジレツ</t>
    </rPh>
    <phoneticPr fontId="1"/>
  </si>
  <si>
    <t>基本加算補助可能数内訳</t>
    <rPh sb="0" eb="2">
      <t>キホン</t>
    </rPh>
    <rPh sb="2" eb="4">
      <t>カサン</t>
    </rPh>
    <rPh sb="4" eb="6">
      <t>ホジョ</t>
    </rPh>
    <rPh sb="6" eb="8">
      <t>カノウ</t>
    </rPh>
    <rPh sb="8" eb="9">
      <t>スウ</t>
    </rPh>
    <rPh sb="9" eb="11">
      <t>ウチワケ</t>
    </rPh>
    <phoneticPr fontId="1"/>
  </si>
  <si>
    <t>基本加算での補助不可数</t>
    <rPh sb="0" eb="2">
      <t>キホン</t>
    </rPh>
    <rPh sb="2" eb="4">
      <t>カサン</t>
    </rPh>
    <rPh sb="6" eb="8">
      <t>ホジョ</t>
    </rPh>
    <rPh sb="8" eb="10">
      <t>フカ</t>
    </rPh>
    <rPh sb="10" eb="11">
      <t>イリスウ</t>
    </rPh>
    <phoneticPr fontId="1"/>
  </si>
  <si>
    <t>保育支援者</t>
    <rPh sb="0" eb="2">
      <t>ホイク</t>
    </rPh>
    <rPh sb="2" eb="5">
      <t>シエンシャ</t>
    </rPh>
    <phoneticPr fontId="1"/>
  </si>
  <si>
    <t>保育支援者</t>
    <phoneticPr fontId="1"/>
  </si>
  <si>
    <t>(2)　月別配置内訳書　（E)保育支援者</t>
    <rPh sb="4" eb="6">
      <t>ツキベツ</t>
    </rPh>
    <rPh sb="6" eb="8">
      <t>ハイチ</t>
    </rPh>
    <rPh sb="8" eb="11">
      <t>ウチワケショ</t>
    </rPh>
    <rPh sb="15" eb="17">
      <t>ホイク</t>
    </rPh>
    <rPh sb="17" eb="20">
      <t>シエンシャ</t>
    </rPh>
    <phoneticPr fontId="15"/>
  </si>
  <si>
    <t>医ケア有のとき、Ｒ列数まで対象</t>
    <rPh sb="0" eb="1">
      <t>イ</t>
    </rPh>
    <rPh sb="3" eb="4">
      <t>アリ</t>
    </rPh>
    <rPh sb="9" eb="10">
      <t>レツ</t>
    </rPh>
    <rPh sb="13" eb="15">
      <t>タイショウ</t>
    </rPh>
    <phoneticPr fontId="1"/>
  </si>
  <si>
    <t>千葉市施設型給付対象施設保育士等配置基準改善費算出内訳書（８）</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</si>
  <si>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７．</t>
    <phoneticPr fontId="1"/>
  </si>
  <si>
    <t>千葉市施設型給付対象施設保育士等配置基準改善費算出内訳書（９）</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</si>
  <si>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（本園）</t>
    <rPh sb="1" eb="2">
      <t>ホン</t>
    </rPh>
    <rPh sb="2" eb="3">
      <t>エン</t>
    </rPh>
    <phoneticPr fontId="1"/>
  </si>
  <si>
    <t>（分園）</t>
    <rPh sb="1" eb="3">
      <t>ブンエン</t>
    </rPh>
    <phoneticPr fontId="1"/>
  </si>
  <si>
    <t>児童定員
（本園）</t>
    <rPh sb="0" eb="2">
      <t>ジドウ</t>
    </rPh>
    <rPh sb="2" eb="4">
      <t>テイイン</t>
    </rPh>
    <rPh sb="6" eb="7">
      <t>ホン</t>
    </rPh>
    <rPh sb="7" eb="8">
      <t>エン</t>
    </rPh>
    <phoneticPr fontId="1"/>
  </si>
  <si>
    <t>児童定員
（分園）</t>
    <rPh sb="0" eb="2">
      <t>ジドウ</t>
    </rPh>
    <rPh sb="2" eb="4">
      <t>テイイン</t>
    </rPh>
    <rPh sb="6" eb="8">
      <t>ブンエン</t>
    </rPh>
    <phoneticPr fontId="1"/>
  </si>
  <si>
    <t>分園の有無
（経過措置）</t>
    <rPh sb="0" eb="2">
      <t>ブンエン</t>
    </rPh>
    <rPh sb="3" eb="5">
      <t>ウム</t>
    </rPh>
    <rPh sb="7" eb="9">
      <t>ケイカ</t>
    </rPh>
    <rPh sb="9" eb="11">
      <t>ソチ</t>
    </rPh>
    <phoneticPr fontId="1"/>
  </si>
  <si>
    <t>有・無・有（経過措置）</t>
    <rPh sb="0" eb="1">
      <t>アリ</t>
    </rPh>
    <rPh sb="2" eb="3">
      <t>ナシ</t>
    </rPh>
    <rPh sb="4" eb="5">
      <t>アリ</t>
    </rPh>
    <rPh sb="6" eb="8">
      <t>ケイカ</t>
    </rPh>
    <rPh sb="8" eb="10">
      <t>ソチ</t>
    </rPh>
    <phoneticPr fontId="1"/>
  </si>
  <si>
    <t>有（経過措置）</t>
  </si>
  <si>
    <t>園長</t>
    <rPh sb="0" eb="2">
      <t>エンチョウ</t>
    </rPh>
    <phoneticPr fontId="11"/>
  </si>
  <si>
    <t>副園長</t>
    <rPh sb="0" eb="3">
      <t>フクエンチョウ</t>
    </rPh>
    <phoneticPr fontId="19"/>
  </si>
  <si>
    <t>教頭</t>
    <rPh sb="0" eb="2">
      <t>キョウトウ</t>
    </rPh>
    <phoneticPr fontId="19"/>
  </si>
  <si>
    <t>講師</t>
    <rPh sb="0" eb="2">
      <t>コウシ</t>
    </rPh>
    <phoneticPr fontId="6"/>
  </si>
  <si>
    <t>要件緩和対象</t>
    <rPh sb="0" eb="2">
      <t>ヨウケン</t>
    </rPh>
    <rPh sb="2" eb="4">
      <t>カンワ</t>
    </rPh>
    <rPh sb="4" eb="6">
      <t>タイショウ</t>
    </rPh>
    <phoneticPr fontId="6"/>
  </si>
  <si>
    <t>教育・保育補助者</t>
    <rPh sb="0" eb="2">
      <t>キョウイク</t>
    </rPh>
    <rPh sb="3" eb="5">
      <t>ホイク</t>
    </rPh>
    <rPh sb="5" eb="7">
      <t>ホジョ</t>
    </rPh>
    <rPh sb="7" eb="8">
      <t>シャ</t>
    </rPh>
    <phoneticPr fontId="6"/>
  </si>
  <si>
    <t>保健師</t>
    <rPh sb="0" eb="3">
      <t>ホケンシ</t>
    </rPh>
    <phoneticPr fontId="11"/>
  </si>
  <si>
    <t>看護師</t>
    <rPh sb="0" eb="3">
      <t>カンゴシ</t>
    </rPh>
    <phoneticPr fontId="11"/>
  </si>
  <si>
    <t>准看護師</t>
    <rPh sb="0" eb="4">
      <t>ジュンカンゴシ</t>
    </rPh>
    <phoneticPr fontId="6"/>
  </si>
  <si>
    <t>栄養士</t>
    <rPh sb="0" eb="3">
      <t>エイヨウシ</t>
    </rPh>
    <phoneticPr fontId="6"/>
  </si>
  <si>
    <t>調理員</t>
    <rPh sb="0" eb="3">
      <t>チョウリイン</t>
    </rPh>
    <phoneticPr fontId="6"/>
  </si>
  <si>
    <t>用務員</t>
    <rPh sb="0" eb="3">
      <t>ヨウムイン</t>
    </rPh>
    <phoneticPr fontId="11"/>
  </si>
  <si>
    <t>事務職員</t>
    <rPh sb="0" eb="2">
      <t>ジム</t>
    </rPh>
    <rPh sb="2" eb="4">
      <t>ショクイン</t>
    </rPh>
    <phoneticPr fontId="11"/>
  </si>
  <si>
    <t>その他</t>
    <rPh sb="2" eb="3">
      <t>タ</t>
    </rPh>
    <phoneticPr fontId="11"/>
  </si>
  <si>
    <t>教頭</t>
    <rPh sb="0" eb="2">
      <t>キョウトウ</t>
    </rPh>
    <phoneticPr fontId="1"/>
  </si>
  <si>
    <t>主幹・指導教諭</t>
    <rPh sb="0" eb="2">
      <t>シュカン</t>
    </rPh>
    <rPh sb="3" eb="5">
      <t>シドウ</t>
    </rPh>
    <rPh sb="5" eb="7">
      <t>キョウユ</t>
    </rPh>
    <phoneticPr fontId="1"/>
  </si>
  <si>
    <t>通常教育・保育</t>
    <rPh sb="0" eb="2">
      <t>ツウジョウ</t>
    </rPh>
    <rPh sb="2" eb="4">
      <t>キョウイク</t>
    </rPh>
    <rPh sb="5" eb="7">
      <t>ホイク</t>
    </rPh>
    <phoneticPr fontId="1"/>
  </si>
  <si>
    <t>教育・保育補助</t>
    <rPh sb="0" eb="2">
      <t>キョウイク</t>
    </rPh>
    <rPh sb="3" eb="5">
      <t>ホイク</t>
    </rPh>
    <rPh sb="5" eb="7">
      <t>ホジョ</t>
    </rPh>
    <phoneticPr fontId="1"/>
  </si>
  <si>
    <t>教育・保育支援者</t>
    <rPh sb="0" eb="2">
      <t>キョウイク</t>
    </rPh>
    <rPh sb="3" eb="5">
      <t>ホイク</t>
    </rPh>
    <rPh sb="5" eb="8">
      <t>シエンシャ</t>
    </rPh>
    <phoneticPr fontId="1"/>
  </si>
  <si>
    <t>保育教諭</t>
    <phoneticPr fontId="1"/>
  </si>
  <si>
    <t>児童定員
本園
１号</t>
    <rPh sb="0" eb="2">
      <t>ジドウ</t>
    </rPh>
    <rPh sb="2" eb="4">
      <t>テイイン</t>
    </rPh>
    <rPh sb="5" eb="6">
      <t>ホン</t>
    </rPh>
    <rPh sb="6" eb="7">
      <t>エン</t>
    </rPh>
    <rPh sb="9" eb="10">
      <t>ゴウ</t>
    </rPh>
    <phoneticPr fontId="1"/>
  </si>
  <si>
    <t>児童定員
本園
２号</t>
    <rPh sb="0" eb="2">
      <t>ジドウ</t>
    </rPh>
    <rPh sb="2" eb="4">
      <t>テイイン</t>
    </rPh>
    <rPh sb="5" eb="6">
      <t>ホン</t>
    </rPh>
    <rPh sb="6" eb="7">
      <t>エン</t>
    </rPh>
    <rPh sb="9" eb="10">
      <t>ゴウ</t>
    </rPh>
    <phoneticPr fontId="1"/>
  </si>
  <si>
    <t>児童定員
本園
３号</t>
    <rPh sb="0" eb="2">
      <t>ジドウ</t>
    </rPh>
    <rPh sb="2" eb="4">
      <t>テイイン</t>
    </rPh>
    <rPh sb="5" eb="6">
      <t>ホン</t>
    </rPh>
    <rPh sb="6" eb="7">
      <t>エン</t>
    </rPh>
    <rPh sb="9" eb="10">
      <t>ゴウ</t>
    </rPh>
    <phoneticPr fontId="1"/>
  </si>
  <si>
    <t>児童定員
分園
１号</t>
    <rPh sb="0" eb="2">
      <t>ジドウ</t>
    </rPh>
    <rPh sb="2" eb="4">
      <t>テイイン</t>
    </rPh>
    <rPh sb="9" eb="10">
      <t>ゴウ</t>
    </rPh>
    <phoneticPr fontId="1"/>
  </si>
  <si>
    <t>児童定員
分園
２号</t>
    <rPh sb="0" eb="2">
      <t>ジドウ</t>
    </rPh>
    <rPh sb="2" eb="4">
      <t>テイイン</t>
    </rPh>
    <rPh sb="9" eb="10">
      <t>ゴウ</t>
    </rPh>
    <phoneticPr fontId="1"/>
  </si>
  <si>
    <t>児童定員
分園
３号</t>
    <rPh sb="0" eb="2">
      <t>ジドウ</t>
    </rPh>
    <rPh sb="2" eb="4">
      <t>テイイン</t>
    </rPh>
    <rPh sb="9" eb="10">
      <t>ゴウ</t>
    </rPh>
    <phoneticPr fontId="1"/>
  </si>
  <si>
    <t>（本園）</t>
    <rPh sb="1" eb="2">
      <t>ホン</t>
    </rPh>
    <rPh sb="2" eb="3">
      <t>エン</t>
    </rPh>
    <phoneticPr fontId="1"/>
  </si>
  <si>
    <t>（分園）</t>
    <rPh sb="1" eb="3">
      <t>ブンエン</t>
    </rPh>
    <phoneticPr fontId="1"/>
  </si>
  <si>
    <t>1号</t>
    <rPh sb="1" eb="2">
      <t>ゴウ</t>
    </rPh>
    <phoneticPr fontId="1"/>
  </si>
  <si>
    <t>2号</t>
    <rPh sb="1" eb="2">
      <t>ゴウ</t>
    </rPh>
    <phoneticPr fontId="1"/>
  </si>
  <si>
    <t>3号</t>
    <rPh sb="1" eb="2">
      <t>ゴウ</t>
    </rPh>
    <phoneticPr fontId="1"/>
  </si>
  <si>
    <t>合計</t>
    <rPh sb="0" eb="2">
      <t>ゴウケイ</t>
    </rPh>
    <phoneticPr fontId="1"/>
  </si>
  <si>
    <t>1号</t>
    <rPh sb="1" eb="2">
      <t>ゴウ</t>
    </rPh>
    <phoneticPr fontId="1"/>
  </si>
  <si>
    <t>2号</t>
    <rPh sb="1" eb="2">
      <t>ゴウ</t>
    </rPh>
    <phoneticPr fontId="1"/>
  </si>
  <si>
    <t>3号</t>
    <rPh sb="1" eb="2">
      <t>ゴウ</t>
    </rPh>
    <phoneticPr fontId="1"/>
  </si>
  <si>
    <t>分園</t>
    <rPh sb="0" eb="2">
      <t>ブンエン</t>
    </rPh>
    <phoneticPr fontId="1"/>
  </si>
  <si>
    <t>本園</t>
    <rPh sb="0" eb="1">
      <t>ホン</t>
    </rPh>
    <rPh sb="1" eb="2">
      <t>エン</t>
    </rPh>
    <phoneticPr fontId="1"/>
  </si>
  <si>
    <t>（施設名）</t>
    <rPh sb="1" eb="3">
      <t>シセツ</t>
    </rPh>
    <rPh sb="3" eb="4">
      <t>メイ</t>
    </rPh>
    <phoneticPr fontId="1"/>
  </si>
  <si>
    <t>3歳
(1.2.3号)</t>
    <rPh sb="1" eb="2">
      <t>サイ</t>
    </rPh>
    <rPh sb="9" eb="10">
      <t>ゴウ</t>
    </rPh>
    <phoneticPr fontId="15"/>
  </si>
  <si>
    <t>4歳
(1.2号)</t>
    <rPh sb="1" eb="2">
      <t>サイ</t>
    </rPh>
    <rPh sb="7" eb="8">
      <t>ゴウ</t>
    </rPh>
    <phoneticPr fontId="15"/>
  </si>
  <si>
    <t>5歳
(1.2号)</t>
    <rPh sb="1" eb="2">
      <t>サイ</t>
    </rPh>
    <phoneticPr fontId="15"/>
  </si>
  <si>
    <t>満3歳
(1号)
※1</t>
    <rPh sb="0" eb="1">
      <t>マン</t>
    </rPh>
    <rPh sb="2" eb="3">
      <t>サイ</t>
    </rPh>
    <rPh sb="6" eb="7">
      <t>ゴウ</t>
    </rPh>
    <phoneticPr fontId="15"/>
  </si>
  <si>
    <r>
      <t xml:space="preserve">職員定数（国）
</t>
    </r>
    <r>
      <rPr>
        <sz val="9"/>
        <color theme="1"/>
        <rFont val="游ゴシック"/>
        <family val="3"/>
        <charset val="128"/>
        <scheme val="minor"/>
      </rPr>
      <t>3歳児加算を付けない場合</t>
    </r>
    <rPh sb="0" eb="2">
      <t>ショクイン</t>
    </rPh>
    <rPh sb="2" eb="4">
      <t>テイスウ</t>
    </rPh>
    <rPh sb="5" eb="6">
      <t>クニ</t>
    </rPh>
    <rPh sb="9" eb="11">
      <t>サイジ</t>
    </rPh>
    <rPh sb="11" eb="13">
      <t>カサン</t>
    </rPh>
    <rPh sb="14" eb="15">
      <t>ツ</t>
    </rPh>
    <rPh sb="18" eb="20">
      <t>バアイ</t>
    </rPh>
    <phoneticPr fontId="15"/>
  </si>
  <si>
    <r>
      <t xml:space="preserve">保育士定数（国）
Ａ
</t>
    </r>
    <r>
      <rPr>
        <sz val="9"/>
        <rFont val="ＭＳ Ｐゴシック"/>
        <family val="3"/>
        <charset val="128"/>
      </rPr>
      <t>(a)～(d)の小数点以下第一位を四捨五入した数</t>
    </r>
    <rPh sb="0" eb="3">
      <t>ホイクシ</t>
    </rPh>
    <rPh sb="3" eb="5">
      <t>テイスウ</t>
    </rPh>
    <rPh sb="6" eb="7">
      <t>クニ</t>
    </rPh>
    <phoneticPr fontId="15"/>
  </si>
  <si>
    <t>１・２歳児、満３歳児</t>
    <rPh sb="3" eb="5">
      <t>サイジ</t>
    </rPh>
    <rPh sb="6" eb="7">
      <t>マン</t>
    </rPh>
    <rPh sb="8" eb="10">
      <t>サイジ</t>
    </rPh>
    <phoneticPr fontId="15"/>
  </si>
  <si>
    <t>チーム保育加配加算</t>
    <phoneticPr fontId="1"/>
  </si>
  <si>
    <t>学級編制調整加配加算</t>
    <phoneticPr fontId="1"/>
  </si>
  <si>
    <t>1.2号の定員計</t>
    <rPh sb="3" eb="4">
      <t>ゴウ</t>
    </rPh>
    <rPh sb="5" eb="7">
      <t>テイイン</t>
    </rPh>
    <rPh sb="7" eb="8">
      <t>ケイ</t>
    </rPh>
    <phoneticPr fontId="1"/>
  </si>
  <si>
    <t>主幹保育教諭等</t>
    <rPh sb="0" eb="2">
      <t>シュカン</t>
    </rPh>
    <rPh sb="2" eb="4">
      <t>ホイク</t>
    </rPh>
    <rPh sb="4" eb="6">
      <t>キョウユ</t>
    </rPh>
    <rPh sb="6" eb="7">
      <t>トウ</t>
    </rPh>
    <phoneticPr fontId="6"/>
  </si>
  <si>
    <t>指導保育教諭等</t>
    <rPh sb="0" eb="2">
      <t>シドウ</t>
    </rPh>
    <rPh sb="2" eb="4">
      <t>ホイク</t>
    </rPh>
    <rPh sb="4" eb="6">
      <t>キョウユ</t>
    </rPh>
    <phoneticPr fontId="6"/>
  </si>
  <si>
    <t>保育教諭等</t>
    <rPh sb="0" eb="2">
      <t>ホイク</t>
    </rPh>
    <rPh sb="2" eb="4">
      <t>キョウユ</t>
    </rPh>
    <phoneticPr fontId="6"/>
  </si>
  <si>
    <t>助保育教諭等</t>
    <rPh sb="0" eb="1">
      <t>ジョ</t>
    </rPh>
    <rPh sb="1" eb="3">
      <t>ホイク</t>
    </rPh>
    <rPh sb="3" eb="5">
      <t>キョウユ</t>
    </rPh>
    <phoneticPr fontId="6"/>
  </si>
  <si>
    <t>保育教諭等</t>
    <rPh sb="0" eb="2">
      <t>ホイク</t>
    </rPh>
    <rPh sb="2" eb="4">
      <t>キョウユ</t>
    </rPh>
    <rPh sb="4" eb="5">
      <t>トウ</t>
    </rPh>
    <phoneticPr fontId="1"/>
  </si>
  <si>
    <t>保育教諭等の確保数（※２）</t>
    <rPh sb="4" eb="5">
      <t>トウ</t>
    </rPh>
    <rPh sb="6" eb="8">
      <t>カクホ</t>
    </rPh>
    <rPh sb="8" eb="9">
      <t>スウ</t>
    </rPh>
    <phoneticPr fontId="1"/>
  </si>
  <si>
    <t>職員配置</t>
    <rPh sb="0" eb="2">
      <t>ショクイン</t>
    </rPh>
    <rPh sb="2" eb="4">
      <t>ハイチ</t>
    </rPh>
    <phoneticPr fontId="15"/>
  </si>
  <si>
    <t>ac</t>
    <phoneticPr fontId="1"/>
  </si>
  <si>
    <t>ad</t>
    <phoneticPr fontId="1"/>
  </si>
  <si>
    <t>教育・保育補助の確保数</t>
    <rPh sb="0" eb="2">
      <t>キョウイク</t>
    </rPh>
    <rPh sb="3" eb="5">
      <t>ホイク</t>
    </rPh>
    <rPh sb="5" eb="7">
      <t>ホジョ</t>
    </rPh>
    <phoneticPr fontId="1"/>
  </si>
  <si>
    <t>概算払い済額①</t>
    <rPh sb="0" eb="2">
      <t>ガイサン</t>
    </rPh>
    <rPh sb="2" eb="3">
      <t>バラ</t>
    </rPh>
    <rPh sb="4" eb="5">
      <t>スミ</t>
    </rPh>
    <rPh sb="5" eb="6">
      <t>ガク</t>
    </rPh>
    <phoneticPr fontId="1"/>
  </si>
  <si>
    <t>概算払い済額②</t>
    <rPh sb="0" eb="2">
      <t>ガイサン</t>
    </rPh>
    <rPh sb="2" eb="3">
      <t>バラ</t>
    </rPh>
    <rPh sb="4" eb="5">
      <t>スミ</t>
    </rPh>
    <rPh sb="5" eb="6">
      <t>ガク</t>
    </rPh>
    <phoneticPr fontId="1"/>
  </si>
  <si>
    <t>市要配慮(看護士)加配数
(4月）</t>
    <rPh sb="0" eb="1">
      <t>シ</t>
    </rPh>
    <rPh sb="1" eb="2">
      <t>ヨウ</t>
    </rPh>
    <rPh sb="2" eb="4">
      <t>ハイリョ</t>
    </rPh>
    <rPh sb="5" eb="8">
      <t>カンゴシ</t>
    </rPh>
    <rPh sb="9" eb="11">
      <t>カハイ</t>
    </rPh>
    <rPh sb="11" eb="12">
      <t>スウ</t>
    </rPh>
    <rPh sb="15" eb="16">
      <t>ガツ</t>
    </rPh>
    <phoneticPr fontId="1"/>
  </si>
  <si>
    <t>市要配慮(看護士)加配数
(5月）</t>
    <rPh sb="0" eb="1">
      <t>シ</t>
    </rPh>
    <rPh sb="1" eb="2">
      <t>ヨウ</t>
    </rPh>
    <rPh sb="2" eb="4">
      <t>ハイリョ</t>
    </rPh>
    <rPh sb="5" eb="8">
      <t>カンゴシ</t>
    </rPh>
    <rPh sb="9" eb="11">
      <t>カハイ</t>
    </rPh>
    <rPh sb="11" eb="12">
      <t>スウ</t>
    </rPh>
    <rPh sb="15" eb="16">
      <t>ガツ</t>
    </rPh>
    <phoneticPr fontId="1"/>
  </si>
  <si>
    <t>市要配慮(看護士)加配数
(6月）</t>
    <rPh sb="0" eb="1">
      <t>シ</t>
    </rPh>
    <rPh sb="1" eb="2">
      <t>ヨウ</t>
    </rPh>
    <rPh sb="2" eb="4">
      <t>ハイリョ</t>
    </rPh>
    <rPh sb="5" eb="8">
      <t>カンゴシ</t>
    </rPh>
    <rPh sb="9" eb="11">
      <t>カハイ</t>
    </rPh>
    <rPh sb="11" eb="12">
      <t>スウ</t>
    </rPh>
    <rPh sb="15" eb="16">
      <t>ガツ</t>
    </rPh>
    <phoneticPr fontId="1"/>
  </si>
  <si>
    <t>市要配慮(看護士)加配数
(7月）</t>
    <rPh sb="0" eb="1">
      <t>シ</t>
    </rPh>
    <rPh sb="1" eb="2">
      <t>ヨウ</t>
    </rPh>
    <rPh sb="2" eb="4">
      <t>ハイリョ</t>
    </rPh>
    <rPh sb="5" eb="8">
      <t>カンゴシ</t>
    </rPh>
    <rPh sb="9" eb="11">
      <t>カハイ</t>
    </rPh>
    <rPh sb="11" eb="12">
      <t>スウ</t>
    </rPh>
    <rPh sb="15" eb="16">
      <t>ガツ</t>
    </rPh>
    <phoneticPr fontId="1"/>
  </si>
  <si>
    <t>市要配慮(看護士)加配数
(8月）</t>
    <rPh sb="0" eb="1">
      <t>シ</t>
    </rPh>
    <rPh sb="1" eb="2">
      <t>ヨウ</t>
    </rPh>
    <rPh sb="2" eb="4">
      <t>ハイリョ</t>
    </rPh>
    <rPh sb="5" eb="8">
      <t>カンゴシ</t>
    </rPh>
    <rPh sb="9" eb="11">
      <t>カハイ</t>
    </rPh>
    <rPh sb="11" eb="12">
      <t>スウ</t>
    </rPh>
    <rPh sb="15" eb="16">
      <t>ガツ</t>
    </rPh>
    <phoneticPr fontId="1"/>
  </si>
  <si>
    <t>市要配慮(看護士)加配数
(9月）</t>
    <rPh sb="0" eb="1">
      <t>シ</t>
    </rPh>
    <rPh sb="1" eb="2">
      <t>ヨウ</t>
    </rPh>
    <rPh sb="2" eb="4">
      <t>ハイリョ</t>
    </rPh>
    <rPh sb="5" eb="8">
      <t>カンゴシ</t>
    </rPh>
    <rPh sb="9" eb="11">
      <t>カハイ</t>
    </rPh>
    <rPh sb="11" eb="12">
      <t>スウ</t>
    </rPh>
    <rPh sb="15" eb="16">
      <t>ガツ</t>
    </rPh>
    <phoneticPr fontId="1"/>
  </si>
  <si>
    <t>市要配慮(看護士)加配数
(10月）</t>
    <rPh sb="0" eb="1">
      <t>シ</t>
    </rPh>
    <rPh sb="1" eb="2">
      <t>ヨウ</t>
    </rPh>
    <rPh sb="2" eb="4">
      <t>ハイリョ</t>
    </rPh>
    <rPh sb="5" eb="8">
      <t>カンゴシ</t>
    </rPh>
    <rPh sb="9" eb="11">
      <t>カハイ</t>
    </rPh>
    <rPh sb="11" eb="12">
      <t>スウ</t>
    </rPh>
    <rPh sb="16" eb="17">
      <t>ガツ</t>
    </rPh>
    <phoneticPr fontId="1"/>
  </si>
  <si>
    <t>市要配慮(看護士)加配数
(11月）</t>
    <rPh sb="0" eb="1">
      <t>シ</t>
    </rPh>
    <rPh sb="1" eb="2">
      <t>ヨウ</t>
    </rPh>
    <rPh sb="2" eb="4">
      <t>ハイリョ</t>
    </rPh>
    <rPh sb="5" eb="8">
      <t>カンゴシ</t>
    </rPh>
    <rPh sb="9" eb="11">
      <t>カハイ</t>
    </rPh>
    <rPh sb="11" eb="12">
      <t>スウ</t>
    </rPh>
    <rPh sb="16" eb="17">
      <t>ガツ</t>
    </rPh>
    <phoneticPr fontId="1"/>
  </si>
  <si>
    <t>市要配慮(看護士)加配数
(12月）</t>
    <rPh sb="0" eb="1">
      <t>シ</t>
    </rPh>
    <rPh sb="1" eb="2">
      <t>ヨウ</t>
    </rPh>
    <rPh sb="2" eb="4">
      <t>ハイリョ</t>
    </rPh>
    <rPh sb="5" eb="8">
      <t>カンゴシ</t>
    </rPh>
    <rPh sb="9" eb="11">
      <t>カハイ</t>
    </rPh>
    <rPh sb="11" eb="12">
      <t>スウ</t>
    </rPh>
    <rPh sb="16" eb="17">
      <t>ガツ</t>
    </rPh>
    <phoneticPr fontId="1"/>
  </si>
  <si>
    <t>市要配慮(看護士)加配数
(1月）</t>
    <rPh sb="0" eb="1">
      <t>シ</t>
    </rPh>
    <rPh sb="1" eb="2">
      <t>ヨウ</t>
    </rPh>
    <rPh sb="2" eb="4">
      <t>ハイリョ</t>
    </rPh>
    <rPh sb="5" eb="8">
      <t>カンゴシ</t>
    </rPh>
    <rPh sb="9" eb="11">
      <t>カハイ</t>
    </rPh>
    <rPh sb="11" eb="12">
      <t>スウ</t>
    </rPh>
    <rPh sb="15" eb="16">
      <t>ガツ</t>
    </rPh>
    <phoneticPr fontId="1"/>
  </si>
  <si>
    <t>市要配慮(看護士)加配数
(2月）</t>
    <rPh sb="0" eb="1">
      <t>シ</t>
    </rPh>
    <rPh sb="1" eb="2">
      <t>ヨウ</t>
    </rPh>
    <rPh sb="2" eb="4">
      <t>ハイリョ</t>
    </rPh>
    <rPh sb="5" eb="8">
      <t>カンゴシ</t>
    </rPh>
    <rPh sb="9" eb="11">
      <t>カハイ</t>
    </rPh>
    <rPh sb="11" eb="12">
      <t>スウ</t>
    </rPh>
    <rPh sb="15" eb="16">
      <t>ガツ</t>
    </rPh>
    <phoneticPr fontId="1"/>
  </si>
  <si>
    <t>市要配慮(看護士)加配数
(3月）</t>
    <rPh sb="0" eb="1">
      <t>シ</t>
    </rPh>
    <rPh sb="1" eb="2">
      <t>ヨウ</t>
    </rPh>
    <rPh sb="2" eb="4">
      <t>ハイリョ</t>
    </rPh>
    <rPh sb="5" eb="8">
      <t>カンゴシ</t>
    </rPh>
    <rPh sb="9" eb="11">
      <t>カハイ</t>
    </rPh>
    <rPh sb="11" eb="12">
      <t>スウ</t>
    </rPh>
    <rPh sb="15" eb="16">
      <t>ガツ</t>
    </rPh>
    <phoneticPr fontId="1"/>
  </si>
  <si>
    <t>1号の定員</t>
    <rPh sb="1" eb="2">
      <t>ゴウ</t>
    </rPh>
    <rPh sb="3" eb="5">
      <t>テイイン</t>
    </rPh>
    <phoneticPr fontId="1"/>
  </si>
  <si>
    <t>　　一時預かり、障害児保育、その他（支援センター、チーム保育推進加算等）に従事する保育士を含んだ人数。</t>
    <rPh sb="2" eb="4">
      <t>イチジ</t>
    </rPh>
    <rPh sb="4" eb="5">
      <t>アズ</t>
    </rPh>
    <rPh sb="8" eb="11">
      <t>ショウガイジ</t>
    </rPh>
    <rPh sb="11" eb="13">
      <t>ホイク</t>
    </rPh>
    <rPh sb="16" eb="17">
      <t>タ</t>
    </rPh>
    <rPh sb="18" eb="20">
      <t>シエン</t>
    </rPh>
    <rPh sb="28" eb="30">
      <t>ホイク</t>
    </rPh>
    <rPh sb="30" eb="32">
      <t>スイシン</t>
    </rPh>
    <rPh sb="32" eb="34">
      <t>カサン</t>
    </rPh>
    <rPh sb="34" eb="35">
      <t>トウ</t>
    </rPh>
    <rPh sb="37" eb="39">
      <t>ジュウジ</t>
    </rPh>
    <rPh sb="41" eb="44">
      <t>ホイクシ</t>
    </rPh>
    <rPh sb="45" eb="46">
      <t>フク</t>
    </rPh>
    <rPh sb="48" eb="50">
      <t>ニンズウ</t>
    </rPh>
    <phoneticPr fontId="15"/>
  </si>
  <si>
    <t>年齢別児童数（受託児童を含む）※１</t>
    <rPh sb="0" eb="2">
      <t>ネンレイ</t>
    </rPh>
    <rPh sb="2" eb="3">
      <t>ベツ</t>
    </rPh>
    <rPh sb="3" eb="5">
      <t>ジドウ</t>
    </rPh>
    <rPh sb="5" eb="6">
      <t>スウ</t>
    </rPh>
    <rPh sb="7" eb="9">
      <t>ジュタク</t>
    </rPh>
    <rPh sb="9" eb="11">
      <t>ジドウ</t>
    </rPh>
    <rPh sb="12" eb="13">
      <t>フク</t>
    </rPh>
    <phoneticPr fontId="15"/>
  </si>
  <si>
    <t>必要保育士数計算(a)　※２
(小数点以下第二位を切り捨て)</t>
    <rPh sb="0" eb="2">
      <t>ヒツヨウ</t>
    </rPh>
    <rPh sb="2" eb="5">
      <t>ホイクシ</t>
    </rPh>
    <rPh sb="5" eb="6">
      <t>スウ</t>
    </rPh>
    <rPh sb="6" eb="8">
      <t>ケイサン</t>
    </rPh>
    <phoneticPr fontId="15"/>
  </si>
  <si>
    <t>2・3号の利用定員が90人以下の場合1人加算
 (b)
※３</t>
    <rPh sb="3" eb="4">
      <t>ゴウ</t>
    </rPh>
    <rPh sb="5" eb="7">
      <t>リヨウ</t>
    </rPh>
    <rPh sb="7" eb="9">
      <t>テイイン</t>
    </rPh>
    <rPh sb="12" eb="13">
      <t>ニン</t>
    </rPh>
    <rPh sb="13" eb="15">
      <t>イカ</t>
    </rPh>
    <rPh sb="16" eb="18">
      <t>バアイ</t>
    </rPh>
    <rPh sb="18" eb="20">
      <t>ヒトリ</t>
    </rPh>
    <rPh sb="20" eb="22">
      <t>カサン</t>
    </rPh>
    <phoneticPr fontId="15"/>
  </si>
  <si>
    <t>保育標準時間認定こどもが利用する場合1人加算
　( ｃ)
※４</t>
    <rPh sb="0" eb="2">
      <t>ホイク</t>
    </rPh>
    <rPh sb="2" eb="4">
      <t>ヒョウジュン</t>
    </rPh>
    <rPh sb="4" eb="6">
      <t>ジカン</t>
    </rPh>
    <rPh sb="6" eb="8">
      <t>ニンテイ</t>
    </rPh>
    <rPh sb="12" eb="14">
      <t>リヨウ</t>
    </rPh>
    <rPh sb="16" eb="18">
      <t>バアイ</t>
    </rPh>
    <rPh sb="19" eb="20">
      <t>ニン</t>
    </rPh>
    <rPh sb="20" eb="22">
      <t>カサン</t>
    </rPh>
    <phoneticPr fontId="15"/>
  </si>
  <si>
    <t>主幹保育教諭等を専任化させるための代替保育教諭等
(d)
※５</t>
    <rPh sb="17" eb="19">
      <t>ダイタイ</t>
    </rPh>
    <rPh sb="19" eb="21">
      <t>ホイク</t>
    </rPh>
    <rPh sb="21" eb="23">
      <t>キョウユ</t>
    </rPh>
    <rPh sb="23" eb="24">
      <t>トウ</t>
    </rPh>
    <phoneticPr fontId="15"/>
  </si>
  <si>
    <t>基本加算分１</t>
    <rPh sb="0" eb="2">
      <t>キホン</t>
    </rPh>
    <phoneticPr fontId="1"/>
  </si>
  <si>
    <t>基本加算分２</t>
    <rPh sb="0" eb="2">
      <t>キホン</t>
    </rPh>
    <phoneticPr fontId="1"/>
  </si>
  <si>
    <t>基本加算分３</t>
    <rPh sb="0" eb="2">
      <t>キホン</t>
    </rPh>
    <phoneticPr fontId="1"/>
  </si>
  <si>
    <t>特定加算分２</t>
    <rPh sb="0" eb="2">
      <t>トクテイ</t>
    </rPh>
    <phoneticPr fontId="1"/>
  </si>
  <si>
    <t>特定加算分１</t>
    <rPh sb="0" eb="2">
      <t>トクテイ</t>
    </rPh>
    <phoneticPr fontId="1"/>
  </si>
  <si>
    <t>一般加算分２</t>
    <rPh sb="0" eb="2">
      <t>イッパン</t>
    </rPh>
    <phoneticPr fontId="1"/>
  </si>
  <si>
    <t>一般加算分１</t>
    <rPh sb="0" eb="2">
      <t>イッパン</t>
    </rPh>
    <phoneticPr fontId="1"/>
  </si>
  <si>
    <t>基本加算分１</t>
    <rPh sb="0" eb="2">
      <t>キホン</t>
    </rPh>
    <phoneticPr fontId="15"/>
  </si>
  <si>
    <t>基本加算分２</t>
    <rPh sb="0" eb="2">
      <t>キホン</t>
    </rPh>
    <phoneticPr fontId="15"/>
  </si>
  <si>
    <t>基本加算分３</t>
    <rPh sb="0" eb="2">
      <t>キホン</t>
    </rPh>
    <phoneticPr fontId="15"/>
  </si>
  <si>
    <t>一般加算分１</t>
    <rPh sb="0" eb="2">
      <t>イッパン</t>
    </rPh>
    <phoneticPr fontId="15"/>
  </si>
  <si>
    <t>一般加算分２</t>
    <rPh sb="0" eb="2">
      <t>イッパン</t>
    </rPh>
    <phoneticPr fontId="15"/>
  </si>
  <si>
    <t>特定加算分１</t>
    <rPh sb="0" eb="2">
      <t>トクテイ</t>
    </rPh>
    <phoneticPr fontId="15"/>
  </si>
  <si>
    <t>特定加算分２</t>
    <rPh sb="0" eb="2">
      <t>トクテイ</t>
    </rPh>
    <phoneticPr fontId="15"/>
  </si>
  <si>
    <t>更新日</t>
    <rPh sb="0" eb="3">
      <t>コウシンビ</t>
    </rPh>
    <phoneticPr fontId="4"/>
  </si>
  <si>
    <t>補助金用基本データ（最新）</t>
    <rPh sb="0" eb="3">
      <t>ホジョキン</t>
    </rPh>
    <rPh sb="3" eb="4">
      <t>ヨウ</t>
    </rPh>
    <rPh sb="4" eb="6">
      <t>キホン</t>
    </rPh>
    <rPh sb="10" eb="12">
      <t>サイシン</t>
    </rPh>
    <phoneticPr fontId="5"/>
  </si>
  <si>
    <t>↓黄色のセルは法人情報と違う内容になっている</t>
    <rPh sb="1" eb="3">
      <t>キイロ</t>
    </rPh>
    <rPh sb="7" eb="9">
      <t>ホウジン</t>
    </rPh>
    <rPh sb="9" eb="11">
      <t>ジョウホウ</t>
    </rPh>
    <rPh sb="12" eb="13">
      <t>チガ</t>
    </rPh>
    <rPh sb="14" eb="16">
      <t>ナイヨウ</t>
    </rPh>
    <phoneticPr fontId="4"/>
  </si>
  <si>
    <t>問題なし</t>
  </si>
  <si>
    <t>№</t>
  </si>
  <si>
    <t>施    設    名</t>
  </si>
  <si>
    <t>通し
番号</t>
    <rPh sb="0" eb="1">
      <t>トオ</t>
    </rPh>
    <rPh sb="3" eb="5">
      <t>バンゴウ</t>
    </rPh>
    <phoneticPr fontId="4"/>
  </si>
  <si>
    <t>事業所番号
（幼保支援課で付番）</t>
    <rPh sb="0" eb="3">
      <t>ジギョウショ</t>
    </rPh>
    <rPh sb="3" eb="5">
      <t>バンゴウ</t>
    </rPh>
    <rPh sb="7" eb="9">
      <t>ヨウホ</t>
    </rPh>
    <rPh sb="9" eb="11">
      <t>シエン</t>
    </rPh>
    <rPh sb="11" eb="12">
      <t>カ</t>
    </rPh>
    <rPh sb="13" eb="15">
      <t>フバン</t>
    </rPh>
    <phoneticPr fontId="4"/>
  </si>
  <si>
    <t>補助金用PW</t>
    <rPh sb="0" eb="3">
      <t>ホジョキン</t>
    </rPh>
    <rPh sb="3" eb="4">
      <t>ヨウ</t>
    </rPh>
    <phoneticPr fontId="4"/>
  </si>
  <si>
    <t>重複確認</t>
    <rPh sb="0" eb="2">
      <t>チョウフク</t>
    </rPh>
    <rPh sb="2" eb="4">
      <t>カクニン</t>
    </rPh>
    <phoneticPr fontId="4"/>
  </si>
  <si>
    <t>Pw確認</t>
    <rPh sb="2" eb="4">
      <t>カクニン</t>
    </rPh>
    <phoneticPr fontId="4"/>
  </si>
  <si>
    <t>OK</t>
  </si>
  <si>
    <t>２　認定こども園</t>
    <rPh sb="2" eb="8">
      <t>ニンテイ</t>
    </rPh>
    <phoneticPr fontId="5"/>
  </si>
  <si>
    <t>幼保連携型認定こども園　幕張海浜こども園</t>
    <rPh sb="19" eb="20">
      <t>エン</t>
    </rPh>
    <phoneticPr fontId="4"/>
  </si>
  <si>
    <t>千葉市美浜区打瀬１－３－５</t>
  </si>
  <si>
    <t>千葉市中央区道場北１－１７－６</t>
  </si>
  <si>
    <t>旭市見広4226-2</t>
  </si>
  <si>
    <t>川口　礼子</t>
  </si>
  <si>
    <t>千葉市稲毛区天台１－７－１７</t>
  </si>
  <si>
    <t>千葉市中央区浜野町１２５２－４</t>
  </si>
  <si>
    <t>千葉市中央区弁天２丁目８番９号</t>
  </si>
  <si>
    <t>千葉市中央区仁戸名町２０５</t>
  </si>
  <si>
    <t>千葉市中央区仁戸名町６１６</t>
  </si>
  <si>
    <t>千葉市中央区松ケ丘町６１１</t>
  </si>
  <si>
    <t>塩田　梨佳</t>
  </si>
  <si>
    <t>千葉市若葉区みつわ台４丁目２３－５</t>
  </si>
  <si>
    <t>福地　綾</t>
  </si>
  <si>
    <t>千葉市緑区誉田町１－１００７</t>
  </si>
  <si>
    <t>西郡　悠輔</t>
  </si>
  <si>
    <t>千葉市美浜区幸町２丁目９番３号</t>
  </si>
  <si>
    <t>千葉市中央区仁戸名町５５２</t>
  </si>
  <si>
    <t>千葉市美浜区高浜１丁目８－２</t>
  </si>
  <si>
    <t>美浜区高洲１－１－２０</t>
  </si>
  <si>
    <t>千葉市美浜区真砂１丁目１２－９</t>
  </si>
  <si>
    <t>認定こども園　千葉明徳短期大学附属幼稚園</t>
    <rPh sb="7" eb="9">
      <t>チバ</t>
    </rPh>
    <rPh sb="9" eb="11">
      <t>メイトク</t>
    </rPh>
    <rPh sb="11" eb="13">
      <t>タンキ</t>
    </rPh>
    <rPh sb="13" eb="15">
      <t>ダイガク</t>
    </rPh>
    <rPh sb="15" eb="17">
      <t>フゾク</t>
    </rPh>
    <rPh sb="17" eb="20">
      <t>ヨウチエン</t>
    </rPh>
    <phoneticPr fontId="4"/>
  </si>
  <si>
    <t>認定こども園　登戸幼稚園</t>
    <rPh sb="7" eb="9">
      <t>ノブト</t>
    </rPh>
    <rPh sb="9" eb="12">
      <t>ヨウチエン</t>
    </rPh>
    <phoneticPr fontId="4"/>
  </si>
  <si>
    <t>認定こども園　さつきが丘幼稚園</t>
    <rPh sb="11" eb="12">
      <t>オカ</t>
    </rPh>
    <rPh sb="12" eb="15">
      <t>ヨウチエン</t>
    </rPh>
    <phoneticPr fontId="4"/>
  </si>
  <si>
    <t>鶴岡　姫美子</t>
  </si>
  <si>
    <t>認定こども園　まこと第三幼稚園</t>
    <rPh sb="10" eb="11">
      <t>ダイ</t>
    </rPh>
    <rPh sb="11" eb="12">
      <t>サン</t>
    </rPh>
    <rPh sb="12" eb="15">
      <t>ヨウチエン</t>
    </rPh>
    <phoneticPr fontId="4"/>
  </si>
  <si>
    <t>八千代市八千代台東2-5-2</t>
  </si>
  <si>
    <t>認定こども園　稲毛すみれ幼稚園</t>
    <rPh sb="7" eb="9">
      <t>イナゲ</t>
    </rPh>
    <rPh sb="12" eb="15">
      <t>ヨウチエン</t>
    </rPh>
    <phoneticPr fontId="4"/>
  </si>
  <si>
    <t>認定こども園　かしの木学園　かしの木園</t>
    <rPh sb="0" eb="2">
      <t>ニンテイ</t>
    </rPh>
    <rPh sb="5" eb="6">
      <t>エン</t>
    </rPh>
    <rPh sb="10" eb="11">
      <t>キ</t>
    </rPh>
    <rPh sb="11" eb="13">
      <t>ガクエン</t>
    </rPh>
    <rPh sb="17" eb="18">
      <t>キ</t>
    </rPh>
    <rPh sb="18" eb="19">
      <t>エン</t>
    </rPh>
    <phoneticPr fontId="5"/>
  </si>
  <si>
    <t>認定こども園　松ヶ丘幼稚園</t>
    <rPh sb="0" eb="2">
      <t>ニンテイ</t>
    </rPh>
    <phoneticPr fontId="1"/>
  </si>
  <si>
    <t>千葉市中央区都町１丁目４６番地２２号</t>
  </si>
  <si>
    <t>認定こども園　山王幼稚園</t>
    <rPh sb="0" eb="6">
      <t>ニ</t>
    </rPh>
    <rPh sb="7" eb="9">
      <t>サンノウ</t>
    </rPh>
    <rPh sb="9" eb="12">
      <t>ヨウチエン</t>
    </rPh>
    <phoneticPr fontId="1"/>
  </si>
  <si>
    <t>千葉市稲毛区山王町１５３－２</t>
  </si>
  <si>
    <t>認定こども園　土岐幼稚園</t>
    <rPh sb="0" eb="6">
      <t>ニ</t>
    </rPh>
    <rPh sb="7" eb="9">
      <t>トキ</t>
    </rPh>
    <rPh sb="9" eb="12">
      <t>ヨウチエン</t>
    </rPh>
    <phoneticPr fontId="1"/>
  </si>
  <si>
    <t>千葉市稲毛区緑町1丁目５－１７</t>
  </si>
  <si>
    <t>認定こども園　鏡戸幼稚園</t>
    <rPh sb="0" eb="6">
      <t>ニ</t>
    </rPh>
    <rPh sb="7" eb="8">
      <t>カガミ</t>
    </rPh>
    <rPh sb="8" eb="9">
      <t>ト</t>
    </rPh>
    <rPh sb="9" eb="12">
      <t>ヨウチエン</t>
    </rPh>
    <phoneticPr fontId="1"/>
  </si>
  <si>
    <t>千葉市緑区大木戸町４２８－１</t>
  </si>
  <si>
    <t>千葉市稲毛区穴川1丁目５－２１</t>
  </si>
  <si>
    <t>認定こども園　まこと第二幼稚園</t>
    <rPh sb="0" eb="2">
      <t>ニンテイ</t>
    </rPh>
    <rPh sb="5" eb="6">
      <t>エン</t>
    </rPh>
    <rPh sb="10" eb="12">
      <t>ダイニ</t>
    </rPh>
    <rPh sb="12" eb="15">
      <t>ヨウチエン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</si>
  <si>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</si>
  <si>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</si>
  <si>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神奈川県横浜市神奈川区三ツ沢下町１４－５７</t>
  </si>
  <si>
    <t>代表役員</t>
  </si>
  <si>
    <t>入江　修</t>
  </si>
  <si>
    <t>千葉市緑区刈田子町308-10</t>
  </si>
  <si>
    <t>（学）宇野学園</t>
  </si>
  <si>
    <t/>
  </si>
  <si>
    <t>認定こども園名</t>
    <rPh sb="0" eb="2">
      <t>ニンテイ</t>
    </rPh>
    <rPh sb="5" eb="6">
      <t>エン</t>
    </rPh>
    <phoneticPr fontId="1"/>
  </si>
  <si>
    <t>園毎の固有番号</t>
    <rPh sb="0" eb="1">
      <t>エン</t>
    </rPh>
    <rPh sb="1" eb="2">
      <t>ゴト</t>
    </rPh>
    <rPh sb="3" eb="5">
      <t>コユウ</t>
    </rPh>
    <rPh sb="5" eb="7">
      <t>バンゴウ</t>
    </rPh>
    <phoneticPr fontId="1"/>
  </si>
  <si>
    <t>園外活動における見守りを行っている場合、○を記載</t>
    <rPh sb="0" eb="1">
      <t>エン</t>
    </rPh>
    <rPh sb="1" eb="2">
      <t>ガイ</t>
    </rPh>
    <rPh sb="2" eb="4">
      <t>カツドウ</t>
    </rPh>
    <rPh sb="8" eb="10">
      <t>ミマモ</t>
    </rPh>
    <rPh sb="12" eb="13">
      <t>オコナ</t>
    </rPh>
    <rPh sb="17" eb="19">
      <t>バアイ</t>
    </rPh>
    <rPh sb="22" eb="24">
      <t>キサイ</t>
    </rPh>
    <phoneticPr fontId="1"/>
  </si>
  <si>
    <t>D5セル</t>
    <phoneticPr fontId="1"/>
  </si>
  <si>
    <t>Ｍ4セル</t>
    <phoneticPr fontId="1"/>
  </si>
  <si>
    <t>Ｍ5セル</t>
    <phoneticPr fontId="1"/>
  </si>
  <si>
    <t>F8セル</t>
  </si>
  <si>
    <t>設置認可上の「児童定員」（本園分のみ）を入力してください。</t>
    <rPh sb="0" eb="2">
      <t>セッチ</t>
    </rPh>
    <rPh sb="2" eb="4">
      <t>ニンカ</t>
    </rPh>
    <rPh sb="4" eb="5">
      <t>ジョウ</t>
    </rPh>
    <rPh sb="7" eb="9">
      <t>ジドウ</t>
    </rPh>
    <rPh sb="9" eb="11">
      <t>テイイン</t>
    </rPh>
    <rPh sb="13" eb="14">
      <t>ホン</t>
    </rPh>
    <rPh sb="14" eb="15">
      <t>エン</t>
    </rPh>
    <rPh sb="15" eb="16">
      <t>ブン</t>
    </rPh>
    <rPh sb="20" eb="22">
      <t>ニュウリョク</t>
    </rPh>
    <phoneticPr fontId="1"/>
  </si>
  <si>
    <t>設置認可上の「児童定員」（分園分のみ）を入力してください。</t>
    <rPh sb="0" eb="2">
      <t>セッチ</t>
    </rPh>
    <rPh sb="2" eb="4">
      <t>ニンカ</t>
    </rPh>
    <rPh sb="4" eb="5">
      <t>ジョウ</t>
    </rPh>
    <rPh sb="7" eb="9">
      <t>ジドウ</t>
    </rPh>
    <rPh sb="9" eb="11">
      <t>テイイン</t>
    </rPh>
    <rPh sb="13" eb="15">
      <t>ブンエン</t>
    </rPh>
    <rPh sb="15" eb="16">
      <t>ブン</t>
    </rPh>
    <rPh sb="20" eb="22">
      <t>ニュウリョク</t>
    </rPh>
    <phoneticPr fontId="1"/>
  </si>
  <si>
    <t>L9セル</t>
  </si>
  <si>
    <t>F26～Q26セル</t>
    <phoneticPr fontId="1"/>
  </si>
  <si>
    <t>F27～Q27セル</t>
    <phoneticPr fontId="1"/>
  </si>
  <si>
    <t>F35～Q35セル</t>
    <phoneticPr fontId="1"/>
  </si>
  <si>
    <t>L4セルに入力したパスワードがあっている場合、「OK」と表示されますので、確認してください。「パスワードが違います」と表示された場合、M4セルのパスワードを修正してください。※パスワードが不明な場合、幼保運営課までお問い合わせください。</t>
    <rPh sb="5" eb="7">
      <t>ニュウリョク</t>
    </rPh>
    <rPh sb="20" eb="22">
      <t>バアイ</t>
    </rPh>
    <rPh sb="28" eb="30">
      <t>ヒョウジ</t>
    </rPh>
    <rPh sb="37" eb="39">
      <t>カクニン</t>
    </rPh>
    <rPh sb="53" eb="54">
      <t>チガ</t>
    </rPh>
    <rPh sb="59" eb="61">
      <t>ヒョウジ</t>
    </rPh>
    <rPh sb="64" eb="66">
      <t>バアイ</t>
    </rPh>
    <rPh sb="78" eb="80">
      <t>シュウセイ</t>
    </rPh>
    <rPh sb="94" eb="96">
      <t>フメイ</t>
    </rPh>
    <rPh sb="97" eb="99">
      <t>バアイ</t>
    </rPh>
    <rPh sb="100" eb="102">
      <t>ヨウホ</t>
    </rPh>
    <rPh sb="102" eb="104">
      <t>ウンエイ</t>
    </rPh>
    <rPh sb="104" eb="105">
      <t>カ</t>
    </rPh>
    <rPh sb="108" eb="109">
      <t>ト</t>
    </rPh>
    <rPh sb="110" eb="111">
      <t>ア</t>
    </rPh>
    <phoneticPr fontId="1"/>
  </si>
  <si>
    <t>L8セルの担当者の連絡先電話番号を入力してください。</t>
    <rPh sb="5" eb="8">
      <t>タントウシャ</t>
    </rPh>
    <rPh sb="9" eb="12">
      <t>レンラクサキ</t>
    </rPh>
    <rPh sb="12" eb="14">
      <t>デンワ</t>
    </rPh>
    <rPh sb="14" eb="16">
      <t>バンゴウ</t>
    </rPh>
    <rPh sb="17" eb="19">
      <t>ニュウリョク</t>
    </rPh>
    <phoneticPr fontId="1"/>
  </si>
  <si>
    <t>JBN59464</t>
  </si>
  <si>
    <t>TZS72045</t>
  </si>
  <si>
    <t>Ｆ11セル</t>
  </si>
  <si>
    <t>E10～H10セル</t>
    <phoneticPr fontId="1"/>
  </si>
  <si>
    <t>E11～H11セル</t>
    <phoneticPr fontId="1"/>
  </si>
  <si>
    <t>勤務形態を「正」（正規職員）、「パート」、「嘱託等」から選択してください。</t>
    <rPh sb="0" eb="2">
      <t>キンム</t>
    </rPh>
    <rPh sb="2" eb="4">
      <t>ケイタイ</t>
    </rPh>
    <rPh sb="6" eb="7">
      <t>セイ</t>
    </rPh>
    <rPh sb="9" eb="11">
      <t>セイキ</t>
    </rPh>
    <rPh sb="11" eb="13">
      <t>ショクイン</t>
    </rPh>
    <rPh sb="22" eb="24">
      <t>ショクタク</t>
    </rPh>
    <rPh sb="24" eb="25">
      <t>トウ</t>
    </rPh>
    <rPh sb="28" eb="30">
      <t>センタク</t>
    </rPh>
    <phoneticPr fontId="1"/>
  </si>
  <si>
    <t>勤務形態を「常」（常勤）、「非」（非常勤）から選択してください。
常勤とは、就業規則に定める月の「常勤時間数」以上勤務する就労契約を結ぶ者をいいます。
非常勤は、常勤以外の者をいいます。</t>
    <rPh sb="0" eb="2">
      <t>キンム</t>
    </rPh>
    <rPh sb="2" eb="4">
      <t>ケイタイ</t>
    </rPh>
    <rPh sb="6" eb="7">
      <t>ジョウ</t>
    </rPh>
    <rPh sb="9" eb="11">
      <t>ジョウキン</t>
    </rPh>
    <rPh sb="11" eb="13">
      <t>セイショクイン</t>
    </rPh>
    <rPh sb="14" eb="15">
      <t>ヒ</t>
    </rPh>
    <rPh sb="17" eb="20">
      <t>ヒジョウキン</t>
    </rPh>
    <rPh sb="23" eb="25">
      <t>センタク</t>
    </rPh>
    <rPh sb="33" eb="35">
      <t>ジョウキン</t>
    </rPh>
    <rPh sb="55" eb="57">
      <t>イジョウ</t>
    </rPh>
    <rPh sb="61" eb="63">
      <t>シュウロウ</t>
    </rPh>
    <rPh sb="63" eb="65">
      <t>ケイヤク</t>
    </rPh>
    <rPh sb="66" eb="67">
      <t>ムス</t>
    </rPh>
    <rPh sb="68" eb="69">
      <t>モノ</t>
    </rPh>
    <rPh sb="76" eb="79">
      <t>ヒジョウキン</t>
    </rPh>
    <rPh sb="81" eb="83">
      <t>ジョウキン</t>
    </rPh>
    <rPh sb="83" eb="85">
      <t>イガイ</t>
    </rPh>
    <rPh sb="86" eb="87">
      <t>モノ</t>
    </rPh>
    <phoneticPr fontId="1"/>
  </si>
  <si>
    <t>主に従事する業務をプルダウンメニューから選択してください。</t>
    <rPh sb="0" eb="1">
      <t>オモ</t>
    </rPh>
    <rPh sb="2" eb="4">
      <t>ジュウジ</t>
    </rPh>
    <rPh sb="6" eb="8">
      <t>ギョウム</t>
    </rPh>
    <rPh sb="20" eb="22">
      <t>センタク</t>
    </rPh>
    <phoneticPr fontId="1"/>
  </si>
  <si>
    <t>Ｈ列</t>
    <rPh sb="1" eb="2">
      <t>レツ</t>
    </rPh>
    <phoneticPr fontId="1"/>
  </si>
  <si>
    <t>園外活動における見守りを行っている場合、「○」を選択してください。
※園外活動における見守りとは、散歩への付き添い・安全確保等、園の敷地外での活動に同行することをいいます。</t>
    <phoneticPr fontId="1"/>
  </si>
  <si>
    <t>プルダウンメニューから、担当職員を選択してください。
年度の途中で担当の変更があった場合、当該月の担当を上書き修正（プルダウンメニューから選択）してください。
【担当職員について】
なるべく、Ｃ列に記載の職種の職員を選択して下さい（短時間の非常勤の場合は、複数者を選択してください）。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</si>
  <si>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プルダウンメニューから、担当職員を選択してください。
年度の途中で担当の変更があった場合、当該月の担当を上書き修正（プルダウンメニューから選択）してください。
【担当職員について】
なるべく、Ｄ列に記載の職種の職員を選択して下さい（短時間の非常勤の場合は、複数者を選択してください）。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</si>
  <si>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L20セル</t>
    <phoneticPr fontId="1"/>
  </si>
  <si>
    <t>16~18行目の注意事項を確認し、概算払いを請求する場合は「了承の上、概算払い（１回目）を請求する」を選択してください。</t>
    <rPh sb="5" eb="7">
      <t>ギョウメ</t>
    </rPh>
    <rPh sb="8" eb="10">
      <t>チュウイ</t>
    </rPh>
    <rPh sb="10" eb="12">
      <t>ジコウ</t>
    </rPh>
    <rPh sb="13" eb="15">
      <t>カクニン</t>
    </rPh>
    <rPh sb="17" eb="19">
      <t>ガイサン</t>
    </rPh>
    <rPh sb="19" eb="20">
      <t>バラ</t>
    </rPh>
    <rPh sb="22" eb="24">
      <t>セイキュウ</t>
    </rPh>
    <rPh sb="26" eb="28">
      <t>バアイ</t>
    </rPh>
    <rPh sb="51" eb="53">
      <t>センタク</t>
    </rPh>
    <phoneticPr fontId="1"/>
  </si>
  <si>
    <t>了承の上、概算払い（１回目）を請求する</t>
  </si>
  <si>
    <t>KWS16041</t>
  </si>
  <si>
    <t>千葉市若葉区千城台東１－６－２</t>
  </si>
  <si>
    <t>安田　重実</t>
  </si>
  <si>
    <t>【選択】基本加算１</t>
    <rPh sb="1" eb="3">
      <t>センタク</t>
    </rPh>
    <rPh sb="4" eb="6">
      <t>キホン</t>
    </rPh>
    <rPh sb="6" eb="8">
      <t>カサン</t>
    </rPh>
    <phoneticPr fontId="1"/>
  </si>
  <si>
    <t>保育教諭</t>
    <rPh sb="0" eb="2">
      <t>ホイク</t>
    </rPh>
    <rPh sb="2" eb="4">
      <t>キョウユ</t>
    </rPh>
    <phoneticPr fontId="6"/>
  </si>
  <si>
    <t>概算払いを希望する場合は、「①基本情報」シート【概算払いについて（注意事項）】を確認し、同シートの「Ｌ２０セル」で「概算払いを請求する」を選択してください。</t>
    <rPh sb="0" eb="2">
      <t>ガイサン</t>
    </rPh>
    <rPh sb="2" eb="3">
      <t>バラ</t>
    </rPh>
    <rPh sb="5" eb="7">
      <t>キボウ</t>
    </rPh>
    <rPh sb="9" eb="11">
      <t>バアイ</t>
    </rPh>
    <rPh sb="15" eb="17">
      <t>キホン</t>
    </rPh>
    <rPh sb="17" eb="19">
      <t>ジョウホウ</t>
    </rPh>
    <rPh sb="40" eb="42">
      <t>カクニン</t>
    </rPh>
    <rPh sb="44" eb="45">
      <t>ドウ</t>
    </rPh>
    <rPh sb="58" eb="60">
      <t>ガイサン</t>
    </rPh>
    <rPh sb="60" eb="61">
      <t>バラ</t>
    </rPh>
    <rPh sb="63" eb="65">
      <t>セイキュウ</t>
    </rPh>
    <rPh sb="69" eb="71">
      <t>センタク</t>
    </rPh>
    <phoneticPr fontId="1"/>
  </si>
  <si>
    <t>「契約上の就業時間を記載」と記載されている職員について、就労契約上の勤務すべき時間数を記載してください。
各月ごとに就労すべき時間数が変動する場合は、以下の通りとしてください。
・その者が「就業規則上の常勤時間数」以上勤務することとしている場合
　→　F5セルに記載した時間数のうち、最大の時間数
・その者が「就業規則上の常勤時間数」未満の勤務であるが、契約上時間数を固定していない場合
　→　「1」を記載</t>
    <rPh sb="14" eb="16">
      <t>キサイ</t>
    </rPh>
    <rPh sb="21" eb="23">
      <t>ショクイン</t>
    </rPh>
    <rPh sb="28" eb="30">
      <t>シュウロウ</t>
    </rPh>
    <rPh sb="30" eb="32">
      <t>ケイヤク</t>
    </rPh>
    <rPh sb="32" eb="33">
      <t>ジョウ</t>
    </rPh>
    <rPh sb="34" eb="36">
      <t>キンム</t>
    </rPh>
    <rPh sb="39" eb="42">
      <t>ジカンスウ</t>
    </rPh>
    <rPh sb="43" eb="45">
      <t>キサイ</t>
    </rPh>
    <rPh sb="53" eb="54">
      <t>カク</t>
    </rPh>
    <rPh sb="54" eb="55">
      <t>ツキ</t>
    </rPh>
    <rPh sb="58" eb="60">
      <t>シュウロウ</t>
    </rPh>
    <rPh sb="63" eb="66">
      <t>ジカンスウ</t>
    </rPh>
    <rPh sb="67" eb="69">
      <t>ヘンドウ</t>
    </rPh>
    <rPh sb="71" eb="73">
      <t>バアイ</t>
    </rPh>
    <rPh sb="75" eb="77">
      <t>イカ</t>
    </rPh>
    <rPh sb="78" eb="79">
      <t>トオ</t>
    </rPh>
    <rPh sb="92" eb="93">
      <t>モノ</t>
    </rPh>
    <rPh sb="95" eb="97">
      <t>シュウギョウ</t>
    </rPh>
    <rPh sb="97" eb="99">
      <t>キソク</t>
    </rPh>
    <rPh sb="99" eb="100">
      <t>ジョウ</t>
    </rPh>
    <rPh sb="101" eb="103">
      <t>ジョウキン</t>
    </rPh>
    <rPh sb="103" eb="106">
      <t>ジカンスウ</t>
    </rPh>
    <rPh sb="107" eb="109">
      <t>イジョウ</t>
    </rPh>
    <rPh sb="109" eb="111">
      <t>キンム</t>
    </rPh>
    <rPh sb="120" eb="122">
      <t>バアイ</t>
    </rPh>
    <rPh sb="131" eb="133">
      <t>キサイ</t>
    </rPh>
    <rPh sb="135" eb="137">
      <t>ジカン</t>
    </rPh>
    <rPh sb="137" eb="138">
      <t>スウ</t>
    </rPh>
    <rPh sb="142" eb="144">
      <t>サイダイ</t>
    </rPh>
    <rPh sb="145" eb="148">
      <t>ジカンスウ</t>
    </rPh>
    <rPh sb="152" eb="153">
      <t>モノ</t>
    </rPh>
    <rPh sb="155" eb="157">
      <t>シュウギョウ</t>
    </rPh>
    <rPh sb="157" eb="159">
      <t>キソク</t>
    </rPh>
    <rPh sb="159" eb="160">
      <t>ジョウ</t>
    </rPh>
    <rPh sb="161" eb="163">
      <t>ジョウキン</t>
    </rPh>
    <rPh sb="163" eb="165">
      <t>ジカン</t>
    </rPh>
    <rPh sb="165" eb="166">
      <t>スウ</t>
    </rPh>
    <rPh sb="167" eb="169">
      <t>ミマン</t>
    </rPh>
    <rPh sb="170" eb="172">
      <t>キンム</t>
    </rPh>
    <rPh sb="177" eb="179">
      <t>ケイヤク</t>
    </rPh>
    <rPh sb="179" eb="180">
      <t>ジョウ</t>
    </rPh>
    <rPh sb="180" eb="183">
      <t>ジカンスウ</t>
    </rPh>
    <rPh sb="184" eb="186">
      <t>コテイ</t>
    </rPh>
    <rPh sb="191" eb="193">
      <t>バアイ</t>
    </rPh>
    <rPh sb="201" eb="203">
      <t>キサイ</t>
    </rPh>
    <phoneticPr fontId="1"/>
  </si>
  <si>
    <t>未就学児プレ保育</t>
    <rPh sb="0" eb="4">
      <t>ミシュウガクジ</t>
    </rPh>
    <rPh sb="6" eb="8">
      <t>ホイク</t>
    </rPh>
    <phoneticPr fontId="1"/>
  </si>
  <si>
    <t>幼稚園型一時預かり</t>
    <rPh sb="0" eb="3">
      <t>ヨウチエン</t>
    </rPh>
    <rPh sb="3" eb="4">
      <t>ガタ</t>
    </rPh>
    <rPh sb="4" eb="6">
      <t>イチジ</t>
    </rPh>
    <rPh sb="6" eb="7">
      <t>アズ</t>
    </rPh>
    <phoneticPr fontId="1"/>
  </si>
  <si>
    <t>県特別支援教育</t>
    <rPh sb="0" eb="1">
      <t>ケン</t>
    </rPh>
    <rPh sb="1" eb="3">
      <t>トクベツ</t>
    </rPh>
    <rPh sb="3" eb="5">
      <t>シエン</t>
    </rPh>
    <rPh sb="5" eb="7">
      <t>キョウイク</t>
    </rPh>
    <phoneticPr fontId="1"/>
  </si>
  <si>
    <t>その他県費補助等該当</t>
    <rPh sb="2" eb="3">
      <t>タ</t>
    </rPh>
    <rPh sb="3" eb="5">
      <t>ケンピ</t>
    </rPh>
    <rPh sb="5" eb="7">
      <t>ホジョ</t>
    </rPh>
    <rPh sb="7" eb="8">
      <t>トウ</t>
    </rPh>
    <rPh sb="8" eb="10">
      <t>ガイトウ</t>
    </rPh>
    <phoneticPr fontId="1"/>
  </si>
  <si>
    <t>Ｘ列</t>
    <rPh sb="1" eb="2">
      <t>レツ</t>
    </rPh>
    <phoneticPr fontId="1"/>
  </si>
  <si>
    <t>Ｗ列で、「その他県費補助等該当」を選択した場合は、その内容を記載してください。また、特記事項がある場合は記載してください（関数の上から入力していただいて構いません。）。</t>
    <rPh sb="1" eb="2">
      <t>レツ</t>
    </rPh>
    <rPh sb="17" eb="19">
      <t>センタク</t>
    </rPh>
    <rPh sb="21" eb="23">
      <t>バアイ</t>
    </rPh>
    <rPh sb="27" eb="29">
      <t>ナイヨウ</t>
    </rPh>
    <rPh sb="30" eb="32">
      <t>キサイ</t>
    </rPh>
    <rPh sb="42" eb="44">
      <t>トッキ</t>
    </rPh>
    <rPh sb="44" eb="46">
      <t>ジコウ</t>
    </rPh>
    <rPh sb="49" eb="51">
      <t>バアイ</t>
    </rPh>
    <rPh sb="52" eb="54">
      <t>キサイ</t>
    </rPh>
    <rPh sb="61" eb="63">
      <t>カンスウ</t>
    </rPh>
    <rPh sb="64" eb="65">
      <t>ウエ</t>
    </rPh>
    <rPh sb="67" eb="69">
      <t>ニュウリョク</t>
    </rPh>
    <rPh sb="76" eb="77">
      <t>カマ</t>
    </rPh>
    <phoneticPr fontId="1"/>
  </si>
  <si>
    <t>【人数】特定加算１</t>
    <rPh sb="1" eb="3">
      <t>ニンズウ</t>
    </rPh>
    <rPh sb="4" eb="6">
      <t>トクテイ</t>
    </rPh>
    <rPh sb="6" eb="8">
      <t>カサン</t>
    </rPh>
    <phoneticPr fontId="1"/>
  </si>
  <si>
    <t>【人数】特定加算２</t>
    <rPh sb="1" eb="3">
      <t>ニンズウ</t>
    </rPh>
    <rPh sb="4" eb="6">
      <t>トクテイ</t>
    </rPh>
    <rPh sb="6" eb="8">
      <t>カサン</t>
    </rPh>
    <phoneticPr fontId="1"/>
  </si>
  <si>
    <t>学校法人信愛学園　認定こども園のぞみ幼稚園</t>
  </si>
  <si>
    <t>学校法人信愛学園　認定こども園へいわ幼稚園</t>
  </si>
  <si>
    <t>千葉県八千代市米本1359米本団地4街区39棟</t>
  </si>
  <si>
    <t>有</t>
    <rPh sb="0" eb="1">
      <t>アリ</t>
    </rPh>
    <phoneticPr fontId="1"/>
  </si>
  <si>
    <t>R</t>
    <phoneticPr fontId="29"/>
  </si>
  <si>
    <t xml:space="preserve">  千葉市施設型給付対象施設保育士等配置基準改善事業</t>
    <rPh sb="5" eb="7">
      <t>シセツ</t>
    </rPh>
    <rPh sb="10" eb="12">
      <t>タイショウ</t>
    </rPh>
    <phoneticPr fontId="29"/>
  </si>
  <si>
    <t xml:space="preserve">  補助金分割払い請求書（第２期分）</t>
    <rPh sb="2" eb="5">
      <t>ホジョキン</t>
    </rPh>
    <rPh sb="5" eb="7">
      <t>ブンカツ</t>
    </rPh>
    <rPh sb="7" eb="8">
      <t>ハラ</t>
    </rPh>
    <rPh sb="9" eb="12">
      <t>セイキュウショ</t>
    </rPh>
    <rPh sb="13" eb="14">
      <t>ダイ</t>
    </rPh>
    <rPh sb="15" eb="16">
      <t>キ</t>
    </rPh>
    <rPh sb="16" eb="17">
      <t>ブン</t>
    </rPh>
    <phoneticPr fontId="29"/>
  </si>
  <si>
    <t>千 葉 市 長　様</t>
    <rPh sb="0" eb="1">
      <t>セン</t>
    </rPh>
    <rPh sb="2" eb="3">
      <t>ハ</t>
    </rPh>
    <rPh sb="4" eb="5">
      <t>シ</t>
    </rPh>
    <rPh sb="6" eb="7">
      <t>チョウ</t>
    </rPh>
    <rPh sb="8" eb="9">
      <t>サマ</t>
    </rPh>
    <phoneticPr fontId="6"/>
  </si>
  <si>
    <t>住所</t>
    <rPh sb="0" eb="2">
      <t>ジュウショ</t>
    </rPh>
    <phoneticPr fontId="29"/>
  </si>
  <si>
    <t>法人名</t>
    <rPh sb="0" eb="2">
      <t>ホウジン</t>
    </rPh>
    <rPh sb="2" eb="3">
      <t>メイ</t>
    </rPh>
    <phoneticPr fontId="29"/>
  </si>
  <si>
    <t>代表者職氏名</t>
    <rPh sb="0" eb="3">
      <t>ダイヒョウシャ</t>
    </rPh>
    <rPh sb="3" eb="4">
      <t>ショク</t>
    </rPh>
    <rPh sb="4" eb="5">
      <t>シ</t>
    </rPh>
    <rPh sb="5" eb="6">
      <t>メイ</t>
    </rPh>
    <phoneticPr fontId="29"/>
  </si>
  <si>
    <t>（施設名）</t>
    <rPh sb="1" eb="3">
      <t>シセツ</t>
    </rPh>
    <rPh sb="3" eb="4">
      <t>メイ</t>
    </rPh>
    <rPh sb="4" eb="5">
      <t>ヤスナ</t>
    </rPh>
    <phoneticPr fontId="29"/>
  </si>
  <si>
    <t>（</t>
    <phoneticPr fontId="29"/>
  </si>
  <si>
    <t>）</t>
    <phoneticPr fontId="29"/>
  </si>
  <si>
    <t>１　請求金額</t>
    <rPh sb="2" eb="4">
      <t>セイキュウ</t>
    </rPh>
    <rPh sb="4" eb="5">
      <t>キン</t>
    </rPh>
    <rPh sb="5" eb="6">
      <t>ガク</t>
    </rPh>
    <phoneticPr fontId="6"/>
  </si>
  <si>
    <t>今回入力した数字を基にした交付決定額</t>
    <rPh sb="0" eb="2">
      <t>コンカイ</t>
    </rPh>
    <rPh sb="2" eb="4">
      <t>ニュウリョク</t>
    </rPh>
    <rPh sb="6" eb="8">
      <t>スウジ</t>
    </rPh>
    <rPh sb="9" eb="10">
      <t>モト</t>
    </rPh>
    <rPh sb="13" eb="15">
      <t>コウフ</t>
    </rPh>
    <rPh sb="15" eb="17">
      <t>ケッテイ</t>
    </rPh>
    <rPh sb="17" eb="18">
      <t>ガク</t>
    </rPh>
    <phoneticPr fontId="29"/>
  </si>
  <si>
    <t xml:space="preserve"> </t>
    <phoneticPr fontId="29"/>
  </si>
  <si>
    <t>園名を選択してください。</t>
    <rPh sb="0" eb="2">
      <t>エンメイ</t>
    </rPh>
    <rPh sb="3" eb="5">
      <t>センタク</t>
    </rPh>
    <phoneticPr fontId="1"/>
  </si>
  <si>
    <t>常　： (補助金)園の就業規則で定める常勤時間以上の勤務を行う者</t>
    <rPh sb="0" eb="1">
      <t>ジョウ</t>
    </rPh>
    <rPh sb="5" eb="8">
      <t>ホジョキン</t>
    </rPh>
    <rPh sb="9" eb="10">
      <t>エン</t>
    </rPh>
    <rPh sb="11" eb="13">
      <t>シュウギョウ</t>
    </rPh>
    <rPh sb="13" eb="15">
      <t>キソク</t>
    </rPh>
    <rPh sb="16" eb="17">
      <t>サダ</t>
    </rPh>
    <rPh sb="19" eb="21">
      <t>ジョウキン</t>
    </rPh>
    <rPh sb="21" eb="25">
      <t>ジカンイジョウ</t>
    </rPh>
    <rPh sb="26" eb="28">
      <t>キンム</t>
    </rPh>
    <rPh sb="29" eb="30">
      <t>オコナ</t>
    </rPh>
    <rPh sb="31" eb="32">
      <t>モノ</t>
    </rPh>
    <phoneticPr fontId="6"/>
  </si>
  <si>
    <t>非　： (補助金)園の就業規則で定める常勤時間未満の勤務を行う者</t>
    <rPh sb="0" eb="1">
      <t>ヒ</t>
    </rPh>
    <rPh sb="5" eb="8">
      <t>ホジョキン</t>
    </rPh>
    <rPh sb="9" eb="10">
      <t>エン</t>
    </rPh>
    <rPh sb="11" eb="13">
      <t>シュウギョウ</t>
    </rPh>
    <rPh sb="13" eb="15">
      <t>キソク</t>
    </rPh>
    <rPh sb="16" eb="17">
      <t>サダ</t>
    </rPh>
    <rPh sb="19" eb="21">
      <t>ジョウキン</t>
    </rPh>
    <rPh sb="21" eb="23">
      <t>ジカン</t>
    </rPh>
    <rPh sb="23" eb="25">
      <t>ミマン</t>
    </rPh>
    <rPh sb="26" eb="28">
      <t>キンム</t>
    </rPh>
    <rPh sb="29" eb="30">
      <t>オコナ</t>
    </rPh>
    <rPh sb="31" eb="32">
      <t>モノ</t>
    </rPh>
    <phoneticPr fontId="6"/>
  </si>
  <si>
    <t>絵本と太陽の保育園　てぃだまちキッズ検見川浜</t>
  </si>
  <si>
    <t>オンジュ ソリール保育園　海浜幕張園</t>
  </si>
  <si>
    <t>京進のほいくえんＨＯＰＰＡ幕張ベイタウン</t>
  </si>
  <si>
    <t>美波保育園</t>
  </si>
  <si>
    <t>みらいつむぎ保育園美浜</t>
  </si>
  <si>
    <t>つぼみ保育園</t>
  </si>
  <si>
    <t>松波アーク保育園</t>
  </si>
  <si>
    <t>東京都江戸川区南葛西7丁目２－５４</t>
  </si>
  <si>
    <t>３歳児配置改善　適用有無
（8月）</t>
    <rPh sb="1" eb="3">
      <t>サイジ</t>
    </rPh>
    <rPh sb="3" eb="5">
      <t>ハイチ</t>
    </rPh>
    <rPh sb="5" eb="7">
      <t>カイゼン</t>
    </rPh>
    <rPh sb="8" eb="10">
      <t>テキヨウ</t>
    </rPh>
    <rPh sb="10" eb="12">
      <t>ウム</t>
    </rPh>
    <rPh sb="15" eb="16">
      <t>ガツ</t>
    </rPh>
    <phoneticPr fontId="0"/>
  </si>
  <si>
    <t>ポピンズナーサリースクール千葉みなと</t>
  </si>
  <si>
    <t>ポピンズナーサリースクールみなと公園</t>
  </si>
  <si>
    <t>そがチャイルドハウス保育園</t>
  </si>
  <si>
    <t>キッズラボ誉田保育園</t>
  </si>
  <si>
    <t>有</t>
  </si>
  <si>
    <t>④-3月別配置内訳書(2)-(2)-(C)・(D)</t>
    <phoneticPr fontId="1"/>
  </si>
  <si>
    <t>④-４月別配置内訳書(2)-(2)-(E)</t>
    <phoneticPr fontId="1"/>
  </si>
  <si>
    <t>⑤基本加算１</t>
    <phoneticPr fontId="1"/>
  </si>
  <si>
    <t>⑥基本加算２</t>
    <phoneticPr fontId="1"/>
  </si>
  <si>
    <t>⑦基本加算３</t>
    <phoneticPr fontId="1"/>
  </si>
  <si>
    <t>⑧一般加算１</t>
    <phoneticPr fontId="1"/>
  </si>
  <si>
    <t>⑨一般加算２</t>
    <phoneticPr fontId="1"/>
  </si>
  <si>
    <t>⑩特定加算１</t>
    <phoneticPr fontId="1"/>
  </si>
  <si>
    <t>⑪特定加算２</t>
    <phoneticPr fontId="1"/>
  </si>
  <si>
    <t xml:space="preserve">
職　種</t>
    <rPh sb="2" eb="5">
      <t>ショクシュ</t>
    </rPh>
    <phoneticPr fontId="6"/>
  </si>
  <si>
    <t xml:space="preserve">
勤務形態</t>
    <rPh sb="2" eb="4">
      <t>キンム</t>
    </rPh>
    <rPh sb="4" eb="6">
      <t>ケイタイ</t>
    </rPh>
    <phoneticPr fontId="6"/>
  </si>
  <si>
    <t xml:space="preserve">
氏名</t>
    <rPh sb="2" eb="4">
      <t>シメイ</t>
    </rPh>
    <phoneticPr fontId="6"/>
  </si>
  <si>
    <t>その他の資格</t>
    <rPh sb="2" eb="3">
      <t>タ</t>
    </rPh>
    <rPh sb="4" eb="6">
      <t>シカク</t>
    </rPh>
    <phoneticPr fontId="6"/>
  </si>
  <si>
    <r>
      <t xml:space="preserve">要件緩和適用開始日
</t>
    </r>
    <r>
      <rPr>
        <b/>
        <sz val="9"/>
        <color rgb="FFFF0000"/>
        <rFont val="ＭＳ Ｐゴシック"/>
        <family val="3"/>
        <charset val="128"/>
      </rPr>
      <t>（職種が「要件緩和」の場合は入力必須）</t>
    </r>
    <rPh sb="0" eb="2">
      <t>ヨウケン</t>
    </rPh>
    <rPh sb="2" eb="4">
      <t>カンワ</t>
    </rPh>
    <rPh sb="4" eb="6">
      <t>テキヨウ</t>
    </rPh>
    <rPh sb="6" eb="8">
      <t>カイシ</t>
    </rPh>
    <rPh sb="8" eb="9">
      <t>ビ</t>
    </rPh>
    <rPh sb="11" eb="13">
      <t>ショクシュ</t>
    </rPh>
    <rPh sb="15" eb="17">
      <t>ヨウケン</t>
    </rPh>
    <rPh sb="17" eb="19">
      <t>カンワ</t>
    </rPh>
    <rPh sb="21" eb="23">
      <t>バアイ</t>
    </rPh>
    <rPh sb="24" eb="26">
      <t>ニュウリョク</t>
    </rPh>
    <rPh sb="26" eb="28">
      <t>ヒッス</t>
    </rPh>
    <phoneticPr fontId="1"/>
  </si>
  <si>
    <r>
      <t xml:space="preserve">備考
</t>
    </r>
    <r>
      <rPr>
        <b/>
        <sz val="9"/>
        <color rgb="FFFF0000"/>
        <rFont val="ＭＳ Ｐゴシック"/>
        <family val="3"/>
        <charset val="128"/>
      </rPr>
      <t>（職種が「その他」の場合は入力必須）</t>
    </r>
    <rPh sb="0" eb="2">
      <t>ビコウ</t>
    </rPh>
    <rPh sb="10" eb="11">
      <t>タ</t>
    </rPh>
    <phoneticPr fontId="6"/>
  </si>
  <si>
    <t>（様式第４号）</t>
    <rPh sb="3" eb="4">
      <t>ダイ</t>
    </rPh>
    <phoneticPr fontId="6"/>
  </si>
  <si>
    <t>千葉市施設型給付対象施設保育士等配置基準</t>
    <rPh sb="3" eb="6">
      <t>シセツガタ</t>
    </rPh>
    <rPh sb="6" eb="8">
      <t>キュウフ</t>
    </rPh>
    <rPh sb="8" eb="10">
      <t>タイショウ</t>
    </rPh>
    <rPh sb="10" eb="12">
      <t>シセツ</t>
    </rPh>
    <rPh sb="19" eb="20">
      <t>ジュン</t>
    </rPh>
    <phoneticPr fontId="29"/>
  </si>
  <si>
    <t>改善事業補助金変更交付申請書</t>
    <rPh sb="0" eb="2">
      <t>カイゼン</t>
    </rPh>
    <rPh sb="2" eb="4">
      <t>ジギョウ</t>
    </rPh>
    <rPh sb="4" eb="7">
      <t>ホジョキン</t>
    </rPh>
    <rPh sb="7" eb="9">
      <t>ヘンコウ</t>
    </rPh>
    <rPh sb="9" eb="11">
      <t>コウフ</t>
    </rPh>
    <rPh sb="11" eb="13">
      <t>シンセイ</t>
    </rPh>
    <rPh sb="13" eb="14">
      <t>ショ</t>
    </rPh>
    <phoneticPr fontId="29"/>
  </si>
  <si>
    <t>住　　　　　　所</t>
    <rPh sb="0" eb="1">
      <t>ジュウ</t>
    </rPh>
    <rPh sb="7" eb="8">
      <t>ショ</t>
    </rPh>
    <phoneticPr fontId="29"/>
  </si>
  <si>
    <t>法 　  人 　 名</t>
    <rPh sb="0" eb="1">
      <t>ホウ</t>
    </rPh>
    <rPh sb="5" eb="6">
      <t>ニン</t>
    </rPh>
    <rPh sb="9" eb="10">
      <t>メイ</t>
    </rPh>
    <phoneticPr fontId="15"/>
  </si>
  <si>
    <t>代表者職氏名</t>
    <phoneticPr fontId="15"/>
  </si>
  <si>
    <t>(施設名)</t>
    <rPh sb="1" eb="3">
      <t>シセツ</t>
    </rPh>
    <rPh sb="3" eb="4">
      <t>メイ</t>
    </rPh>
    <phoneticPr fontId="15"/>
  </si>
  <si>
    <t>　</t>
    <phoneticPr fontId="29"/>
  </si>
  <si>
    <t>　　１　変更交付申請額</t>
    <rPh sb="4" eb="6">
      <t>ヘンコウ</t>
    </rPh>
    <rPh sb="6" eb="8">
      <t>コウフ</t>
    </rPh>
    <rPh sb="8" eb="10">
      <t>シンセイ</t>
    </rPh>
    <rPh sb="10" eb="11">
      <t>ガク</t>
    </rPh>
    <phoneticPr fontId="6"/>
  </si>
  <si>
    <t>変更後補助金所要額</t>
    <rPh sb="0" eb="2">
      <t>ヘンコウ</t>
    </rPh>
    <rPh sb="2" eb="3">
      <t>ゴ</t>
    </rPh>
    <rPh sb="3" eb="6">
      <t>ホジョキン</t>
    </rPh>
    <rPh sb="6" eb="8">
      <t>ショヨウ</t>
    </rPh>
    <rPh sb="8" eb="9">
      <t>ガク</t>
    </rPh>
    <phoneticPr fontId="29"/>
  </si>
  <si>
    <r>
      <t>既 交</t>
    </r>
    <r>
      <rPr>
        <sz val="11"/>
        <color theme="1"/>
        <rFont val="游ゴシック"/>
        <family val="2"/>
        <charset val="128"/>
        <scheme val="minor"/>
      </rPr>
      <t xml:space="preserve"> </t>
    </r>
    <r>
      <rPr>
        <sz val="11"/>
        <rFont val="ＭＳ 明朝"/>
        <family val="1"/>
        <charset val="128"/>
      </rPr>
      <t>付</t>
    </r>
    <r>
      <rPr>
        <sz val="11"/>
        <color theme="1"/>
        <rFont val="游ゴシック"/>
        <family val="2"/>
        <charset val="128"/>
        <scheme val="minor"/>
      </rPr>
      <t xml:space="preserve"> </t>
    </r>
    <r>
      <rPr>
        <sz val="11"/>
        <rFont val="ＭＳ 明朝"/>
        <family val="1"/>
        <charset val="128"/>
      </rPr>
      <t>決</t>
    </r>
    <r>
      <rPr>
        <sz val="11"/>
        <color theme="1"/>
        <rFont val="游ゴシック"/>
        <family val="2"/>
        <charset val="128"/>
        <scheme val="minor"/>
      </rPr>
      <t xml:space="preserve"> </t>
    </r>
    <r>
      <rPr>
        <sz val="11"/>
        <rFont val="ＭＳ 明朝"/>
        <family val="1"/>
        <charset val="128"/>
      </rPr>
      <t>定</t>
    </r>
    <r>
      <rPr>
        <sz val="11"/>
        <color theme="1"/>
        <rFont val="游ゴシック"/>
        <family val="2"/>
        <charset val="128"/>
        <scheme val="minor"/>
      </rPr>
      <t xml:space="preserve"> </t>
    </r>
    <r>
      <rPr>
        <sz val="11"/>
        <rFont val="ＭＳ 明朝"/>
        <family val="1"/>
        <charset val="128"/>
      </rPr>
      <t>額</t>
    </r>
    <rPh sb="0" eb="1">
      <t>キ</t>
    </rPh>
    <rPh sb="2" eb="3">
      <t>コウ</t>
    </rPh>
    <rPh sb="4" eb="5">
      <t>ヅケ</t>
    </rPh>
    <rPh sb="6" eb="7">
      <t>ケツ</t>
    </rPh>
    <rPh sb="8" eb="9">
      <t>サダム</t>
    </rPh>
    <rPh sb="10" eb="11">
      <t>ガク</t>
    </rPh>
    <phoneticPr fontId="29"/>
  </si>
  <si>
    <t>差 引 所 要 額</t>
    <rPh sb="0" eb="1">
      <t>サ</t>
    </rPh>
    <rPh sb="2" eb="3">
      <t>ヒ</t>
    </rPh>
    <rPh sb="4" eb="5">
      <t>ショ</t>
    </rPh>
    <rPh sb="6" eb="7">
      <t>ヨウ</t>
    </rPh>
    <rPh sb="8" eb="9">
      <t>ガク</t>
    </rPh>
    <phoneticPr fontId="29"/>
  </si>
  <si>
    <t>基本加算分１</t>
    <rPh sb="0" eb="5">
      <t>キホンカサンブン</t>
    </rPh>
    <phoneticPr fontId="29"/>
  </si>
  <si>
    <t>基本加算分２</t>
    <rPh sb="0" eb="2">
      <t>キホン</t>
    </rPh>
    <rPh sb="2" eb="4">
      <t>カサン</t>
    </rPh>
    <rPh sb="4" eb="5">
      <t>ブン</t>
    </rPh>
    <phoneticPr fontId="29"/>
  </si>
  <si>
    <t>基本加算分３</t>
    <rPh sb="0" eb="5">
      <t>キホンカサンブン</t>
    </rPh>
    <phoneticPr fontId="29"/>
  </si>
  <si>
    <t>一般加算分１</t>
    <rPh sb="0" eb="2">
      <t>イッパン</t>
    </rPh>
    <rPh sb="2" eb="4">
      <t>カサン</t>
    </rPh>
    <rPh sb="4" eb="5">
      <t>ブン</t>
    </rPh>
    <phoneticPr fontId="29"/>
  </si>
  <si>
    <t>一般加算分２</t>
    <rPh sb="0" eb="2">
      <t>イッパン</t>
    </rPh>
    <rPh sb="2" eb="4">
      <t>カサン</t>
    </rPh>
    <rPh sb="4" eb="5">
      <t>ブン</t>
    </rPh>
    <phoneticPr fontId="29"/>
  </si>
  <si>
    <t>特定加算分１</t>
    <rPh sb="0" eb="2">
      <t>トクテイ</t>
    </rPh>
    <rPh sb="2" eb="4">
      <t>カサン</t>
    </rPh>
    <rPh sb="4" eb="5">
      <t>ブン</t>
    </rPh>
    <phoneticPr fontId="29"/>
  </si>
  <si>
    <t>特定加算分２</t>
    <rPh sb="0" eb="2">
      <t>トクテイ</t>
    </rPh>
    <rPh sb="2" eb="4">
      <t>カサン</t>
    </rPh>
    <rPh sb="4" eb="5">
      <t>ブン</t>
    </rPh>
    <phoneticPr fontId="29"/>
  </si>
  <si>
    <t>２　変更理由</t>
    <rPh sb="2" eb="4">
      <t>ヘンコウ</t>
    </rPh>
    <rPh sb="4" eb="6">
      <t>リユウ</t>
    </rPh>
    <phoneticPr fontId="29"/>
  </si>
  <si>
    <t>入所児童数の変動等</t>
    <rPh sb="0" eb="2">
      <t>ニュウショ</t>
    </rPh>
    <rPh sb="2" eb="4">
      <t>ジドウ</t>
    </rPh>
    <rPh sb="4" eb="5">
      <t>スウ</t>
    </rPh>
    <rPh sb="6" eb="8">
      <t>ヘンドウ</t>
    </rPh>
    <rPh sb="8" eb="9">
      <t>トウ</t>
    </rPh>
    <phoneticPr fontId="29"/>
  </si>
  <si>
    <t>３　算出基礎</t>
    <rPh sb="2" eb="4">
      <t>サンシュツ</t>
    </rPh>
    <rPh sb="4" eb="6">
      <t>キソ</t>
    </rPh>
    <phoneticPr fontId="29"/>
  </si>
  <si>
    <t>４　添付書類</t>
    <rPh sb="2" eb="4">
      <t>テンプ</t>
    </rPh>
    <rPh sb="4" eb="6">
      <t>ショルイ</t>
    </rPh>
    <phoneticPr fontId="29"/>
  </si>
  <si>
    <t>１　民間保育施設職員定数及び職員現況調書</t>
    <rPh sb="2" eb="4">
      <t>ミンカン</t>
    </rPh>
    <rPh sb="4" eb="6">
      <t>ホイク</t>
    </rPh>
    <rPh sb="6" eb="8">
      <t>シセツ</t>
    </rPh>
    <rPh sb="8" eb="10">
      <t>ショクイン</t>
    </rPh>
    <rPh sb="10" eb="12">
      <t>テイスウ</t>
    </rPh>
    <rPh sb="12" eb="13">
      <t>オヨ</t>
    </rPh>
    <rPh sb="14" eb="16">
      <t>ショクイン</t>
    </rPh>
    <rPh sb="16" eb="18">
      <t>ゲンキョウ</t>
    </rPh>
    <rPh sb="18" eb="20">
      <t>チョウショ</t>
    </rPh>
    <phoneticPr fontId="29"/>
  </si>
  <si>
    <t>２　雇用契約内容証明書</t>
    <rPh sb="2" eb="4">
      <t>コヨウ</t>
    </rPh>
    <rPh sb="4" eb="6">
      <t>ケイヤク</t>
    </rPh>
    <rPh sb="6" eb="8">
      <t>ナイヨウ</t>
    </rPh>
    <rPh sb="8" eb="11">
      <t>ショウメイショ</t>
    </rPh>
    <phoneticPr fontId="29"/>
  </si>
  <si>
    <t>３　要配慮保育職員配置決定通知書の写し</t>
    <rPh sb="2" eb="3">
      <t>ヨウ</t>
    </rPh>
    <rPh sb="3" eb="5">
      <t>ハイリョ</t>
    </rPh>
    <rPh sb="5" eb="7">
      <t>ホイク</t>
    </rPh>
    <rPh sb="7" eb="9">
      <t>ショクイン</t>
    </rPh>
    <rPh sb="9" eb="11">
      <t>ハイチ</t>
    </rPh>
    <rPh sb="11" eb="13">
      <t>ケッテイ</t>
    </rPh>
    <rPh sb="13" eb="15">
      <t>ツウチ</t>
    </rPh>
    <rPh sb="15" eb="16">
      <t>ショ</t>
    </rPh>
    <rPh sb="17" eb="18">
      <t>ウツ</t>
    </rPh>
    <phoneticPr fontId="29"/>
  </si>
  <si>
    <t>ただし、２、３については該当する施設のみ添付のこと。</t>
    <rPh sb="12" eb="14">
      <t>ガイトウ</t>
    </rPh>
    <rPh sb="16" eb="18">
      <t>シセツ</t>
    </rPh>
    <rPh sb="20" eb="22">
      <t>テンプ</t>
    </rPh>
    <phoneticPr fontId="29"/>
  </si>
  <si>
    <t>（様式第６号）</t>
    <rPh sb="3" eb="4">
      <t>ダイ</t>
    </rPh>
    <phoneticPr fontId="6"/>
  </si>
  <si>
    <t>千葉市施設型給付対象施設保育士等配置基準</t>
    <rPh sb="3" eb="12">
      <t>シセツガタキュウフタイショウシセツ</t>
    </rPh>
    <rPh sb="19" eb="20">
      <t>ジュン</t>
    </rPh>
    <phoneticPr fontId="29"/>
  </si>
  <si>
    <t>改善補助事業実績報告書</t>
    <rPh sb="0" eb="1">
      <t>アラタ</t>
    </rPh>
    <rPh sb="1" eb="2">
      <t>ゼン</t>
    </rPh>
    <rPh sb="2" eb="4">
      <t>ホジョ</t>
    </rPh>
    <rPh sb="4" eb="5">
      <t>コト</t>
    </rPh>
    <rPh sb="5" eb="6">
      <t>ギョウ</t>
    </rPh>
    <rPh sb="6" eb="7">
      <t>ジツ</t>
    </rPh>
    <rPh sb="7" eb="8">
      <t>ツムギ</t>
    </rPh>
    <rPh sb="8" eb="9">
      <t>ホウ</t>
    </rPh>
    <rPh sb="9" eb="10">
      <t>コク</t>
    </rPh>
    <rPh sb="10" eb="11">
      <t>ショ</t>
    </rPh>
    <phoneticPr fontId="29"/>
  </si>
  <si>
    <t>法　   人　  名</t>
    <rPh sb="0" eb="1">
      <t>ホウ</t>
    </rPh>
    <rPh sb="5" eb="6">
      <t>ニン</t>
    </rPh>
    <rPh sb="9" eb="10">
      <t>メイ</t>
    </rPh>
    <phoneticPr fontId="15"/>
  </si>
  <si>
    <t>代表者職氏名</t>
    <rPh sb="0" eb="3">
      <t>ダイヒョウシャ</t>
    </rPh>
    <rPh sb="3" eb="4">
      <t>ショク</t>
    </rPh>
    <rPh sb="4" eb="6">
      <t>シメイ</t>
    </rPh>
    <rPh sb="5" eb="6">
      <t>メイ</t>
    </rPh>
    <phoneticPr fontId="15"/>
  </si>
  <si>
    <t>　令和　　　　年　　　月　　　日付け千葉市指令こ幼運第　 　 　号　　　  により補助金の交付決定のあった千葉市施設型給付対象施設保育士等配置基準改善事業の実績について、千葉市施設型給付対象施設運営事業補助金交付要綱第１０条の規定に基づき、次のとおり報告します。</t>
    <rPh sb="1" eb="3">
      <t>レイワ</t>
    </rPh>
    <phoneticPr fontId="1"/>
  </si>
  <si>
    <t>補助金の既交付額</t>
    <rPh sb="0" eb="3">
      <t>ホジョキン</t>
    </rPh>
    <rPh sb="4" eb="5">
      <t>キ</t>
    </rPh>
    <rPh sb="5" eb="7">
      <t>コウフ</t>
    </rPh>
    <rPh sb="7" eb="8">
      <t>ガク</t>
    </rPh>
    <phoneticPr fontId="29"/>
  </si>
  <si>
    <t>補  助  事  業   の  経  費  精  算  額</t>
    <rPh sb="0" eb="1">
      <t>タスク</t>
    </rPh>
    <rPh sb="3" eb="4">
      <t>スケ</t>
    </rPh>
    <rPh sb="6" eb="7">
      <t>コト</t>
    </rPh>
    <rPh sb="9" eb="10">
      <t>ギョウ</t>
    </rPh>
    <rPh sb="16" eb="17">
      <t>キョウ</t>
    </rPh>
    <rPh sb="19" eb="20">
      <t>ヒ</t>
    </rPh>
    <rPh sb="22" eb="23">
      <t>セイ</t>
    </rPh>
    <rPh sb="25" eb="26">
      <t>ザン</t>
    </rPh>
    <rPh sb="28" eb="29">
      <t>ガク</t>
    </rPh>
    <phoneticPr fontId="29"/>
  </si>
  <si>
    <t>（様式第８号）</t>
    <rPh sb="3" eb="4">
      <t>ダイ</t>
    </rPh>
    <phoneticPr fontId="6"/>
  </si>
  <si>
    <t>改善事業補助金差額請求書</t>
    <rPh sb="0" eb="1">
      <t>アラタ</t>
    </rPh>
    <rPh sb="1" eb="2">
      <t>ゼン</t>
    </rPh>
    <rPh sb="2" eb="3">
      <t>コト</t>
    </rPh>
    <rPh sb="3" eb="4">
      <t>ギョウ</t>
    </rPh>
    <rPh sb="4" eb="7">
      <t>ホジョキン</t>
    </rPh>
    <rPh sb="7" eb="9">
      <t>サガク</t>
    </rPh>
    <rPh sb="9" eb="12">
      <t>セイキュウショ</t>
    </rPh>
    <phoneticPr fontId="29"/>
  </si>
  <si>
    <t>住　     　　所</t>
    <rPh sb="0" eb="1">
      <t>ジュウ</t>
    </rPh>
    <rPh sb="9" eb="10">
      <t>ショ</t>
    </rPh>
    <phoneticPr fontId="29"/>
  </si>
  <si>
    <t>法    人    名</t>
    <rPh sb="0" eb="1">
      <t>ホウ</t>
    </rPh>
    <rPh sb="5" eb="6">
      <t>ニン</t>
    </rPh>
    <rPh sb="10" eb="11">
      <t>メイ</t>
    </rPh>
    <phoneticPr fontId="15"/>
  </si>
  <si>
    <t>　　１　請求金額</t>
    <rPh sb="4" eb="6">
      <t>セイキュウ</t>
    </rPh>
    <rPh sb="6" eb="7">
      <t>キン</t>
    </rPh>
    <rPh sb="7" eb="8">
      <t>ガク</t>
    </rPh>
    <phoneticPr fontId="6"/>
  </si>
  <si>
    <t>補助金の確定額</t>
    <rPh sb="0" eb="3">
      <t>ホジョキン</t>
    </rPh>
    <rPh sb="4" eb="6">
      <t>カクテイ</t>
    </rPh>
    <rPh sb="6" eb="7">
      <t>ガク</t>
    </rPh>
    <phoneticPr fontId="29"/>
  </si>
  <si>
    <t>今回の交付請求額</t>
    <rPh sb="0" eb="2">
      <t>コンカイ</t>
    </rPh>
    <rPh sb="3" eb="5">
      <t>コウフ</t>
    </rPh>
    <rPh sb="5" eb="7">
      <t>セイキュウ</t>
    </rPh>
    <rPh sb="7" eb="8">
      <t>ガク</t>
    </rPh>
    <phoneticPr fontId="29"/>
  </si>
  <si>
    <t>基本加算分１</t>
    <rPh sb="0" eb="2">
      <t>キホン</t>
    </rPh>
    <rPh sb="2" eb="4">
      <t>カサン</t>
    </rPh>
    <rPh sb="4" eb="5">
      <t>ブン</t>
    </rPh>
    <phoneticPr fontId="29"/>
  </si>
  <si>
    <t>基本加算分３</t>
    <rPh sb="0" eb="2">
      <t>キホン</t>
    </rPh>
    <rPh sb="2" eb="4">
      <t>カサン</t>
    </rPh>
    <rPh sb="4" eb="5">
      <t>ブン</t>
    </rPh>
    <phoneticPr fontId="29"/>
  </si>
  <si>
    <t>一般加算分２</t>
    <rPh sb="0" eb="2">
      <t>イッパン</t>
    </rPh>
    <rPh sb="2" eb="4">
      <t>カサン</t>
    </rPh>
    <rPh sb="4" eb="5">
      <t>ブン</t>
    </rPh>
    <phoneticPr fontId="1"/>
  </si>
  <si>
    <t>特定加算分１</t>
    <rPh sb="0" eb="5">
      <t>トクテイカサンブン</t>
    </rPh>
    <phoneticPr fontId="29"/>
  </si>
  <si>
    <t>特定加算分２</t>
    <rPh sb="0" eb="5">
      <t>トクテイカサンブン</t>
    </rPh>
    <phoneticPr fontId="29"/>
  </si>
  <si>
    <t>千葉市施設型給付対象施設保育士等配置基準改善事業補助金</t>
    <rPh sb="20" eb="22">
      <t>カイゼン</t>
    </rPh>
    <rPh sb="22" eb="24">
      <t>ジギョウ</t>
    </rPh>
    <rPh sb="24" eb="27">
      <t>ホジョキン</t>
    </rPh>
    <phoneticPr fontId="1"/>
  </si>
  <si>
    <t>支出金精算書（概算払）</t>
    <phoneticPr fontId="15"/>
  </si>
  <si>
    <t>（あて先）　千葉市長</t>
    <rPh sb="3" eb="4">
      <t>サキ</t>
    </rPh>
    <rPh sb="6" eb="8">
      <t>チバ</t>
    </rPh>
    <rPh sb="8" eb="10">
      <t>シチョウ</t>
    </rPh>
    <phoneticPr fontId="15"/>
  </si>
  <si>
    <t>住　　　　　　　　所</t>
    <rPh sb="0" eb="1">
      <t>ジュウ</t>
    </rPh>
    <rPh sb="9" eb="10">
      <t>ショ</t>
    </rPh>
    <phoneticPr fontId="15"/>
  </si>
  <si>
    <t>（施設(園)名）</t>
    <rPh sb="1" eb="3">
      <t>シセツ</t>
    </rPh>
    <rPh sb="4" eb="5">
      <t>エン</t>
    </rPh>
    <rPh sb="6" eb="7">
      <t>メイ</t>
    </rPh>
    <rPh sb="7" eb="8">
      <t>ヤスナ</t>
    </rPh>
    <phoneticPr fontId="15"/>
  </si>
  <si>
    <t>下記の通り精算します。</t>
    <rPh sb="0" eb="2">
      <t>カキ</t>
    </rPh>
    <rPh sb="3" eb="4">
      <t>トオ</t>
    </rPh>
    <rPh sb="5" eb="7">
      <t>セイサン</t>
    </rPh>
    <phoneticPr fontId="15"/>
  </si>
  <si>
    <t>交付(受領)年月日</t>
    <rPh sb="0" eb="2">
      <t>コウフ</t>
    </rPh>
    <rPh sb="3" eb="5">
      <t>ジュリョウ</t>
    </rPh>
    <rPh sb="6" eb="9">
      <t>ネンガッピ</t>
    </rPh>
    <phoneticPr fontId="1"/>
  </si>
  <si>
    <t>①既交付額</t>
    <rPh sb="1" eb="2">
      <t>キ</t>
    </rPh>
    <rPh sb="2" eb="3">
      <t>コウ</t>
    </rPh>
    <rPh sb="3" eb="4">
      <t>ツキ</t>
    </rPh>
    <rPh sb="4" eb="5">
      <t>ガク</t>
    </rPh>
    <phoneticPr fontId="29"/>
  </si>
  <si>
    <t>②精算額</t>
    <rPh sb="1" eb="2">
      <t>セイ</t>
    </rPh>
    <rPh sb="2" eb="3">
      <t>サン</t>
    </rPh>
    <rPh sb="3" eb="4">
      <t>ガク</t>
    </rPh>
    <phoneticPr fontId="29"/>
  </si>
  <si>
    <r>
      <t xml:space="preserve">③差額（②-①）
</t>
    </r>
    <r>
      <rPr>
        <sz val="10"/>
        <color indexed="8"/>
        <rFont val="ＭＳ Ｐ明朝"/>
        <family val="1"/>
        <charset val="128"/>
      </rPr>
      <t>追給額（マイナスの場合戻入額）</t>
    </r>
    <rPh sb="1" eb="3">
      <t>サガク</t>
    </rPh>
    <rPh sb="9" eb="11">
      <t>ツイキュウ</t>
    </rPh>
    <rPh sb="11" eb="12">
      <t>ガク</t>
    </rPh>
    <rPh sb="18" eb="20">
      <t>バアイ</t>
    </rPh>
    <rPh sb="20" eb="22">
      <t>レイニュウ</t>
    </rPh>
    <rPh sb="22" eb="23">
      <t>ガク</t>
    </rPh>
    <phoneticPr fontId="29"/>
  </si>
  <si>
    <t>高齢者等活躍促進加算の該当者数</t>
    <rPh sb="0" eb="4">
      <t>コウレイシャナド</t>
    </rPh>
    <rPh sb="4" eb="6">
      <t>カツヤク</t>
    </rPh>
    <rPh sb="6" eb="8">
      <t>ソクシン</t>
    </rPh>
    <rPh sb="8" eb="10">
      <t>カサン</t>
    </rPh>
    <rPh sb="11" eb="13">
      <t>ガイトウ</t>
    </rPh>
    <rPh sb="13" eb="14">
      <t>シャ</t>
    </rPh>
    <rPh sb="14" eb="15">
      <t>スウ</t>
    </rPh>
    <phoneticPr fontId="1"/>
  </si>
  <si>
    <t>各職員が有する資格について、「有」を選択してください。
※Ｈ列「保育教諭」は保育士又は幼稚園教諭を有し、「保育教諭」に見なされる場合を含みます。
※一番左の欄の「職種」に関連する資格以外の資格については、Ｅｘｃｅｌの便宜上入力不要です。
例）職種が「保育士」の場合、「看護師」資格を有していても、この欄への記載は不要です。</t>
    <rPh sb="0" eb="3">
      <t>カクショクイン</t>
    </rPh>
    <rPh sb="4" eb="5">
      <t>ユウ</t>
    </rPh>
    <rPh sb="7" eb="9">
      <t>シカク</t>
    </rPh>
    <rPh sb="15" eb="16">
      <t>アリ</t>
    </rPh>
    <rPh sb="18" eb="20">
      <t>センタク</t>
    </rPh>
    <rPh sb="30" eb="31">
      <t>レツ</t>
    </rPh>
    <rPh sb="32" eb="34">
      <t>ホイク</t>
    </rPh>
    <rPh sb="34" eb="36">
      <t>キョウユ</t>
    </rPh>
    <rPh sb="38" eb="41">
      <t>ホイクシ</t>
    </rPh>
    <rPh sb="41" eb="42">
      <t>マタ</t>
    </rPh>
    <rPh sb="43" eb="46">
      <t>ヨウチエン</t>
    </rPh>
    <rPh sb="46" eb="48">
      <t>キョウユ</t>
    </rPh>
    <rPh sb="49" eb="50">
      <t>ユウ</t>
    </rPh>
    <rPh sb="53" eb="55">
      <t>ホイク</t>
    </rPh>
    <rPh sb="55" eb="57">
      <t>キョウユ</t>
    </rPh>
    <rPh sb="59" eb="60">
      <t>ミ</t>
    </rPh>
    <rPh sb="64" eb="66">
      <t>バアイ</t>
    </rPh>
    <rPh sb="67" eb="68">
      <t>フク</t>
    </rPh>
    <phoneticPr fontId="1"/>
  </si>
  <si>
    <t>別紙　千葉市施設型給付対象施設保育士等配置基準改善費算出内訳書</t>
    <rPh sb="0" eb="2">
      <t>ベッシ</t>
    </rPh>
    <rPh sb="3" eb="6">
      <t>チバシ</t>
    </rPh>
    <rPh sb="6" eb="9">
      <t>シセツガタ</t>
    </rPh>
    <rPh sb="9" eb="11">
      <t>キュウフ</t>
    </rPh>
    <rPh sb="11" eb="13">
      <t>タイショウ</t>
    </rPh>
    <rPh sb="13" eb="15">
      <t>シセツ</t>
    </rPh>
    <rPh sb="15" eb="18">
      <t>ホイクシ</t>
    </rPh>
    <rPh sb="18" eb="19">
      <t>トウ</t>
    </rPh>
    <rPh sb="19" eb="21">
      <t>ハイチ</t>
    </rPh>
    <rPh sb="21" eb="23">
      <t>キジュン</t>
    </rPh>
    <rPh sb="23" eb="25">
      <t>カイゼン</t>
    </rPh>
    <rPh sb="25" eb="26">
      <t>ヒ</t>
    </rPh>
    <rPh sb="26" eb="28">
      <t>サンシュツ</t>
    </rPh>
    <rPh sb="28" eb="31">
      <t>ウチワケショ</t>
    </rPh>
    <phoneticPr fontId="29"/>
  </si>
  <si>
    <t>調理員等</t>
    <rPh sb="0" eb="2">
      <t>チョウリ</t>
    </rPh>
    <rPh sb="2" eb="3">
      <t>イン</t>
    </rPh>
    <rPh sb="3" eb="4">
      <t>トウ</t>
    </rPh>
    <phoneticPr fontId="47"/>
  </si>
  <si>
    <t>事務員等</t>
    <rPh sb="0" eb="3">
      <t>ジムイン</t>
    </rPh>
    <rPh sb="3" eb="4">
      <t>トウ</t>
    </rPh>
    <phoneticPr fontId="47"/>
  </si>
  <si>
    <t>加算内容</t>
    <rPh sb="0" eb="2">
      <t>カサン</t>
    </rPh>
    <rPh sb="2" eb="4">
      <t>ナイヨウ</t>
    </rPh>
    <phoneticPr fontId="47"/>
  </si>
  <si>
    <t>合計</t>
    <rPh sb="0" eb="2">
      <t>ゴウケイ</t>
    </rPh>
    <phoneticPr fontId="47"/>
  </si>
  <si>
    <t>判定</t>
    <rPh sb="0" eb="2">
      <t>ハンテイ</t>
    </rPh>
    <phoneticPr fontId="47"/>
  </si>
  <si>
    <t>○</t>
    <phoneticPr fontId="47"/>
  </si>
  <si>
    <t>保育士</t>
    <rPh sb="0" eb="3">
      <t>ホイクシ</t>
    </rPh>
    <phoneticPr fontId="47"/>
  </si>
  <si>
    <t>要件緩和</t>
    <rPh sb="0" eb="2">
      <t>ヨウケン</t>
    </rPh>
    <rPh sb="2" eb="4">
      <t>カンワ</t>
    </rPh>
    <phoneticPr fontId="47"/>
  </si>
  <si>
    <t>看護師</t>
    <rPh sb="0" eb="3">
      <t>カンゴシ</t>
    </rPh>
    <phoneticPr fontId="47"/>
  </si>
  <si>
    <t>定数</t>
    <rPh sb="0" eb="2">
      <t>テイスウ</t>
    </rPh>
    <phoneticPr fontId="47"/>
  </si>
  <si>
    <t>配置</t>
    <rPh sb="0" eb="2">
      <t>ハイチ</t>
    </rPh>
    <phoneticPr fontId="47"/>
  </si>
  <si>
    <t>加配</t>
    <rPh sb="0" eb="2">
      <t>カハイ</t>
    </rPh>
    <phoneticPr fontId="47"/>
  </si>
  <si>
    <t>基本１</t>
    <rPh sb="0" eb="2">
      <t>キホン</t>
    </rPh>
    <phoneticPr fontId="47"/>
  </si>
  <si>
    <t>基本２</t>
    <rPh sb="0" eb="2">
      <t>キホン</t>
    </rPh>
    <phoneticPr fontId="47"/>
  </si>
  <si>
    <t>基本３</t>
    <rPh sb="0" eb="2">
      <t>キホン</t>
    </rPh>
    <phoneticPr fontId="47"/>
  </si>
  <si>
    <t>一般１</t>
    <rPh sb="0" eb="2">
      <t>イッパン</t>
    </rPh>
    <phoneticPr fontId="47"/>
  </si>
  <si>
    <t>一般２</t>
    <rPh sb="0" eb="2">
      <t>イッパン</t>
    </rPh>
    <phoneticPr fontId="47"/>
  </si>
  <si>
    <t>特定２</t>
    <rPh sb="0" eb="2">
      <t>トクテイ</t>
    </rPh>
    <phoneticPr fontId="47"/>
  </si>
  <si>
    <t>４月</t>
  </si>
  <si>
    <t>５月</t>
    <rPh sb="1" eb="2">
      <t>ガツ</t>
    </rPh>
    <phoneticPr fontId="47"/>
  </si>
  <si>
    <t>６月</t>
  </si>
  <si>
    <t>７月</t>
  </si>
  <si>
    <t>８月</t>
  </si>
  <si>
    <t>９月</t>
  </si>
  <si>
    <t>１０月</t>
  </si>
  <si>
    <t>１１月</t>
  </si>
  <si>
    <t>１２月</t>
  </si>
  <si>
    <t>１月</t>
  </si>
  <si>
    <t>２月</t>
  </si>
  <si>
    <t>３月</t>
  </si>
  <si>
    <t>2歳
(満3歳含む)</t>
    <rPh sb="1" eb="2">
      <t>サイ</t>
    </rPh>
    <rPh sb="4" eb="5">
      <t>マン</t>
    </rPh>
    <rPh sb="6" eb="7">
      <t>サイ</t>
    </rPh>
    <rPh sb="7" eb="8">
      <t>フク</t>
    </rPh>
    <phoneticPr fontId="15"/>
  </si>
  <si>
    <t>Gakkenほいくえん 稲毛</t>
  </si>
  <si>
    <t>調理員等</t>
    <rPh sb="0" eb="2">
      <t>チョウリ</t>
    </rPh>
    <rPh sb="2" eb="3">
      <t>イン</t>
    </rPh>
    <rPh sb="3" eb="4">
      <t>トウ</t>
    </rPh>
    <phoneticPr fontId="1"/>
  </si>
  <si>
    <t>事務員等</t>
    <rPh sb="0" eb="3">
      <t>ジムイン</t>
    </rPh>
    <rPh sb="3" eb="4">
      <t>トウ</t>
    </rPh>
    <phoneticPr fontId="1"/>
  </si>
  <si>
    <t>高齢者等活躍促進加算</t>
    <phoneticPr fontId="1"/>
  </si>
  <si>
    <t>高齢者等活躍促進加算</t>
    <rPh sb="0" eb="3">
      <t>コウレイシャ</t>
    </rPh>
    <rPh sb="3" eb="4">
      <t>トウ</t>
    </rPh>
    <rPh sb="4" eb="6">
      <t>カツヤク</t>
    </rPh>
    <rPh sb="6" eb="8">
      <t>ソクシン</t>
    </rPh>
    <rPh sb="8" eb="10">
      <t>カサン</t>
    </rPh>
    <phoneticPr fontId="15"/>
  </si>
  <si>
    <t>F5～Ｋ5セル</t>
    <phoneticPr fontId="1"/>
  </si>
  <si>
    <t>F列～Ｋ列の７行目以下の各セル</t>
    <rPh sb="1" eb="2">
      <t>レツ</t>
    </rPh>
    <rPh sb="4" eb="5">
      <t>レツ</t>
    </rPh>
    <rPh sb="7" eb="11">
      <t>ギョウメイカ</t>
    </rPh>
    <rPh sb="12" eb="13">
      <t>カク</t>
    </rPh>
    <phoneticPr fontId="1"/>
  </si>
  <si>
    <r>
      <t>・「正」、「-」と表記のセルは操作する必要はありません。
・「実績を入力」と記載されているセルについて、各月の勤務実績時間を記載してください。
・勤務実績時間は、</t>
    </r>
    <r>
      <rPr>
        <b/>
        <u/>
        <sz val="12"/>
        <color theme="1"/>
        <rFont val="游ゴシック"/>
        <family val="3"/>
        <charset val="128"/>
        <scheme val="minor"/>
      </rPr>
      <t>延長保育事業に係る勤務時間を除いた時間数</t>
    </r>
    <r>
      <rPr>
        <sz val="12"/>
        <color theme="1"/>
        <rFont val="游ゴシック"/>
        <family val="3"/>
        <charset val="128"/>
        <scheme val="minor"/>
      </rPr>
      <t>となります。</t>
    </r>
    <rPh sb="2" eb="3">
      <t>セイ</t>
    </rPh>
    <rPh sb="9" eb="11">
      <t>ヒョウキ</t>
    </rPh>
    <rPh sb="15" eb="17">
      <t>ソウサ</t>
    </rPh>
    <rPh sb="19" eb="21">
      <t>ヒツヨウ</t>
    </rPh>
    <rPh sb="31" eb="33">
      <t>ジッセキ</t>
    </rPh>
    <rPh sb="38" eb="40">
      <t>キサイ</t>
    </rPh>
    <rPh sb="52" eb="54">
      <t>カクツキ</t>
    </rPh>
    <rPh sb="55" eb="57">
      <t>キンム</t>
    </rPh>
    <rPh sb="57" eb="59">
      <t>ジッセキ</t>
    </rPh>
    <rPh sb="59" eb="61">
      <t>ジカン</t>
    </rPh>
    <rPh sb="62" eb="64">
      <t>キサイ</t>
    </rPh>
    <rPh sb="73" eb="75">
      <t>キンム</t>
    </rPh>
    <rPh sb="75" eb="77">
      <t>ジッセキ</t>
    </rPh>
    <rPh sb="77" eb="79">
      <t>ジカン</t>
    </rPh>
    <rPh sb="81" eb="83">
      <t>エンチョウ</t>
    </rPh>
    <rPh sb="83" eb="85">
      <t>ホイク</t>
    </rPh>
    <rPh sb="85" eb="87">
      <t>ジギョウ</t>
    </rPh>
    <rPh sb="88" eb="89">
      <t>カカ</t>
    </rPh>
    <rPh sb="90" eb="92">
      <t>キンム</t>
    </rPh>
    <rPh sb="92" eb="94">
      <t>ジカン</t>
    </rPh>
    <rPh sb="95" eb="96">
      <t>ノゾ</t>
    </rPh>
    <rPh sb="98" eb="101">
      <t>ジカンスウ</t>
    </rPh>
    <phoneticPr fontId="1"/>
  </si>
  <si>
    <t>オンジュ ソリール保育園　そが駅前園</t>
  </si>
  <si>
    <t>【入力用】　配置基準補助金入力データ</t>
    <rPh sb="1" eb="4">
      <t>ニュウリョクヨウ</t>
    </rPh>
    <rPh sb="6" eb="10">
      <t>ｋｊ</t>
    </rPh>
    <rPh sb="10" eb="13">
      <t>ホジョキン</t>
    </rPh>
    <rPh sb="13" eb="15">
      <t>ニュウリョク</t>
    </rPh>
    <phoneticPr fontId="1"/>
  </si>
  <si>
    <t>（２）紙提出</t>
    <rPh sb="3" eb="4">
      <t>カミ</t>
    </rPh>
    <rPh sb="4" eb="6">
      <t>テイシュツ</t>
    </rPh>
    <phoneticPr fontId="1"/>
  </si>
  <si>
    <t>アップルナースリー検見川浜保育園</t>
  </si>
  <si>
    <t>Gakkenほいくえん おゆみ野</t>
  </si>
  <si>
    <t>Gakkenほいくえん 稲毛東</t>
  </si>
  <si>
    <t>ナーサリーホーム稲毛海岸</t>
  </si>
  <si>
    <t>月</t>
    <rPh sb="0" eb="1">
      <t>ツキ</t>
    </rPh>
    <phoneticPr fontId="1"/>
  </si>
  <si>
    <t>保育士等（定数内）</t>
    <rPh sb="5" eb="7">
      <t>テイスウ</t>
    </rPh>
    <rPh sb="7" eb="8">
      <t>ナイ</t>
    </rPh>
    <phoneticPr fontId="1"/>
  </si>
  <si>
    <t>定数外</t>
    <rPh sb="0" eb="2">
      <t>テイスウ</t>
    </rPh>
    <rPh sb="2" eb="3">
      <t>ソト</t>
    </rPh>
    <phoneticPr fontId="1"/>
  </si>
  <si>
    <r>
      <t xml:space="preserve">補助人工
</t>
    </r>
    <r>
      <rPr>
        <sz val="6"/>
        <color theme="1"/>
        <rFont val="HGｺﾞｼｯｸM"/>
        <family val="3"/>
        <charset val="128"/>
      </rPr>
      <t>（ＡとＢ小さい方）</t>
    </r>
    <rPh sb="0" eb="2">
      <t>ホジョ</t>
    </rPh>
    <rPh sb="2" eb="4">
      <t>ニンク</t>
    </rPh>
    <rPh sb="9" eb="10">
      <t>チイ</t>
    </rPh>
    <rPh sb="12" eb="13">
      <t>ホウ</t>
    </rPh>
    <phoneticPr fontId="1"/>
  </si>
  <si>
    <t>要件
緩和</t>
    <rPh sb="0" eb="2">
      <t>ヨウケン</t>
    </rPh>
    <rPh sb="3" eb="5">
      <t>カンワ</t>
    </rPh>
    <phoneticPr fontId="47"/>
  </si>
  <si>
    <t>要件</t>
    <rPh sb="0" eb="2">
      <t>ヨウケン</t>
    </rPh>
    <phoneticPr fontId="1"/>
  </si>
  <si>
    <t>看護</t>
    <rPh sb="0" eb="2">
      <t>カンゴ</t>
    </rPh>
    <phoneticPr fontId="1"/>
  </si>
  <si>
    <t>実雇用数
合計
（Ａ）</t>
    <rPh sb="0" eb="1">
      <t>ジツ</t>
    </rPh>
    <rPh sb="1" eb="3">
      <t>コヨウ</t>
    </rPh>
    <rPh sb="3" eb="4">
      <t>スウ</t>
    </rPh>
    <rPh sb="5" eb="7">
      <t>ゴウケイ</t>
    </rPh>
    <phoneticPr fontId="47"/>
  </si>
  <si>
    <t>最大
補助数
（Ｂ）</t>
    <rPh sb="0" eb="2">
      <t>サイダイ</t>
    </rPh>
    <rPh sb="3" eb="5">
      <t>ホジョ</t>
    </rPh>
    <rPh sb="5" eb="6">
      <t>スウ</t>
    </rPh>
    <phoneticPr fontId="1"/>
  </si>
  <si>
    <t>特定１
①</t>
    <rPh sb="0" eb="2">
      <t>トクテイ</t>
    </rPh>
    <phoneticPr fontId="47"/>
  </si>
  <si>
    <t>特定１
②</t>
    <rPh sb="0" eb="2">
      <t>トクテイ</t>
    </rPh>
    <phoneticPr fontId="47"/>
  </si>
  <si>
    <t>特定１
③</t>
    <rPh sb="0" eb="2">
      <t>トクテイ</t>
    </rPh>
    <phoneticPr fontId="47"/>
  </si>
  <si>
    <t>児童数</t>
    <rPh sb="0" eb="2">
      <t>ジドウ</t>
    </rPh>
    <rPh sb="2" eb="3">
      <t>スウ</t>
    </rPh>
    <phoneticPr fontId="1"/>
  </si>
  <si>
    <t>最大補助数</t>
    <rPh sb="0" eb="2">
      <t>サイダイ</t>
    </rPh>
    <rPh sb="2" eb="4">
      <t>ホジョ</t>
    </rPh>
    <rPh sb="4" eb="5">
      <t>スウ</t>
    </rPh>
    <phoneticPr fontId="1"/>
  </si>
  <si>
    <t>特定加算分２の判定</t>
    <rPh sb="0" eb="2">
      <t>トクテイ</t>
    </rPh>
    <rPh sb="2" eb="4">
      <t>カサン</t>
    </rPh>
    <rPh sb="4" eb="5">
      <t>ブン</t>
    </rPh>
    <rPh sb="7" eb="9">
      <t>ハンテイ</t>
    </rPh>
    <phoneticPr fontId="1"/>
  </si>
  <si>
    <t>→　単なる事実の誤認など、軽微な修正をしていますので、確認をお願いします。</t>
    <phoneticPr fontId="1"/>
  </si>
  <si>
    <t>　　修正が誤りであった場合は、お手数ですが再度修正をお願いします。</t>
    <phoneticPr fontId="1"/>
  </si>
  <si>
    <t>（確認・修正等を要する箇所）</t>
    <rPh sb="1" eb="3">
      <t>カクニン</t>
    </rPh>
    <rPh sb="4" eb="6">
      <t>シュウセイ</t>
    </rPh>
    <rPh sb="6" eb="7">
      <t>トウ</t>
    </rPh>
    <rPh sb="8" eb="9">
      <t>ヨウ</t>
    </rPh>
    <rPh sb="11" eb="13">
      <t>カショ</t>
    </rPh>
    <phoneticPr fontId="1"/>
  </si>
  <si>
    <t>　</t>
    <phoneticPr fontId="1"/>
  </si>
  <si>
    <t>（画面上では黄色）の部分の入力をお願いします。</t>
    <rPh sb="1" eb="4">
      <t>ガメンジョウ</t>
    </rPh>
    <rPh sb="6" eb="8">
      <t>キイロ</t>
    </rPh>
    <rPh sb="10" eb="12">
      <t>ブブン</t>
    </rPh>
    <rPh sb="13" eb="15">
      <t>ニュウリョク</t>
    </rPh>
    <rPh sb="17" eb="18">
      <t>ネガ</t>
    </rPh>
    <phoneticPr fontId="15"/>
  </si>
  <si>
    <t>（画面上では水色）の部分は、「園毎の固有番号」に基づいて、千葉市が把握している情報が表示されます。
念のためご確認いただき、万が一誤りがあれば、関数の上からご修正ください。</t>
    <rPh sb="1" eb="4">
      <t>ガメンジョウ</t>
    </rPh>
    <rPh sb="6" eb="8">
      <t>ミズイロ</t>
    </rPh>
    <rPh sb="10" eb="12">
      <t>ブブン</t>
    </rPh>
    <phoneticPr fontId="15"/>
  </si>
  <si>
    <t>※該当箇所につきまして、いずれも3月は見込みでご記載ください。</t>
    <rPh sb="1" eb="3">
      <t>ガイトウ</t>
    </rPh>
    <rPh sb="3" eb="5">
      <t>カショ</t>
    </rPh>
    <rPh sb="17" eb="18">
      <t>ガツ</t>
    </rPh>
    <rPh sb="19" eb="21">
      <t>ミコ</t>
    </rPh>
    <rPh sb="24" eb="26">
      <t>キサイ</t>
    </rPh>
    <phoneticPr fontId="1"/>
  </si>
  <si>
    <t>２　参考資料</t>
    <rPh sb="2" eb="4">
      <t>サンコウ</t>
    </rPh>
    <rPh sb="4" eb="6">
      <t>シリョウ</t>
    </rPh>
    <phoneticPr fontId="1"/>
  </si>
  <si>
    <t>　各シートに記載の記載方法のほか、別途配布する留意事項も参考にしてください。</t>
    <rPh sb="1" eb="2">
      <t>カク</t>
    </rPh>
    <rPh sb="6" eb="8">
      <t>キサイ</t>
    </rPh>
    <rPh sb="9" eb="11">
      <t>キサイ</t>
    </rPh>
    <rPh sb="11" eb="13">
      <t>ホウホウ</t>
    </rPh>
    <rPh sb="17" eb="19">
      <t>ベット</t>
    </rPh>
    <rPh sb="19" eb="21">
      <t>ハイフ</t>
    </rPh>
    <rPh sb="23" eb="25">
      <t>リュウイ</t>
    </rPh>
    <rPh sb="25" eb="27">
      <t>ジコウ</t>
    </rPh>
    <rPh sb="28" eb="30">
      <t>サンコウ</t>
    </rPh>
    <phoneticPr fontId="1"/>
  </si>
  <si>
    <t>３　提出期限</t>
    <rPh sb="2" eb="4">
      <t>テイシュツ</t>
    </rPh>
    <rPh sb="4" eb="6">
      <t>キゲン</t>
    </rPh>
    <phoneticPr fontId="1"/>
  </si>
  <si>
    <t>データを提出いただき、内容確認後に別途紙提出のご連絡をいたしますので、幼保運営課からの連絡をお待ちください。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phoneticPr fontId="1"/>
  </si>
  <si>
    <r>
      <t>　※紙提出の際は、</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9" eb="11">
      <t>ダイヒョウ</t>
    </rPh>
    <rPh sb="11" eb="12">
      <t>シャ</t>
    </rPh>
    <rPh sb="12" eb="13">
      <t>イン</t>
    </rPh>
    <rPh sb="14" eb="16">
      <t>オウイン</t>
    </rPh>
    <rPh sb="21" eb="23">
      <t>テイシュツ</t>
    </rPh>
    <phoneticPr fontId="1"/>
  </si>
  <si>
    <t>令和　　年　　月　１日</t>
    <rPh sb="0" eb="2">
      <t>レイワ</t>
    </rPh>
    <rPh sb="4" eb="5">
      <t>ネン</t>
    </rPh>
    <rPh sb="7" eb="8">
      <t>ガツ</t>
    </rPh>
    <rPh sb="10" eb="11">
      <t>ニチ</t>
    </rPh>
    <phoneticPr fontId="1"/>
  </si>
  <si>
    <t>キッズガード</t>
    <phoneticPr fontId="1"/>
  </si>
  <si>
    <t>幼保</t>
    <rPh sb="0" eb="1">
      <t>ヨウ</t>
    </rPh>
    <rPh sb="1" eb="2">
      <t>ホ</t>
    </rPh>
    <phoneticPr fontId="15"/>
  </si>
  <si>
    <t>地方</t>
    <rPh sb="0" eb="2">
      <t>チホウ</t>
    </rPh>
    <phoneticPr fontId="15"/>
  </si>
  <si>
    <t>幼稚</t>
    <rPh sb="0" eb="2">
      <t>ヨウチ</t>
    </rPh>
    <phoneticPr fontId="15"/>
  </si>
  <si>
    <t>幼保</t>
    <rPh sb="0" eb="1">
      <t>ヨウ</t>
    </rPh>
    <rPh sb="1" eb="2">
      <t>タモツ</t>
    </rPh>
    <phoneticPr fontId="15"/>
  </si>
  <si>
    <t>保</t>
    <rPh sb="0" eb="1">
      <t>ホ</t>
    </rPh>
    <phoneticPr fontId="15"/>
  </si>
  <si>
    <t>幼稚</t>
    <rPh sb="0" eb="2">
      <t>ヨウチ</t>
    </rPh>
    <phoneticPr fontId="1"/>
  </si>
  <si>
    <t>幼保</t>
    <rPh sb="0" eb="1">
      <t>ヨウ</t>
    </rPh>
    <rPh sb="1" eb="2">
      <t>ホ</t>
    </rPh>
    <phoneticPr fontId="1"/>
  </si>
  <si>
    <t>小倉台保育園</t>
  </si>
  <si>
    <t>みらいつむぎ保育園海浜</t>
  </si>
  <si>
    <t>小深保育園</t>
  </si>
  <si>
    <t>オンジュソリール保育園　幕張駅北口園</t>
  </si>
  <si>
    <t>よつば保育園</t>
  </si>
  <si>
    <t>Nestいんない保育園</t>
  </si>
  <si>
    <t>3220003</t>
  </si>
  <si>
    <t>宗教法人　日本聖公会横浜教区</t>
  </si>
  <si>
    <t>3220004</t>
  </si>
  <si>
    <t>KFA44671</t>
  </si>
  <si>
    <t>（学）芦童学園</t>
  </si>
  <si>
    <t>千葉市花見川区さつきが丘２－１３</t>
  </si>
  <si>
    <t>芦谷　牧人</t>
  </si>
  <si>
    <t>幼保連携型認定こども園　ふたば保育園</t>
    <rPh sb="0" eb="2">
      <t>ヨウホ</t>
    </rPh>
    <rPh sb="2" eb="4">
      <t>レンケイ</t>
    </rPh>
    <rPh sb="4" eb="5">
      <t>ガタ</t>
    </rPh>
    <rPh sb="5" eb="7">
      <t>ニンテイ</t>
    </rPh>
    <rPh sb="10" eb="11">
      <t>エン</t>
    </rPh>
    <rPh sb="15" eb="18">
      <t>ホイクエン</t>
    </rPh>
    <phoneticPr fontId="4"/>
  </si>
  <si>
    <t>3220005</t>
  </si>
  <si>
    <t>認定こども園　おゆみ野南幼稚園</t>
    <rPh sb="0" eb="2">
      <t>ニンテイ</t>
    </rPh>
    <rPh sb="5" eb="6">
      <t>エン</t>
    </rPh>
    <rPh sb="10" eb="11">
      <t>ノ</t>
    </rPh>
    <rPh sb="11" eb="12">
      <t>ミナミ</t>
    </rPh>
    <rPh sb="12" eb="15">
      <t>ヨウチエン</t>
    </rPh>
    <phoneticPr fontId="4"/>
  </si>
  <si>
    <t>3220006</t>
  </si>
  <si>
    <t>千葉県千葉市緑区大金沢町３８１－１</t>
  </si>
  <si>
    <t>宇野　御本書</t>
  </si>
  <si>
    <t>【入力用】　配置基準補助金入力データ</t>
    <rPh sb="1" eb="4">
      <t>ニュウリョクヨウ</t>
    </rPh>
    <rPh sb="6" eb="8">
      <t>ハイチ</t>
    </rPh>
    <rPh sb="8" eb="10">
      <t>キジュン</t>
    </rPh>
    <rPh sb="10" eb="13">
      <t>ホジョキン</t>
    </rPh>
    <rPh sb="13" eb="15">
      <t>ニュウリョク</t>
    </rPh>
    <phoneticPr fontId="1"/>
  </si>
  <si>
    <r>
      <t>（画面上では黄色）の部分のうち、</t>
    </r>
    <r>
      <rPr>
        <b/>
        <u val="double"/>
        <sz val="14"/>
        <color rgb="FFFF0000"/>
        <rFont val="HG丸ｺﾞｼｯｸM-PRO"/>
        <family val="3"/>
        <charset val="128"/>
      </rPr>
      <t>「４月分」のみ、</t>
    </r>
    <r>
      <rPr>
        <sz val="14"/>
        <rFont val="HG丸ｺﾞｼｯｸM-PRO"/>
        <family val="3"/>
        <charset val="128"/>
      </rPr>
      <t>入力をお願いします。</t>
    </r>
    <rPh sb="1" eb="4">
      <t>ガメンジョウ</t>
    </rPh>
    <rPh sb="6" eb="8">
      <t>キイロ</t>
    </rPh>
    <rPh sb="10" eb="12">
      <t>ブブン</t>
    </rPh>
    <rPh sb="18" eb="20">
      <t>ガツブン</t>
    </rPh>
    <rPh sb="24" eb="26">
      <t>ニュウリョク</t>
    </rPh>
    <rPh sb="28" eb="29">
      <t>ネガ</t>
    </rPh>
    <phoneticPr fontId="15"/>
  </si>
  <si>
    <t>※該当箇所につきまして、いずれも10月以降は見込みでご確認・ご記載ください。</t>
    <rPh sb="1" eb="3">
      <t>ガイトウ</t>
    </rPh>
    <rPh sb="3" eb="5">
      <t>カショ</t>
    </rPh>
    <rPh sb="18" eb="19">
      <t>ガツ</t>
    </rPh>
    <rPh sb="19" eb="21">
      <t>イコウ</t>
    </rPh>
    <rPh sb="22" eb="24">
      <t>ミコ</t>
    </rPh>
    <rPh sb="27" eb="29">
      <t>カクニン</t>
    </rPh>
    <rPh sb="31" eb="33">
      <t>キサイ</t>
    </rPh>
    <phoneticPr fontId="1"/>
  </si>
  <si>
    <t>　　　　　　↓　　幼保運営課職員が内容を確認し、各施設様へ連絡</t>
    <rPh sb="9" eb="14">
      <t>ヨウホ</t>
    </rPh>
    <rPh sb="14" eb="16">
      <t>ショクイン</t>
    </rPh>
    <rPh sb="17" eb="19">
      <t>ナイヨウ</t>
    </rPh>
    <rPh sb="20" eb="22">
      <t>カクニン</t>
    </rPh>
    <rPh sb="24" eb="25">
      <t>カク</t>
    </rPh>
    <rPh sb="25" eb="27">
      <t>シセツ</t>
    </rPh>
    <rPh sb="27" eb="28">
      <t>サマ</t>
    </rPh>
    <rPh sb="29" eb="31">
      <t>レンラク</t>
    </rPh>
    <phoneticPr fontId="1"/>
  </si>
  <si>
    <t>データを提出いただき、内容確認後に別途紙提出のご連絡をいたしますので、幼保運営課からの連絡をお待ちください。連絡があり次第、早急にご提出ください。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rPh sb="54" eb="56">
      <t>レンラク</t>
    </rPh>
    <rPh sb="59" eb="61">
      <t>シダイ</t>
    </rPh>
    <rPh sb="62" eb="64">
      <t>ソウキュウ</t>
    </rPh>
    <rPh sb="66" eb="68">
      <t>テイシュツ</t>
    </rPh>
    <phoneticPr fontId="1"/>
  </si>
  <si>
    <t>【実績報告時】</t>
    <rPh sb="1" eb="3">
      <t>ジッセキ</t>
    </rPh>
    <rPh sb="3" eb="5">
      <t>ホウコク</t>
    </rPh>
    <rPh sb="5" eb="6">
      <t>ジ</t>
    </rPh>
    <phoneticPr fontId="1"/>
  </si>
  <si>
    <t>【当初申請時】</t>
    <rPh sb="1" eb="3">
      <t>トウショ</t>
    </rPh>
    <rPh sb="3" eb="5">
      <t>シンセイ</t>
    </rPh>
    <rPh sb="5" eb="6">
      <t>ジ</t>
    </rPh>
    <phoneticPr fontId="1"/>
  </si>
  <si>
    <t>F5セル</t>
    <phoneticPr fontId="1"/>
  </si>
  <si>
    <t>F列の７行目以下の各セル</t>
    <rPh sb="1" eb="2">
      <t>レツ</t>
    </rPh>
    <rPh sb="4" eb="8">
      <t>ギョウメイカ</t>
    </rPh>
    <rPh sb="9" eb="10">
      <t>カク</t>
    </rPh>
    <phoneticPr fontId="1"/>
  </si>
  <si>
    <t>　令和５年度千葉市施設型給付対象施設保育士等配置基準改善事業補助金の交付を受けたいので、千葉市施設型給付対象施設運営事業補助金交付要綱第４条の規定により次のとおり申請します。　　</t>
    <rPh sb="1" eb="3">
      <t>レイワ</t>
    </rPh>
    <rPh sb="9" eb="12">
      <t>シセツガタ</t>
    </rPh>
    <rPh sb="12" eb="14">
      <t>キュウフ</t>
    </rPh>
    <rPh sb="14" eb="16">
      <t>タイショウ</t>
    </rPh>
    <rPh sb="16" eb="18">
      <t>シセツ</t>
    </rPh>
    <rPh sb="47" eb="50">
      <t>シセツガタ</t>
    </rPh>
    <rPh sb="50" eb="52">
      <t>キュウフ</t>
    </rPh>
    <rPh sb="52" eb="54">
      <t>タイショウ</t>
    </rPh>
    <rPh sb="54" eb="56">
      <t>シセツ</t>
    </rPh>
    <phoneticPr fontId="6"/>
  </si>
  <si>
    <t>全て〇</t>
    <rPh sb="0" eb="1">
      <t>スベ</t>
    </rPh>
    <phoneticPr fontId="1"/>
  </si>
  <si>
    <t>基本１の入力なし</t>
    <rPh sb="0" eb="2">
      <t>キホン</t>
    </rPh>
    <rPh sb="4" eb="6">
      <t>ニュウリョク</t>
    </rPh>
    <phoneticPr fontId="1"/>
  </si>
  <si>
    <t>通常の月単価</t>
    <rPh sb="0" eb="2">
      <t>ツウジョウ</t>
    </rPh>
    <rPh sb="3" eb="4">
      <t>ツキ</t>
    </rPh>
    <rPh sb="4" eb="6">
      <t>タンカ</t>
    </rPh>
    <phoneticPr fontId="1"/>
  </si>
  <si>
    <t>要配慮が１</t>
    <rPh sb="0" eb="1">
      <t>ヨウ</t>
    </rPh>
    <rPh sb="1" eb="3">
      <t>ハイリョ</t>
    </rPh>
    <phoneticPr fontId="1"/>
  </si>
  <si>
    <t>基本１の入力</t>
    <rPh sb="0" eb="2">
      <t>キホン</t>
    </rPh>
    <rPh sb="4" eb="6">
      <t>ニュウリョク</t>
    </rPh>
    <phoneticPr fontId="1"/>
  </si>
  <si>
    <t>それ以外ない</t>
    <rPh sb="2" eb="4">
      <t>イガイ</t>
    </rPh>
    <phoneticPr fontId="1"/>
  </si>
  <si>
    <t>栄養管理加算を除いた場合の月の単価</t>
    <rPh sb="0" eb="2">
      <t>エイヨウ</t>
    </rPh>
    <rPh sb="2" eb="4">
      <t>カンリ</t>
    </rPh>
    <rPh sb="4" eb="6">
      <t>カサン</t>
    </rPh>
    <rPh sb="7" eb="8">
      <t>ノゾ</t>
    </rPh>
    <rPh sb="10" eb="12">
      <t>バアイ</t>
    </rPh>
    <rPh sb="13" eb="14">
      <t>ツキ</t>
    </rPh>
    <rPh sb="15" eb="17">
      <t>タンカ</t>
    </rPh>
    <phoneticPr fontId="1"/>
  </si>
  <si>
    <t>カウント</t>
    <phoneticPr fontId="1"/>
  </si>
  <si>
    <t>保育士等の合計</t>
    <rPh sb="0" eb="3">
      <t>ホイクシ</t>
    </rPh>
    <rPh sb="3" eb="4">
      <t>トウ</t>
    </rPh>
    <rPh sb="5" eb="7">
      <t>ゴウケイ</t>
    </rPh>
    <phoneticPr fontId="1"/>
  </si>
  <si>
    <t>戻入額</t>
    <rPh sb="0" eb="2">
      <t>レイニュウ</t>
    </rPh>
    <rPh sb="2" eb="3">
      <t>ガク</t>
    </rPh>
    <phoneticPr fontId="1"/>
  </si>
  <si>
    <t>配置基準補助金　第2期分割請求の可否確認データ</t>
    <rPh sb="0" eb="4">
      <t>ｋｊ</t>
    </rPh>
    <rPh sb="4" eb="7">
      <t>ホジョキン</t>
    </rPh>
    <rPh sb="8" eb="9">
      <t>ダイ</t>
    </rPh>
    <rPh sb="10" eb="11">
      <t>キ</t>
    </rPh>
    <rPh sb="11" eb="13">
      <t>ブンカツ</t>
    </rPh>
    <rPh sb="13" eb="15">
      <t>セイキュウ</t>
    </rPh>
    <rPh sb="16" eb="18">
      <t>カヒ</t>
    </rPh>
    <rPh sb="18" eb="20">
      <t>カクニン</t>
    </rPh>
    <phoneticPr fontId="1"/>
  </si>
  <si>
    <r>
      <rPr>
        <b/>
        <sz val="14"/>
        <rFont val="HG丸ｺﾞｼｯｸM-PRO"/>
        <family val="3"/>
        <charset val="128"/>
      </rPr>
      <t>【概要】</t>
    </r>
    <r>
      <rPr>
        <b/>
        <sz val="12"/>
        <rFont val="HG丸ｺﾞｼｯｸM-PRO"/>
        <family val="3"/>
        <charset val="128"/>
      </rPr>
      <t xml:space="preserve">
■第二期の分割請求を希望</t>
    </r>
    <r>
      <rPr>
        <b/>
        <u/>
        <sz val="12"/>
        <rFont val="HG丸ｺﾞｼｯｸM-PRO"/>
        <family val="3"/>
        <charset val="128"/>
      </rPr>
      <t>しない</t>
    </r>
    <r>
      <rPr>
        <b/>
        <sz val="12"/>
        <rFont val="HG丸ｺﾞｼｯｸM-PRO"/>
        <family val="3"/>
        <charset val="128"/>
      </rPr>
      <t xml:space="preserve">場合
</t>
    </r>
    <r>
      <rPr>
        <sz val="12"/>
        <rFont val="HG丸ｺﾞｼｯｸM-PRO"/>
        <family val="3"/>
        <charset val="128"/>
      </rPr>
      <t>　</t>
    </r>
    <r>
      <rPr>
        <b/>
        <sz val="12"/>
        <color rgb="FFFF0000"/>
        <rFont val="HG丸ｺﾞｼｯｸM-PRO"/>
        <family val="3"/>
        <charset val="128"/>
      </rPr>
      <t>このExcelは入力不要</t>
    </r>
    <r>
      <rPr>
        <sz val="12"/>
        <rFont val="HG丸ｺﾞｼｯｸM-PRO"/>
        <family val="3"/>
        <charset val="128"/>
      </rPr>
      <t xml:space="preserve">です（特段の作業は発生しません）。
</t>
    </r>
    <r>
      <rPr>
        <b/>
        <sz val="12"/>
        <rFont val="HG丸ｺﾞｼｯｸM-PRO"/>
        <family val="3"/>
        <charset val="128"/>
      </rPr>
      <t>■第二期の分割請求を希望</t>
    </r>
    <r>
      <rPr>
        <b/>
        <u/>
        <sz val="12"/>
        <rFont val="HG丸ｺﾞｼｯｸM-PRO"/>
        <family val="3"/>
        <charset val="128"/>
      </rPr>
      <t>する</t>
    </r>
    <r>
      <rPr>
        <b/>
        <sz val="12"/>
        <rFont val="HG丸ｺﾞｼｯｸM-PRO"/>
        <family val="3"/>
        <charset val="128"/>
      </rPr>
      <t>場合</t>
    </r>
    <r>
      <rPr>
        <sz val="12"/>
        <rFont val="HG丸ｺﾞｼｯｸM-PRO"/>
        <family val="3"/>
        <charset val="128"/>
      </rPr>
      <t xml:space="preserve">
　①～⑨のシートを入力の上、</t>
    </r>
    <r>
      <rPr>
        <b/>
        <sz val="12"/>
        <color rgb="FFFF0000"/>
        <rFont val="HG丸ｺﾞｼｯｸM-PRO"/>
        <family val="3"/>
        <charset val="128"/>
      </rPr>
      <t>「様式３（一番右のシート）」の１７行目</t>
    </r>
    <r>
      <rPr>
        <sz val="12"/>
        <rFont val="HG丸ｺﾞｼｯｸM-PRO"/>
        <family val="3"/>
        <charset val="128"/>
      </rPr>
      <t>をご確認ください。
　→　特にメッセージが無ければ、第２期の分割請求が可能です。
　　　このエクセルをメールにて提出の上、「様式３」を印刷・押印の上、ご郵送ください
　　　（詳細は「様式３」シート欄外参照）。
　→　メッセージが表示された場合は、戻入の可能性があるため、第２期の分割請求は不可です。
　　　（メッセージが表示されるものの、当初交付申請時（令和５年４月～５月）の当課との
　　　　やり取りを踏まえ、戻入の可能性がないと思われる場合は、データを送付の上、
　　　　お電話等でご相談ください。）</t>
    </r>
    <rPh sb="1" eb="3">
      <t>ガイヨウ</t>
    </rPh>
    <rPh sb="12" eb="14">
      <t>セイキュウ</t>
    </rPh>
    <rPh sb="32" eb="34">
      <t>ニュウリョク</t>
    </rPh>
    <rPh sb="34" eb="36">
      <t>フヨウ</t>
    </rPh>
    <rPh sb="39" eb="41">
      <t>トクダン</t>
    </rPh>
    <rPh sb="42" eb="44">
      <t>サギョウ</t>
    </rPh>
    <rPh sb="45" eb="47">
      <t>ハッセイ</t>
    </rPh>
    <rPh sb="62" eb="64">
      <t>セイキュウ</t>
    </rPh>
    <rPh sb="81" eb="83">
      <t>ニュウリョク</t>
    </rPh>
    <rPh sb="84" eb="85">
      <t>ウエ</t>
    </rPh>
    <rPh sb="87" eb="89">
      <t>ヨウシキ</t>
    </rPh>
    <rPh sb="91" eb="93">
      <t>イチバン</t>
    </rPh>
    <rPh sb="93" eb="94">
      <t>ミギ</t>
    </rPh>
    <rPh sb="103" eb="105">
      <t>ギョウメ</t>
    </rPh>
    <rPh sb="107" eb="109">
      <t>カクニン</t>
    </rPh>
    <rPh sb="219" eb="221">
      <t>ヒョウジ</t>
    </rPh>
    <rPh sb="224" eb="226">
      <t>バアイ</t>
    </rPh>
    <rPh sb="228" eb="230">
      <t>レイニュウ</t>
    </rPh>
    <rPh sb="231" eb="234">
      <t>カノウセイ</t>
    </rPh>
    <rPh sb="249" eb="251">
      <t>フカ</t>
    </rPh>
    <phoneticPr fontId="1"/>
  </si>
  <si>
    <t>※該当箇所につきまして、いずれも10月以降は9月の数字が反映されます。</t>
    <rPh sb="1" eb="3">
      <t>ガイトウ</t>
    </rPh>
    <rPh sb="3" eb="5">
      <t>カショ</t>
    </rPh>
    <rPh sb="18" eb="19">
      <t>ガツ</t>
    </rPh>
    <rPh sb="19" eb="21">
      <t>イコウ</t>
    </rPh>
    <rPh sb="23" eb="24">
      <t>ガツ</t>
    </rPh>
    <rPh sb="25" eb="27">
      <t>スウジ</t>
    </rPh>
    <rPh sb="28" eb="30">
      <t>ハンエイ</t>
    </rPh>
    <phoneticPr fontId="1"/>
  </si>
  <si>
    <t>２　第二期の分割請求を行う場合の提出期限</t>
    <rPh sb="2" eb="3">
      <t>ダイ</t>
    </rPh>
    <rPh sb="3" eb="5">
      <t>ニキ</t>
    </rPh>
    <rPh sb="6" eb="8">
      <t>ブンカツ</t>
    </rPh>
    <rPh sb="8" eb="10">
      <t>セイキュウ</t>
    </rPh>
    <rPh sb="11" eb="12">
      <t>オコナ</t>
    </rPh>
    <rPh sb="13" eb="15">
      <t>バアイ</t>
    </rPh>
    <rPh sb="16" eb="18">
      <t>テイシュツ</t>
    </rPh>
    <rPh sb="18" eb="20">
      <t>キゲン</t>
    </rPh>
    <phoneticPr fontId="1"/>
  </si>
  <si>
    <t>　　令和２年3月16日（月）　　　</t>
    <rPh sb="2" eb="4">
      <t>レイワ</t>
    </rPh>
    <rPh sb="5" eb="6">
      <t>ネン</t>
    </rPh>
    <rPh sb="7" eb="8">
      <t>ガツ</t>
    </rPh>
    <rPh sb="10" eb="11">
      <t>ニチ</t>
    </rPh>
    <rPh sb="12" eb="13">
      <t>ゲツ</t>
    </rPh>
    <phoneticPr fontId="1"/>
  </si>
  <si>
    <r>
      <t>※様式第４号、６号、８号について、万一訂正があった際には至急差し替えをお願いすることとなります（</t>
    </r>
    <r>
      <rPr>
        <u val="double"/>
        <sz val="12"/>
        <color rgb="FFFF0000"/>
        <rFont val="HG丸ｺﾞｼｯｸM-PRO"/>
        <family val="3"/>
        <charset val="128"/>
      </rPr>
      <t>最悪、当日中に対応いただきま</t>
    </r>
    <r>
      <rPr>
        <sz val="12"/>
        <color rgb="FFFF0000"/>
        <rFont val="HG丸ｺﾞｼｯｸM-PRO"/>
        <family val="3"/>
        <charset val="128"/>
      </rPr>
      <t>す</t>
    </r>
    <r>
      <rPr>
        <sz val="12"/>
        <rFont val="HG丸ｺﾞｼｯｸM-PRO"/>
        <family val="3"/>
        <charset val="128"/>
      </rPr>
      <t>）。
　代表者印押印に時間を要する場合などには、事前に押印を手配する等、対応（準備）をお願いします。
　なお、様式第4号、６号、８号の提出が遅れる場合、補助金の支給が出来かねることがありますので、ご注意ください。</t>
    </r>
    <rPh sb="17" eb="19">
      <t>マンイチ</t>
    </rPh>
    <rPh sb="19" eb="21">
      <t>テイセイ</t>
    </rPh>
    <rPh sb="25" eb="26">
      <t>サイ</t>
    </rPh>
    <rPh sb="28" eb="30">
      <t>シキュウ</t>
    </rPh>
    <rPh sb="30" eb="31">
      <t>サ</t>
    </rPh>
    <rPh sb="32" eb="33">
      <t>カ</t>
    </rPh>
    <rPh sb="36" eb="37">
      <t>ネガ</t>
    </rPh>
    <rPh sb="48" eb="50">
      <t>サイアク</t>
    </rPh>
    <rPh sb="51" eb="54">
      <t>トウジツチュウ</t>
    </rPh>
    <rPh sb="55" eb="57">
      <t>タイオウ</t>
    </rPh>
    <rPh sb="67" eb="69">
      <t>ダイヒョウ</t>
    </rPh>
    <rPh sb="69" eb="70">
      <t>モノ</t>
    </rPh>
    <rPh sb="70" eb="71">
      <t>イン</t>
    </rPh>
    <rPh sb="71" eb="73">
      <t>オウイン</t>
    </rPh>
    <rPh sb="74" eb="76">
      <t>ジカン</t>
    </rPh>
    <rPh sb="77" eb="78">
      <t>ヨウ</t>
    </rPh>
    <rPh sb="80" eb="82">
      <t>バアイ</t>
    </rPh>
    <rPh sb="87" eb="89">
      <t>ジゼン</t>
    </rPh>
    <rPh sb="90" eb="92">
      <t>オウイン</t>
    </rPh>
    <rPh sb="93" eb="95">
      <t>テハイ</t>
    </rPh>
    <rPh sb="97" eb="98">
      <t>ナド</t>
    </rPh>
    <rPh sb="99" eb="101">
      <t>タイオウ</t>
    </rPh>
    <rPh sb="102" eb="104">
      <t>ジュンビ</t>
    </rPh>
    <rPh sb="107" eb="108">
      <t>ネガ</t>
    </rPh>
    <rPh sb="118" eb="120">
      <t>ヨウシキ</t>
    </rPh>
    <rPh sb="120" eb="121">
      <t>ダイ</t>
    </rPh>
    <rPh sb="122" eb="123">
      <t>ゴウ</t>
    </rPh>
    <rPh sb="125" eb="126">
      <t>ゴウ</t>
    </rPh>
    <rPh sb="128" eb="129">
      <t>ゴウ</t>
    </rPh>
    <rPh sb="130" eb="132">
      <t>テイシュツ</t>
    </rPh>
    <rPh sb="133" eb="134">
      <t>オク</t>
    </rPh>
    <rPh sb="136" eb="138">
      <t>バアイ</t>
    </rPh>
    <rPh sb="139" eb="142">
      <t>ホジョキン</t>
    </rPh>
    <rPh sb="143" eb="145">
      <t>シキュウ</t>
    </rPh>
    <rPh sb="146" eb="148">
      <t>デキ</t>
    </rPh>
    <rPh sb="162" eb="164">
      <t>チュウイ</t>
    </rPh>
    <phoneticPr fontId="1"/>
  </si>
  <si>
    <t xml:space="preserve"> </t>
  </si>
  <si>
    <t>〒260-0026　千葉県千葉市中央区千葉港１－１　高層棟8階</t>
    <phoneticPr fontId="1"/>
  </si>
  <si>
    <t>オンジュソリール保育園　海浜幕張国際大通り</t>
  </si>
  <si>
    <t>令和５年１０月</t>
    <rPh sb="0" eb="2">
      <t>レイワ</t>
    </rPh>
    <rPh sb="3" eb="4">
      <t>ネン</t>
    </rPh>
    <rPh sb="6" eb="7">
      <t>ガツ</t>
    </rPh>
    <phoneticPr fontId="1"/>
  </si>
  <si>
    <r>
      <t>（画面上では黄色）の部分のうち、</t>
    </r>
    <r>
      <rPr>
        <b/>
        <u val="double"/>
        <sz val="16"/>
        <color rgb="FFFF0000"/>
        <rFont val="HG丸ｺﾞｼｯｸM-PRO"/>
        <family val="3"/>
        <charset val="128"/>
      </rPr>
      <t>「4月～９月分」</t>
    </r>
    <r>
      <rPr>
        <sz val="14"/>
        <rFont val="HG丸ｺﾞｼｯｸM-PRO"/>
        <family val="3"/>
        <charset val="128"/>
      </rPr>
      <t>入力をお願いします。</t>
    </r>
    <rPh sb="1" eb="4">
      <t>ガメンジョウ</t>
    </rPh>
    <rPh sb="6" eb="8">
      <t>キイロ</t>
    </rPh>
    <rPh sb="10" eb="12">
      <t>ブブン</t>
    </rPh>
    <rPh sb="18" eb="19">
      <t>ガツ</t>
    </rPh>
    <rPh sb="21" eb="23">
      <t>ガツブン</t>
    </rPh>
    <rPh sb="24" eb="26">
      <t>ニュウリョク</t>
    </rPh>
    <rPh sb="28" eb="29">
      <t>ネガ</t>
    </rPh>
    <phoneticPr fontId="15"/>
  </si>
  <si>
    <r>
      <t>※該当箇所につきまして、いずれも</t>
    </r>
    <r>
      <rPr>
        <u/>
        <sz val="16"/>
        <color rgb="FFFF0000"/>
        <rFont val="HGP創英角ﾎﾟｯﾌﾟ体"/>
        <family val="3"/>
        <charset val="128"/>
      </rPr>
      <t>入力日時点</t>
    </r>
    <r>
      <rPr>
        <sz val="12"/>
        <color rgb="FFFF0000"/>
        <rFont val="HGP創英角ﾎﾟｯﾌﾟ体"/>
        <family val="3"/>
        <charset val="128"/>
      </rPr>
      <t>の状況をご記載ください。</t>
    </r>
    <rPh sb="1" eb="3">
      <t>ガイトウ</t>
    </rPh>
    <rPh sb="3" eb="5">
      <t>カショ</t>
    </rPh>
    <rPh sb="16" eb="18">
      <t>ニュウリョク</t>
    </rPh>
    <rPh sb="18" eb="19">
      <t>ビ</t>
    </rPh>
    <rPh sb="19" eb="21">
      <t>ジテン</t>
    </rPh>
    <rPh sb="22" eb="24">
      <t>ジョウキョウ</t>
    </rPh>
    <rPh sb="26" eb="28">
      <t>キサイ</t>
    </rPh>
    <phoneticPr fontId="1"/>
  </si>
  <si>
    <t>２　提出期限</t>
    <rPh sb="2" eb="4">
      <t>テイシュツ</t>
    </rPh>
    <rPh sb="4" eb="6">
      <t>キゲン</t>
    </rPh>
    <phoneticPr fontId="1"/>
  </si>
  <si>
    <t>　　　　　　↓　　幼保運営課職員が内容を確認し、各園の皆様へご連絡</t>
    <rPh sb="9" eb="14">
      <t>ヨウホ</t>
    </rPh>
    <rPh sb="14" eb="16">
      <t>ショクイン</t>
    </rPh>
    <rPh sb="17" eb="19">
      <t>ナイヨウ</t>
    </rPh>
    <rPh sb="20" eb="22">
      <t>カクニン</t>
    </rPh>
    <rPh sb="24" eb="25">
      <t>カク</t>
    </rPh>
    <rPh sb="25" eb="26">
      <t>エン</t>
    </rPh>
    <rPh sb="27" eb="29">
      <t>ミナサマ</t>
    </rPh>
    <rPh sb="31" eb="33">
      <t>レンラク</t>
    </rPh>
    <phoneticPr fontId="1"/>
  </si>
  <si>
    <r>
      <t>　※紙提出の際は、Excel内のすべてのシートを印刷し、様式１号に
　　</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14" eb="15">
      <t>ナイ</t>
    </rPh>
    <rPh sb="24" eb="26">
      <t>インサツ</t>
    </rPh>
    <rPh sb="28" eb="30">
      <t>ヨウシキ</t>
    </rPh>
    <rPh sb="31" eb="32">
      <t>ゴウ</t>
    </rPh>
    <rPh sb="36" eb="38">
      <t>ダイヒョウ</t>
    </rPh>
    <rPh sb="38" eb="39">
      <t>シャ</t>
    </rPh>
    <rPh sb="39" eb="40">
      <t>イン</t>
    </rPh>
    <rPh sb="41" eb="43">
      <t>オウイン</t>
    </rPh>
    <rPh sb="48" eb="50">
      <t>テイシュツ</t>
    </rPh>
    <phoneticPr fontId="1"/>
  </si>
  <si>
    <t>助成第１班　渋谷</t>
    <phoneticPr fontId="1"/>
  </si>
  <si>
    <t>全ての補助有</t>
  </si>
  <si>
    <t>　　令和５年１１月１０日（金）　　　</t>
    <rPh sb="2" eb="4">
      <t>レイワ</t>
    </rPh>
    <rPh sb="5" eb="6">
      <t>ネン</t>
    </rPh>
    <rPh sb="8" eb="9">
      <t>ガツ</t>
    </rPh>
    <rPh sb="11" eb="12">
      <t>ニチ</t>
    </rPh>
    <rPh sb="13" eb="14">
      <t>キン</t>
    </rPh>
    <phoneticPr fontId="1"/>
  </si>
  <si>
    <t>一般型・余裕活用型・-</t>
    <rPh sb="0" eb="3">
      <t>イッパンガタ</t>
    </rPh>
    <rPh sb="4" eb="6">
      <t>ヨユウ</t>
    </rPh>
    <rPh sb="6" eb="9">
      <t>カツヨウガタ</t>
    </rPh>
    <phoneticPr fontId="2"/>
  </si>
  <si>
    <t>有・無・-</t>
    <rPh sb="0" eb="1">
      <t>アリ</t>
    </rPh>
    <rPh sb="2" eb="3">
      <t>ナシ</t>
    </rPh>
    <phoneticPr fontId="2"/>
  </si>
  <si>
    <t>数字</t>
    <rPh sb="0" eb="2">
      <t>スウジ</t>
    </rPh>
    <phoneticPr fontId="2"/>
  </si>
  <si>
    <t>一時預かり実施形態（４月）</t>
    <rPh sb="0" eb="2">
      <t>イチジ</t>
    </rPh>
    <rPh sb="2" eb="3">
      <t>アズ</t>
    </rPh>
    <rPh sb="5" eb="7">
      <t>ジッシ</t>
    </rPh>
    <rPh sb="7" eb="9">
      <t>ケイタイ</t>
    </rPh>
    <rPh sb="11" eb="12">
      <t>ガツ</t>
    </rPh>
    <phoneticPr fontId="2"/>
  </si>
  <si>
    <t>一時預かり実施形態（５月）</t>
    <rPh sb="0" eb="2">
      <t>イチジ</t>
    </rPh>
    <rPh sb="2" eb="3">
      <t>アズ</t>
    </rPh>
    <rPh sb="5" eb="7">
      <t>ジッシ</t>
    </rPh>
    <rPh sb="7" eb="9">
      <t>ケイタイ</t>
    </rPh>
    <rPh sb="11" eb="12">
      <t>ガツ</t>
    </rPh>
    <phoneticPr fontId="2"/>
  </si>
  <si>
    <t>一時預かり実施形態（６月）</t>
    <rPh sb="0" eb="2">
      <t>イチジ</t>
    </rPh>
    <rPh sb="2" eb="3">
      <t>アズ</t>
    </rPh>
    <rPh sb="5" eb="7">
      <t>ジッシ</t>
    </rPh>
    <rPh sb="7" eb="9">
      <t>ケイタイ</t>
    </rPh>
    <rPh sb="11" eb="12">
      <t>ガツ</t>
    </rPh>
    <phoneticPr fontId="2"/>
  </si>
  <si>
    <t>一時預かり実施形態（７月）</t>
    <rPh sb="0" eb="2">
      <t>イチジ</t>
    </rPh>
    <rPh sb="2" eb="3">
      <t>アズ</t>
    </rPh>
    <rPh sb="5" eb="7">
      <t>ジッシ</t>
    </rPh>
    <rPh sb="7" eb="9">
      <t>ケイタイ</t>
    </rPh>
    <rPh sb="11" eb="12">
      <t>ガツ</t>
    </rPh>
    <phoneticPr fontId="2"/>
  </si>
  <si>
    <t>一時預かり実施形態（８月）</t>
    <rPh sb="0" eb="2">
      <t>イチジ</t>
    </rPh>
    <rPh sb="2" eb="3">
      <t>アズ</t>
    </rPh>
    <rPh sb="5" eb="7">
      <t>ジッシ</t>
    </rPh>
    <rPh sb="7" eb="9">
      <t>ケイタイ</t>
    </rPh>
    <rPh sb="11" eb="12">
      <t>ガツ</t>
    </rPh>
    <phoneticPr fontId="2"/>
  </si>
  <si>
    <t>一時預かり実施形態（９月）</t>
    <rPh sb="0" eb="2">
      <t>イチジ</t>
    </rPh>
    <rPh sb="2" eb="3">
      <t>アズ</t>
    </rPh>
    <rPh sb="5" eb="7">
      <t>ジッシ</t>
    </rPh>
    <rPh sb="7" eb="9">
      <t>ケイタイ</t>
    </rPh>
    <rPh sb="11" eb="12">
      <t>ガツ</t>
    </rPh>
    <phoneticPr fontId="2"/>
  </si>
  <si>
    <t>一時預かり実施形態（１０月）</t>
    <rPh sb="0" eb="2">
      <t>イチジ</t>
    </rPh>
    <rPh sb="2" eb="3">
      <t>アズ</t>
    </rPh>
    <rPh sb="5" eb="7">
      <t>ジッシ</t>
    </rPh>
    <rPh sb="7" eb="9">
      <t>ケイタイ</t>
    </rPh>
    <rPh sb="12" eb="13">
      <t>ガツ</t>
    </rPh>
    <phoneticPr fontId="2"/>
  </si>
  <si>
    <t>一時預かり実施形態（１１月）</t>
    <rPh sb="0" eb="2">
      <t>イチジ</t>
    </rPh>
    <rPh sb="2" eb="3">
      <t>アズ</t>
    </rPh>
    <rPh sb="5" eb="7">
      <t>ジッシ</t>
    </rPh>
    <rPh sb="7" eb="9">
      <t>ケイタイ</t>
    </rPh>
    <rPh sb="12" eb="13">
      <t>ガツ</t>
    </rPh>
    <phoneticPr fontId="2"/>
  </si>
  <si>
    <t>一時預かり実施形態（１２月）</t>
    <rPh sb="0" eb="2">
      <t>イチジ</t>
    </rPh>
    <rPh sb="2" eb="3">
      <t>アズ</t>
    </rPh>
    <rPh sb="5" eb="7">
      <t>ジッシ</t>
    </rPh>
    <rPh sb="7" eb="9">
      <t>ケイタイ</t>
    </rPh>
    <rPh sb="12" eb="13">
      <t>ガツ</t>
    </rPh>
    <phoneticPr fontId="2"/>
  </si>
  <si>
    <t>一時預かり実施形態（１月）</t>
    <rPh sb="0" eb="2">
      <t>イチジ</t>
    </rPh>
    <rPh sb="2" eb="3">
      <t>アズ</t>
    </rPh>
    <rPh sb="5" eb="7">
      <t>ジッシ</t>
    </rPh>
    <rPh sb="7" eb="9">
      <t>ケイタイ</t>
    </rPh>
    <rPh sb="11" eb="12">
      <t>ガツ</t>
    </rPh>
    <phoneticPr fontId="2"/>
  </si>
  <si>
    <t>一時預かり実施形態（２月）</t>
    <rPh sb="0" eb="2">
      <t>イチジ</t>
    </rPh>
    <rPh sb="2" eb="3">
      <t>アズ</t>
    </rPh>
    <rPh sb="5" eb="7">
      <t>ジッシ</t>
    </rPh>
    <rPh sb="7" eb="9">
      <t>ケイタイ</t>
    </rPh>
    <rPh sb="11" eb="12">
      <t>ガツ</t>
    </rPh>
    <phoneticPr fontId="2"/>
  </si>
  <si>
    <t>一時預かり実施形態（３月）</t>
    <rPh sb="0" eb="2">
      <t>イチジ</t>
    </rPh>
    <rPh sb="2" eb="3">
      <t>アズ</t>
    </rPh>
    <rPh sb="5" eb="7">
      <t>ジッシ</t>
    </rPh>
    <rPh sb="7" eb="9">
      <t>ケイタイ</t>
    </rPh>
    <rPh sb="11" eb="12">
      <t>ガツ</t>
    </rPh>
    <phoneticPr fontId="2"/>
  </si>
  <si>
    <t>1人加配の適用（一般型のみ・４月）</t>
    <rPh sb="1" eb="2">
      <t>ニン</t>
    </rPh>
    <rPh sb="2" eb="4">
      <t>カハイ</t>
    </rPh>
    <rPh sb="5" eb="7">
      <t>テキヨウ</t>
    </rPh>
    <rPh sb="8" eb="11">
      <t>イッパンガタ</t>
    </rPh>
    <rPh sb="15" eb="16">
      <t>ガツ</t>
    </rPh>
    <phoneticPr fontId="2"/>
  </si>
  <si>
    <t>1人加配の適用（一般型のみ・５月）</t>
    <rPh sb="1" eb="2">
      <t>ニン</t>
    </rPh>
    <rPh sb="2" eb="4">
      <t>カハイ</t>
    </rPh>
    <rPh sb="5" eb="7">
      <t>テキヨウ</t>
    </rPh>
    <rPh sb="8" eb="11">
      <t>イッパンガタ</t>
    </rPh>
    <rPh sb="15" eb="16">
      <t>ガツ</t>
    </rPh>
    <phoneticPr fontId="2"/>
  </si>
  <si>
    <t>1人加配の適用（一般型のみ・６月）</t>
    <rPh sb="1" eb="2">
      <t>ニン</t>
    </rPh>
    <rPh sb="2" eb="4">
      <t>カハイ</t>
    </rPh>
    <rPh sb="5" eb="7">
      <t>テキヨウ</t>
    </rPh>
    <rPh sb="8" eb="11">
      <t>イッパンガタ</t>
    </rPh>
    <rPh sb="15" eb="16">
      <t>ガツ</t>
    </rPh>
    <phoneticPr fontId="2"/>
  </si>
  <si>
    <t>1人加配の適用（一般型のみ・７月）</t>
    <rPh sb="1" eb="2">
      <t>ニン</t>
    </rPh>
    <rPh sb="2" eb="4">
      <t>カハイ</t>
    </rPh>
    <rPh sb="5" eb="7">
      <t>テキヨウ</t>
    </rPh>
    <rPh sb="8" eb="11">
      <t>イッパンガタ</t>
    </rPh>
    <rPh sb="15" eb="16">
      <t>ガツ</t>
    </rPh>
    <phoneticPr fontId="2"/>
  </si>
  <si>
    <t>1人加配の適用（一般型のみ・８月）</t>
    <rPh sb="1" eb="2">
      <t>ニン</t>
    </rPh>
    <rPh sb="2" eb="4">
      <t>カハイ</t>
    </rPh>
    <rPh sb="5" eb="7">
      <t>テキヨウ</t>
    </rPh>
    <rPh sb="8" eb="11">
      <t>イッパンガタ</t>
    </rPh>
    <rPh sb="15" eb="16">
      <t>ガツ</t>
    </rPh>
    <phoneticPr fontId="2"/>
  </si>
  <si>
    <t>1人加配の適用（一般型のみ・９月）</t>
    <rPh sb="1" eb="2">
      <t>ニン</t>
    </rPh>
    <rPh sb="2" eb="4">
      <t>カハイ</t>
    </rPh>
    <rPh sb="5" eb="7">
      <t>テキヨウ</t>
    </rPh>
    <rPh sb="8" eb="11">
      <t>イッパンガタ</t>
    </rPh>
    <rPh sb="15" eb="16">
      <t>ガツ</t>
    </rPh>
    <phoneticPr fontId="2"/>
  </si>
  <si>
    <t>1人加配の適用（一般型のみ・１０月）</t>
    <rPh sb="1" eb="2">
      <t>ニン</t>
    </rPh>
    <rPh sb="2" eb="4">
      <t>カハイ</t>
    </rPh>
    <rPh sb="5" eb="7">
      <t>テキヨウ</t>
    </rPh>
    <rPh sb="8" eb="11">
      <t>イッパンガタ</t>
    </rPh>
    <rPh sb="16" eb="17">
      <t>ガツ</t>
    </rPh>
    <phoneticPr fontId="2"/>
  </si>
  <si>
    <t>1人加配の適用（一般型のみ・１１月）</t>
    <rPh sb="1" eb="2">
      <t>ニン</t>
    </rPh>
    <rPh sb="2" eb="4">
      <t>カハイ</t>
    </rPh>
    <rPh sb="5" eb="7">
      <t>テキヨウ</t>
    </rPh>
    <rPh sb="8" eb="11">
      <t>イッパンガタ</t>
    </rPh>
    <rPh sb="16" eb="17">
      <t>ガツ</t>
    </rPh>
    <phoneticPr fontId="2"/>
  </si>
  <si>
    <t>1人加配の適用（一般型のみ・１２月）</t>
    <rPh sb="1" eb="2">
      <t>ニン</t>
    </rPh>
    <rPh sb="2" eb="4">
      <t>カハイ</t>
    </rPh>
    <rPh sb="5" eb="7">
      <t>テキヨウ</t>
    </rPh>
    <rPh sb="8" eb="11">
      <t>イッパンガタ</t>
    </rPh>
    <rPh sb="16" eb="17">
      <t>ガツ</t>
    </rPh>
    <phoneticPr fontId="2"/>
  </si>
  <si>
    <t>1人加配の適用（一般型のみ・１月）</t>
    <rPh sb="1" eb="2">
      <t>ニン</t>
    </rPh>
    <rPh sb="2" eb="4">
      <t>カハイ</t>
    </rPh>
    <rPh sb="5" eb="7">
      <t>テキヨウ</t>
    </rPh>
    <rPh sb="8" eb="11">
      <t>イッパンガタ</t>
    </rPh>
    <rPh sb="15" eb="16">
      <t>ガツ</t>
    </rPh>
    <phoneticPr fontId="2"/>
  </si>
  <si>
    <t>1人加配の適用（一般型のみ・２月）</t>
    <rPh sb="1" eb="2">
      <t>ニン</t>
    </rPh>
    <rPh sb="2" eb="4">
      <t>カハイ</t>
    </rPh>
    <rPh sb="5" eb="7">
      <t>テキヨウ</t>
    </rPh>
    <rPh sb="8" eb="11">
      <t>イッパンガタ</t>
    </rPh>
    <rPh sb="15" eb="16">
      <t>ガツ</t>
    </rPh>
    <phoneticPr fontId="2"/>
  </si>
  <si>
    <t>1人加配の適用（一般型のみ・３月）</t>
    <rPh sb="1" eb="2">
      <t>ニン</t>
    </rPh>
    <rPh sb="2" eb="4">
      <t>カハイ</t>
    </rPh>
    <rPh sb="5" eb="7">
      <t>テキヨウ</t>
    </rPh>
    <rPh sb="8" eb="11">
      <t>イッパンガタ</t>
    </rPh>
    <rPh sb="15" eb="16">
      <t>ガツ</t>
    </rPh>
    <phoneticPr fontId="2"/>
  </si>
  <si>
    <t>市要配慮(保育士)加配数
(4月）</t>
    <rPh sb="0" eb="1">
      <t>シ</t>
    </rPh>
    <rPh sb="1" eb="2">
      <t>ヨウ</t>
    </rPh>
    <rPh sb="2" eb="4">
      <t>ハイリョ</t>
    </rPh>
    <rPh sb="5" eb="8">
      <t>ホイクシ</t>
    </rPh>
    <rPh sb="9" eb="11">
      <t>カハイ</t>
    </rPh>
    <rPh sb="11" eb="12">
      <t>スウ</t>
    </rPh>
    <rPh sb="15" eb="16">
      <t>ガツ</t>
    </rPh>
    <phoneticPr fontId="2"/>
  </si>
  <si>
    <t>市要配慮(保育士)加配数
(5月）</t>
    <rPh sb="0" eb="1">
      <t>シ</t>
    </rPh>
    <rPh sb="1" eb="2">
      <t>ヨウ</t>
    </rPh>
    <rPh sb="2" eb="4">
      <t>ハイリョ</t>
    </rPh>
    <rPh sb="5" eb="8">
      <t>ホイクシ</t>
    </rPh>
    <rPh sb="9" eb="11">
      <t>カハイ</t>
    </rPh>
    <rPh sb="11" eb="12">
      <t>スウ</t>
    </rPh>
    <rPh sb="15" eb="16">
      <t>ガツ</t>
    </rPh>
    <phoneticPr fontId="2"/>
  </si>
  <si>
    <t>市要配慮(保育士)加配数
(6月）</t>
    <rPh sb="0" eb="1">
      <t>シ</t>
    </rPh>
    <rPh sb="1" eb="2">
      <t>ヨウ</t>
    </rPh>
    <rPh sb="2" eb="4">
      <t>ハイリョ</t>
    </rPh>
    <rPh sb="5" eb="8">
      <t>ホイクシ</t>
    </rPh>
    <rPh sb="9" eb="11">
      <t>カハイ</t>
    </rPh>
    <rPh sb="11" eb="12">
      <t>スウ</t>
    </rPh>
    <rPh sb="15" eb="16">
      <t>ガツ</t>
    </rPh>
    <phoneticPr fontId="2"/>
  </si>
  <si>
    <t>市要配慮(保育士)加配数
(7月）</t>
    <rPh sb="0" eb="1">
      <t>シ</t>
    </rPh>
    <rPh sb="1" eb="2">
      <t>ヨウ</t>
    </rPh>
    <rPh sb="2" eb="4">
      <t>ハイリョ</t>
    </rPh>
    <rPh sb="5" eb="8">
      <t>ホイクシ</t>
    </rPh>
    <rPh sb="9" eb="11">
      <t>カハイ</t>
    </rPh>
    <rPh sb="11" eb="12">
      <t>スウ</t>
    </rPh>
    <rPh sb="15" eb="16">
      <t>ガツ</t>
    </rPh>
    <phoneticPr fontId="2"/>
  </si>
  <si>
    <t>市要配慮(保育士)加配数
(8月）</t>
    <rPh sb="0" eb="1">
      <t>シ</t>
    </rPh>
    <rPh sb="1" eb="2">
      <t>ヨウ</t>
    </rPh>
    <rPh sb="2" eb="4">
      <t>ハイリョ</t>
    </rPh>
    <rPh sb="5" eb="8">
      <t>ホイクシ</t>
    </rPh>
    <rPh sb="9" eb="11">
      <t>カハイ</t>
    </rPh>
    <rPh sb="11" eb="12">
      <t>スウ</t>
    </rPh>
    <rPh sb="15" eb="16">
      <t>ガツ</t>
    </rPh>
    <phoneticPr fontId="2"/>
  </si>
  <si>
    <t>市要配慮(保育士)加配数
(9月）</t>
    <rPh sb="0" eb="1">
      <t>シ</t>
    </rPh>
    <rPh sb="1" eb="2">
      <t>ヨウ</t>
    </rPh>
    <rPh sb="2" eb="4">
      <t>ハイリョ</t>
    </rPh>
    <rPh sb="5" eb="8">
      <t>ホイクシ</t>
    </rPh>
    <rPh sb="9" eb="11">
      <t>カハイ</t>
    </rPh>
    <rPh sb="11" eb="12">
      <t>スウ</t>
    </rPh>
    <rPh sb="15" eb="16">
      <t>ガツ</t>
    </rPh>
    <phoneticPr fontId="2"/>
  </si>
  <si>
    <t>市要配慮(保育士)加配数
(10月）</t>
    <rPh sb="0" eb="1">
      <t>シ</t>
    </rPh>
    <rPh sb="1" eb="2">
      <t>ヨウ</t>
    </rPh>
    <rPh sb="2" eb="4">
      <t>ハイリョ</t>
    </rPh>
    <rPh sb="5" eb="8">
      <t>ホイクシ</t>
    </rPh>
    <rPh sb="9" eb="11">
      <t>カハイ</t>
    </rPh>
    <rPh sb="11" eb="12">
      <t>スウ</t>
    </rPh>
    <rPh sb="16" eb="17">
      <t>ガツ</t>
    </rPh>
    <phoneticPr fontId="2"/>
  </si>
  <si>
    <t>市要配慮(保育士)加配数
(11月）</t>
    <rPh sb="0" eb="1">
      <t>シ</t>
    </rPh>
    <rPh sb="1" eb="2">
      <t>ヨウ</t>
    </rPh>
    <rPh sb="2" eb="4">
      <t>ハイリョ</t>
    </rPh>
    <rPh sb="5" eb="8">
      <t>ホイクシ</t>
    </rPh>
    <rPh sb="9" eb="11">
      <t>カハイ</t>
    </rPh>
    <rPh sb="11" eb="12">
      <t>スウ</t>
    </rPh>
    <rPh sb="16" eb="17">
      <t>ガツ</t>
    </rPh>
    <phoneticPr fontId="2"/>
  </si>
  <si>
    <t>市要配慮(保育士)加配数
(12月）</t>
    <rPh sb="0" eb="1">
      <t>シ</t>
    </rPh>
    <rPh sb="1" eb="2">
      <t>ヨウ</t>
    </rPh>
    <rPh sb="2" eb="4">
      <t>ハイリョ</t>
    </rPh>
    <rPh sb="5" eb="8">
      <t>ホイクシ</t>
    </rPh>
    <rPh sb="9" eb="11">
      <t>カハイ</t>
    </rPh>
    <rPh sb="11" eb="12">
      <t>スウ</t>
    </rPh>
    <rPh sb="16" eb="17">
      <t>ガツ</t>
    </rPh>
    <phoneticPr fontId="2"/>
  </si>
  <si>
    <t>市要配慮(保育士)加配数
(1月）</t>
    <rPh sb="0" eb="1">
      <t>シ</t>
    </rPh>
    <rPh sb="1" eb="2">
      <t>ヨウ</t>
    </rPh>
    <rPh sb="2" eb="4">
      <t>ハイリョ</t>
    </rPh>
    <rPh sb="5" eb="8">
      <t>ホイクシ</t>
    </rPh>
    <rPh sb="9" eb="11">
      <t>カハイ</t>
    </rPh>
    <rPh sb="11" eb="12">
      <t>スウ</t>
    </rPh>
    <rPh sb="15" eb="16">
      <t>ガツ</t>
    </rPh>
    <phoneticPr fontId="2"/>
  </si>
  <si>
    <t>市要配慮(保育士)加配数
(2月）</t>
    <rPh sb="0" eb="1">
      <t>シ</t>
    </rPh>
    <rPh sb="1" eb="2">
      <t>ヨウ</t>
    </rPh>
    <rPh sb="2" eb="4">
      <t>ハイリョ</t>
    </rPh>
    <rPh sb="5" eb="8">
      <t>ホイクシ</t>
    </rPh>
    <rPh sb="9" eb="11">
      <t>カハイ</t>
    </rPh>
    <rPh sb="11" eb="12">
      <t>スウ</t>
    </rPh>
    <rPh sb="15" eb="16">
      <t>ガツ</t>
    </rPh>
    <phoneticPr fontId="2"/>
  </si>
  <si>
    <t>市要配慮(保育士)加配数
(3月）</t>
    <rPh sb="0" eb="1">
      <t>シ</t>
    </rPh>
    <rPh sb="1" eb="2">
      <t>ヨウ</t>
    </rPh>
    <rPh sb="2" eb="4">
      <t>ハイリョ</t>
    </rPh>
    <rPh sb="5" eb="8">
      <t>ホイクシ</t>
    </rPh>
    <rPh sb="9" eb="11">
      <t>カハイ</t>
    </rPh>
    <rPh sb="11" eb="12">
      <t>スウ</t>
    </rPh>
    <rPh sb="15" eb="16">
      <t>ガツ</t>
    </rPh>
    <phoneticPr fontId="2"/>
  </si>
  <si>
    <t>余裕活用型</t>
    <rPh sb="0" eb="2">
      <t>ヨユウ</t>
    </rPh>
    <rPh sb="2" eb="5">
      <t>カツヨウガタ</t>
    </rPh>
    <phoneticPr fontId="2"/>
  </si>
  <si>
    <t>一般型</t>
    <rPh sb="0" eb="3">
      <t>イッパンガタ</t>
    </rPh>
    <phoneticPr fontId="2"/>
  </si>
  <si>
    <t>有</t>
    <rPh sb="0" eb="1">
      <t>アリ</t>
    </rPh>
    <phoneticPr fontId="2"/>
  </si>
  <si>
    <t>無</t>
    <rPh sb="0" eb="1">
      <t>ナシ</t>
    </rPh>
    <phoneticPr fontId="2"/>
  </si>
  <si>
    <t>有・無</t>
    <rPh sb="0" eb="1">
      <t>アリ</t>
    </rPh>
    <rPh sb="2" eb="3">
      <t>ナシ</t>
    </rPh>
    <phoneticPr fontId="2"/>
  </si>
  <si>
    <t>増員・賃金改善・-</t>
    <rPh sb="0" eb="2">
      <t>ゾウイン</t>
    </rPh>
    <rPh sb="3" eb="5">
      <t>チンギン</t>
    </rPh>
    <rPh sb="5" eb="7">
      <t>カイゼン</t>
    </rPh>
    <phoneticPr fontId="2"/>
  </si>
  <si>
    <t>配置・兼務・嘱託</t>
    <rPh sb="0" eb="2">
      <t>ハイチ</t>
    </rPh>
    <rPh sb="3" eb="5">
      <t>ケンム</t>
    </rPh>
    <rPh sb="6" eb="8">
      <t>ショクタク</t>
    </rPh>
    <phoneticPr fontId="2"/>
  </si>
  <si>
    <t>医ケア児童数
(4月）</t>
    <rPh sb="0" eb="1">
      <t>イ</t>
    </rPh>
    <rPh sb="3" eb="5">
      <t>ジドウ</t>
    </rPh>
    <rPh sb="5" eb="6">
      <t>スウ</t>
    </rPh>
    <phoneticPr fontId="2"/>
  </si>
  <si>
    <t>医ケア児童数
(5月）</t>
    <rPh sb="0" eb="1">
      <t>イ</t>
    </rPh>
    <rPh sb="3" eb="5">
      <t>ジドウ</t>
    </rPh>
    <rPh sb="5" eb="6">
      <t>スウ</t>
    </rPh>
    <phoneticPr fontId="2"/>
  </si>
  <si>
    <t>医ケア児童数
(6月）</t>
    <rPh sb="0" eb="1">
      <t>イ</t>
    </rPh>
    <rPh sb="3" eb="5">
      <t>ジドウ</t>
    </rPh>
    <rPh sb="5" eb="6">
      <t>スウ</t>
    </rPh>
    <phoneticPr fontId="2"/>
  </si>
  <si>
    <t>医ケア児童数
(7月）</t>
    <rPh sb="0" eb="1">
      <t>イ</t>
    </rPh>
    <rPh sb="3" eb="5">
      <t>ジドウ</t>
    </rPh>
    <rPh sb="5" eb="6">
      <t>スウ</t>
    </rPh>
    <phoneticPr fontId="2"/>
  </si>
  <si>
    <t>医ケア児童数
(8月）</t>
    <rPh sb="0" eb="1">
      <t>イ</t>
    </rPh>
    <rPh sb="3" eb="5">
      <t>ジドウ</t>
    </rPh>
    <rPh sb="5" eb="6">
      <t>スウ</t>
    </rPh>
    <phoneticPr fontId="2"/>
  </si>
  <si>
    <t>医ケア児童数
(9月）</t>
    <rPh sb="0" eb="1">
      <t>イ</t>
    </rPh>
    <rPh sb="3" eb="5">
      <t>ジドウ</t>
    </rPh>
    <rPh sb="5" eb="6">
      <t>スウ</t>
    </rPh>
    <phoneticPr fontId="2"/>
  </si>
  <si>
    <t>医ケア児童数
(10月）</t>
    <rPh sb="0" eb="1">
      <t>イ</t>
    </rPh>
    <rPh sb="3" eb="5">
      <t>ジドウ</t>
    </rPh>
    <rPh sb="5" eb="6">
      <t>スウ</t>
    </rPh>
    <rPh sb="10" eb="11">
      <t>ガツ</t>
    </rPh>
    <phoneticPr fontId="2"/>
  </si>
  <si>
    <t>医ケア児童数
(11月）</t>
    <rPh sb="0" eb="1">
      <t>イ</t>
    </rPh>
    <rPh sb="3" eb="5">
      <t>ジドウ</t>
    </rPh>
    <rPh sb="5" eb="6">
      <t>スウ</t>
    </rPh>
    <rPh sb="10" eb="11">
      <t>ガツ</t>
    </rPh>
    <phoneticPr fontId="2"/>
  </si>
  <si>
    <t>医ケア児童数
(12月）</t>
    <rPh sb="0" eb="1">
      <t>イ</t>
    </rPh>
    <rPh sb="3" eb="5">
      <t>ジドウ</t>
    </rPh>
    <rPh sb="5" eb="6">
      <t>スウ</t>
    </rPh>
    <rPh sb="10" eb="11">
      <t>ガツ</t>
    </rPh>
    <phoneticPr fontId="2"/>
  </si>
  <si>
    <t>医ケア児童数
(1月）</t>
    <rPh sb="0" eb="1">
      <t>イ</t>
    </rPh>
    <rPh sb="3" eb="5">
      <t>ジドウ</t>
    </rPh>
    <rPh sb="5" eb="6">
      <t>スウ</t>
    </rPh>
    <rPh sb="9" eb="10">
      <t>ガツ</t>
    </rPh>
    <phoneticPr fontId="2"/>
  </si>
  <si>
    <t>医ケア児童数
(2月）</t>
    <rPh sb="0" eb="1">
      <t>イ</t>
    </rPh>
    <rPh sb="3" eb="5">
      <t>ジドウ</t>
    </rPh>
    <rPh sb="5" eb="6">
      <t>スウ</t>
    </rPh>
    <rPh sb="9" eb="10">
      <t>ガツ</t>
    </rPh>
    <phoneticPr fontId="2"/>
  </si>
  <si>
    <t>医ケア児童数
(3月）</t>
    <rPh sb="0" eb="1">
      <t>イ</t>
    </rPh>
    <rPh sb="3" eb="5">
      <t>ジドウ</t>
    </rPh>
    <rPh sb="5" eb="6">
      <t>スウ</t>
    </rPh>
    <rPh sb="9" eb="10">
      <t>ガツ</t>
    </rPh>
    <phoneticPr fontId="2"/>
  </si>
  <si>
    <t>地域子育て支援センター実施</t>
    <rPh sb="0" eb="2">
      <t>チイキ</t>
    </rPh>
    <rPh sb="2" eb="4">
      <t>コソダ</t>
    </rPh>
    <rPh sb="5" eb="7">
      <t>シエン</t>
    </rPh>
    <rPh sb="11" eb="13">
      <t>ジッシ</t>
    </rPh>
    <phoneticPr fontId="2"/>
  </si>
  <si>
    <t>高齢者等活躍促進加算該当者数</t>
    <rPh sb="0" eb="3">
      <t>コウレイシャ</t>
    </rPh>
    <rPh sb="3" eb="4">
      <t>トウ</t>
    </rPh>
    <rPh sb="4" eb="6">
      <t>カツヤク</t>
    </rPh>
    <rPh sb="6" eb="8">
      <t>ソクシン</t>
    </rPh>
    <rPh sb="8" eb="10">
      <t>カサン</t>
    </rPh>
    <rPh sb="10" eb="12">
      <t>ガイトウ</t>
    </rPh>
    <rPh sb="12" eb="13">
      <t>シャ</t>
    </rPh>
    <rPh sb="13" eb="14">
      <t>スウ</t>
    </rPh>
    <phoneticPr fontId="2"/>
  </si>
  <si>
    <t>主任保育士加算適用
（4月）</t>
    <rPh sb="0" eb="2">
      <t>シュニン</t>
    </rPh>
    <rPh sb="2" eb="5">
      <t>ホイクシ</t>
    </rPh>
    <rPh sb="5" eb="7">
      <t>カサン</t>
    </rPh>
    <rPh sb="7" eb="9">
      <t>テキヨウ</t>
    </rPh>
    <rPh sb="12" eb="13">
      <t>ガツ</t>
    </rPh>
    <phoneticPr fontId="2"/>
  </si>
  <si>
    <t>主任保育士加算適用
（5月）</t>
    <rPh sb="0" eb="2">
      <t>シュニン</t>
    </rPh>
    <rPh sb="2" eb="5">
      <t>ホイクシ</t>
    </rPh>
    <rPh sb="5" eb="7">
      <t>カサン</t>
    </rPh>
    <rPh sb="7" eb="9">
      <t>テキヨウ</t>
    </rPh>
    <rPh sb="12" eb="13">
      <t>ガツ</t>
    </rPh>
    <phoneticPr fontId="2"/>
  </si>
  <si>
    <t>主任保育士加算適用
（6月）</t>
    <rPh sb="0" eb="2">
      <t>シュニン</t>
    </rPh>
    <rPh sb="2" eb="5">
      <t>ホイクシ</t>
    </rPh>
    <rPh sb="5" eb="7">
      <t>カサン</t>
    </rPh>
    <rPh sb="7" eb="9">
      <t>テキヨウ</t>
    </rPh>
    <rPh sb="12" eb="13">
      <t>ガツ</t>
    </rPh>
    <phoneticPr fontId="2"/>
  </si>
  <si>
    <t>主任保育士加算適用
（7月）</t>
    <rPh sb="0" eb="2">
      <t>シュニン</t>
    </rPh>
    <rPh sb="2" eb="5">
      <t>ホイクシ</t>
    </rPh>
    <rPh sb="5" eb="7">
      <t>カサン</t>
    </rPh>
    <rPh sb="7" eb="9">
      <t>テキヨウ</t>
    </rPh>
    <rPh sb="12" eb="13">
      <t>ガツ</t>
    </rPh>
    <phoneticPr fontId="2"/>
  </si>
  <si>
    <t>主任保育士加算適用
（8月）</t>
    <rPh sb="0" eb="2">
      <t>シュニン</t>
    </rPh>
    <rPh sb="2" eb="5">
      <t>ホイクシ</t>
    </rPh>
    <rPh sb="5" eb="7">
      <t>カサン</t>
    </rPh>
    <rPh sb="7" eb="9">
      <t>テキヨウ</t>
    </rPh>
    <rPh sb="12" eb="13">
      <t>ガツ</t>
    </rPh>
    <phoneticPr fontId="2"/>
  </si>
  <si>
    <t>主任保育士加算適用
（9月）</t>
    <rPh sb="0" eb="2">
      <t>シュニン</t>
    </rPh>
    <rPh sb="2" eb="5">
      <t>ホイクシ</t>
    </rPh>
    <rPh sb="5" eb="7">
      <t>カサン</t>
    </rPh>
    <rPh sb="7" eb="9">
      <t>テキヨウ</t>
    </rPh>
    <rPh sb="12" eb="13">
      <t>ガツ</t>
    </rPh>
    <phoneticPr fontId="2"/>
  </si>
  <si>
    <t>主任保育士加算適用
（10月）</t>
    <rPh sb="0" eb="2">
      <t>シュニン</t>
    </rPh>
    <rPh sb="2" eb="5">
      <t>ホイクシ</t>
    </rPh>
    <rPh sb="5" eb="7">
      <t>カサン</t>
    </rPh>
    <rPh sb="7" eb="9">
      <t>テキヨウ</t>
    </rPh>
    <rPh sb="13" eb="14">
      <t>ガツ</t>
    </rPh>
    <phoneticPr fontId="2"/>
  </si>
  <si>
    <t>主任保育士加算適用
（11月）</t>
    <rPh sb="0" eb="2">
      <t>シュニン</t>
    </rPh>
    <rPh sb="2" eb="5">
      <t>ホイクシ</t>
    </rPh>
    <rPh sb="5" eb="7">
      <t>カサン</t>
    </rPh>
    <rPh sb="7" eb="9">
      <t>テキヨウ</t>
    </rPh>
    <rPh sb="13" eb="14">
      <t>ガツ</t>
    </rPh>
    <phoneticPr fontId="2"/>
  </si>
  <si>
    <t>主任保育士加算適用
（12月）</t>
    <rPh sb="0" eb="2">
      <t>シュニン</t>
    </rPh>
    <rPh sb="2" eb="5">
      <t>ホイクシ</t>
    </rPh>
    <rPh sb="5" eb="7">
      <t>カサン</t>
    </rPh>
    <rPh sb="7" eb="9">
      <t>テキヨウ</t>
    </rPh>
    <rPh sb="13" eb="14">
      <t>ガツ</t>
    </rPh>
    <phoneticPr fontId="2"/>
  </si>
  <si>
    <t>主任保育士加算適用
（1月）</t>
    <rPh sb="0" eb="2">
      <t>シュニン</t>
    </rPh>
    <rPh sb="2" eb="5">
      <t>ホイクシ</t>
    </rPh>
    <rPh sb="5" eb="7">
      <t>カサン</t>
    </rPh>
    <rPh sb="7" eb="9">
      <t>テキヨウ</t>
    </rPh>
    <rPh sb="12" eb="13">
      <t>ガツ</t>
    </rPh>
    <phoneticPr fontId="2"/>
  </si>
  <si>
    <t>主任保育士加算適用
（2月）</t>
    <rPh sb="0" eb="2">
      <t>シュニン</t>
    </rPh>
    <rPh sb="2" eb="5">
      <t>ホイクシ</t>
    </rPh>
    <rPh sb="5" eb="7">
      <t>カサン</t>
    </rPh>
    <rPh sb="7" eb="9">
      <t>テキヨウ</t>
    </rPh>
    <rPh sb="12" eb="13">
      <t>ガツ</t>
    </rPh>
    <phoneticPr fontId="2"/>
  </si>
  <si>
    <t>主任保育士加算適用
（3月）</t>
    <rPh sb="0" eb="2">
      <t>シュニン</t>
    </rPh>
    <rPh sb="2" eb="5">
      <t>ホイクシ</t>
    </rPh>
    <rPh sb="5" eb="7">
      <t>カサン</t>
    </rPh>
    <rPh sb="7" eb="9">
      <t>テキヨウ</t>
    </rPh>
    <rPh sb="12" eb="13">
      <t>ガツ</t>
    </rPh>
    <phoneticPr fontId="2"/>
  </si>
  <si>
    <t>チーム保育　適用内容
（4月）</t>
    <rPh sb="3" eb="5">
      <t>ホイク</t>
    </rPh>
    <rPh sb="6" eb="8">
      <t>テキヨウ</t>
    </rPh>
    <rPh sb="8" eb="10">
      <t>ナイヨウ</t>
    </rPh>
    <rPh sb="13" eb="14">
      <t>ガツ</t>
    </rPh>
    <phoneticPr fontId="2"/>
  </si>
  <si>
    <t>チーム保育　適用内容
（5月）</t>
    <rPh sb="3" eb="5">
      <t>ホイク</t>
    </rPh>
    <rPh sb="6" eb="8">
      <t>テキヨウ</t>
    </rPh>
    <rPh sb="13" eb="14">
      <t>ガツ</t>
    </rPh>
    <phoneticPr fontId="2"/>
  </si>
  <si>
    <t>チーム保育　適用内容
（6月）</t>
    <rPh sb="3" eb="5">
      <t>ホイク</t>
    </rPh>
    <rPh sb="6" eb="8">
      <t>テキヨウ</t>
    </rPh>
    <rPh sb="13" eb="14">
      <t>ガツ</t>
    </rPh>
    <phoneticPr fontId="2"/>
  </si>
  <si>
    <t>チーム保育　適用内容
（7月）</t>
    <rPh sb="3" eb="5">
      <t>ホイク</t>
    </rPh>
    <rPh sb="6" eb="8">
      <t>テキヨウ</t>
    </rPh>
    <rPh sb="13" eb="14">
      <t>ガツ</t>
    </rPh>
    <phoneticPr fontId="2"/>
  </si>
  <si>
    <t>チーム保育　適用内容
（8月）</t>
    <rPh sb="3" eb="5">
      <t>ホイク</t>
    </rPh>
    <rPh sb="6" eb="8">
      <t>テキヨウ</t>
    </rPh>
    <rPh sb="13" eb="14">
      <t>ガツ</t>
    </rPh>
    <phoneticPr fontId="2"/>
  </si>
  <si>
    <t>チーム保育　適用内容
（9月）</t>
    <rPh sb="3" eb="5">
      <t>ホイク</t>
    </rPh>
    <rPh sb="6" eb="8">
      <t>テキヨウ</t>
    </rPh>
    <rPh sb="13" eb="14">
      <t>ガツ</t>
    </rPh>
    <phoneticPr fontId="2"/>
  </si>
  <si>
    <t>チーム保育　適用内容
（10月）</t>
    <rPh sb="3" eb="5">
      <t>ホイク</t>
    </rPh>
    <rPh sb="6" eb="8">
      <t>テキヨウ</t>
    </rPh>
    <rPh sb="14" eb="15">
      <t>ガツ</t>
    </rPh>
    <phoneticPr fontId="2"/>
  </si>
  <si>
    <t>チーム保育　適用内容
（11月）</t>
    <rPh sb="3" eb="5">
      <t>ホイク</t>
    </rPh>
    <rPh sb="6" eb="8">
      <t>テキヨウ</t>
    </rPh>
    <rPh sb="14" eb="15">
      <t>ガツ</t>
    </rPh>
    <phoneticPr fontId="2"/>
  </si>
  <si>
    <t>チーム保育　適用内容
（12月）</t>
    <rPh sb="3" eb="5">
      <t>ホイク</t>
    </rPh>
    <rPh sb="6" eb="8">
      <t>テキヨウ</t>
    </rPh>
    <rPh sb="14" eb="15">
      <t>ガツ</t>
    </rPh>
    <phoneticPr fontId="2"/>
  </si>
  <si>
    <t>チーム保育　適用内容
（1月）</t>
    <rPh sb="3" eb="5">
      <t>ホイク</t>
    </rPh>
    <rPh sb="6" eb="8">
      <t>テキヨウ</t>
    </rPh>
    <rPh sb="13" eb="14">
      <t>ガツ</t>
    </rPh>
    <phoneticPr fontId="2"/>
  </si>
  <si>
    <t>チーム保育　適用内容
（2月）</t>
    <rPh sb="3" eb="5">
      <t>ホイク</t>
    </rPh>
    <rPh sb="6" eb="8">
      <t>テキヨウ</t>
    </rPh>
    <rPh sb="13" eb="14">
      <t>ガツ</t>
    </rPh>
    <phoneticPr fontId="2"/>
  </si>
  <si>
    <t>チーム保育　適用内容
（3月）</t>
    <rPh sb="3" eb="5">
      <t>ホイク</t>
    </rPh>
    <rPh sb="6" eb="8">
      <t>テキヨウ</t>
    </rPh>
    <rPh sb="13" eb="14">
      <t>ガツ</t>
    </rPh>
    <phoneticPr fontId="2"/>
  </si>
  <si>
    <t>３歳児配置改善　適用有無
（4月）</t>
    <rPh sb="1" eb="3">
      <t>サイジ</t>
    </rPh>
    <rPh sb="3" eb="5">
      <t>ハイチ</t>
    </rPh>
    <rPh sb="5" eb="7">
      <t>カイゼン</t>
    </rPh>
    <rPh sb="8" eb="10">
      <t>テキヨウ</t>
    </rPh>
    <rPh sb="10" eb="12">
      <t>ウム</t>
    </rPh>
    <rPh sb="15" eb="16">
      <t>ガツ</t>
    </rPh>
    <phoneticPr fontId="2"/>
  </si>
  <si>
    <t>３歳児配置改善　適用有無
（5月）</t>
    <rPh sb="1" eb="3">
      <t>サイジ</t>
    </rPh>
    <rPh sb="3" eb="5">
      <t>ハイチ</t>
    </rPh>
    <rPh sb="5" eb="7">
      <t>カイゼン</t>
    </rPh>
    <rPh sb="8" eb="10">
      <t>テキヨウ</t>
    </rPh>
    <rPh sb="10" eb="12">
      <t>ウム</t>
    </rPh>
    <rPh sb="15" eb="16">
      <t>ガツ</t>
    </rPh>
    <phoneticPr fontId="2"/>
  </si>
  <si>
    <t>３歳児配置改善　適用有無
（6月）</t>
    <rPh sb="1" eb="3">
      <t>サイジ</t>
    </rPh>
    <rPh sb="3" eb="5">
      <t>ハイチ</t>
    </rPh>
    <rPh sb="5" eb="7">
      <t>カイゼン</t>
    </rPh>
    <rPh sb="8" eb="10">
      <t>テキヨウ</t>
    </rPh>
    <rPh sb="10" eb="12">
      <t>ウム</t>
    </rPh>
    <rPh sb="15" eb="16">
      <t>ガツ</t>
    </rPh>
    <phoneticPr fontId="2"/>
  </si>
  <si>
    <t>３歳児配置改善　適用有無
（7月）</t>
    <rPh sb="1" eb="3">
      <t>サイジ</t>
    </rPh>
    <rPh sb="3" eb="5">
      <t>ハイチ</t>
    </rPh>
    <rPh sb="5" eb="7">
      <t>カイゼン</t>
    </rPh>
    <rPh sb="8" eb="10">
      <t>テキヨウ</t>
    </rPh>
    <rPh sb="10" eb="12">
      <t>ウム</t>
    </rPh>
    <rPh sb="15" eb="16">
      <t>ガツ</t>
    </rPh>
    <phoneticPr fontId="2"/>
  </si>
  <si>
    <t>３歳児配置改善　適用有無
（9月）</t>
    <rPh sb="1" eb="3">
      <t>サイジ</t>
    </rPh>
    <rPh sb="3" eb="5">
      <t>ハイチ</t>
    </rPh>
    <rPh sb="5" eb="7">
      <t>カイゼン</t>
    </rPh>
    <rPh sb="8" eb="10">
      <t>テキヨウ</t>
    </rPh>
    <rPh sb="10" eb="12">
      <t>ウム</t>
    </rPh>
    <rPh sb="15" eb="16">
      <t>ガツ</t>
    </rPh>
    <phoneticPr fontId="2"/>
  </si>
  <si>
    <t>３歳児配置改善　適用有無
（10月）</t>
    <rPh sb="1" eb="3">
      <t>サイジ</t>
    </rPh>
    <rPh sb="3" eb="5">
      <t>ハイチ</t>
    </rPh>
    <rPh sb="5" eb="7">
      <t>カイゼン</t>
    </rPh>
    <rPh sb="8" eb="10">
      <t>テキヨウ</t>
    </rPh>
    <rPh sb="10" eb="12">
      <t>ウム</t>
    </rPh>
    <rPh sb="16" eb="17">
      <t>ガツ</t>
    </rPh>
    <phoneticPr fontId="2"/>
  </si>
  <si>
    <t>３歳児配置改善　適用有無
（11月）</t>
    <rPh sb="1" eb="3">
      <t>サイジ</t>
    </rPh>
    <rPh sb="3" eb="5">
      <t>ハイチ</t>
    </rPh>
    <rPh sb="5" eb="7">
      <t>カイゼン</t>
    </rPh>
    <rPh sb="8" eb="10">
      <t>テキヨウ</t>
    </rPh>
    <rPh sb="10" eb="12">
      <t>ウム</t>
    </rPh>
    <rPh sb="16" eb="17">
      <t>ガツ</t>
    </rPh>
    <phoneticPr fontId="2"/>
  </si>
  <si>
    <t>３歳児配置改善　適用有無
（12月）</t>
    <rPh sb="1" eb="3">
      <t>サイジ</t>
    </rPh>
    <rPh sb="3" eb="5">
      <t>ハイチ</t>
    </rPh>
    <rPh sb="5" eb="7">
      <t>カイゼン</t>
    </rPh>
    <rPh sb="8" eb="10">
      <t>テキヨウ</t>
    </rPh>
    <rPh sb="10" eb="12">
      <t>ウム</t>
    </rPh>
    <rPh sb="16" eb="17">
      <t>ガツ</t>
    </rPh>
    <phoneticPr fontId="2"/>
  </si>
  <si>
    <t>３歳児配置改善　適用有無
（1月）</t>
    <rPh sb="1" eb="3">
      <t>サイジ</t>
    </rPh>
    <rPh sb="3" eb="5">
      <t>ハイチ</t>
    </rPh>
    <rPh sb="5" eb="7">
      <t>カイゼン</t>
    </rPh>
    <rPh sb="8" eb="10">
      <t>テキヨウ</t>
    </rPh>
    <rPh sb="10" eb="12">
      <t>ウム</t>
    </rPh>
    <rPh sb="15" eb="16">
      <t>ガツ</t>
    </rPh>
    <phoneticPr fontId="2"/>
  </si>
  <si>
    <t>３歳児配置改善　適用有無
（2月）</t>
    <rPh sb="1" eb="3">
      <t>サイジ</t>
    </rPh>
    <rPh sb="3" eb="5">
      <t>ハイチ</t>
    </rPh>
    <rPh sb="5" eb="7">
      <t>カイゼン</t>
    </rPh>
    <rPh sb="8" eb="10">
      <t>テキヨウ</t>
    </rPh>
    <rPh sb="10" eb="12">
      <t>ウム</t>
    </rPh>
    <rPh sb="15" eb="16">
      <t>ガツ</t>
    </rPh>
    <phoneticPr fontId="2"/>
  </si>
  <si>
    <t>３歳児配置改善　適用有無
（3月）</t>
    <rPh sb="1" eb="3">
      <t>サイジ</t>
    </rPh>
    <rPh sb="3" eb="5">
      <t>ハイチ</t>
    </rPh>
    <rPh sb="5" eb="7">
      <t>カイゼン</t>
    </rPh>
    <rPh sb="8" eb="10">
      <t>テキヨウ</t>
    </rPh>
    <rPh sb="10" eb="12">
      <t>ウム</t>
    </rPh>
    <rPh sb="15" eb="16">
      <t>ガツ</t>
    </rPh>
    <phoneticPr fontId="2"/>
  </si>
  <si>
    <t>栄養管理加算
内容（4月）</t>
    <rPh sb="0" eb="2">
      <t>エイヨウ</t>
    </rPh>
    <rPh sb="2" eb="4">
      <t>カンリ</t>
    </rPh>
    <rPh sb="4" eb="6">
      <t>カサン</t>
    </rPh>
    <rPh sb="7" eb="9">
      <t>ナイヨウ</t>
    </rPh>
    <rPh sb="11" eb="12">
      <t>ガツ</t>
    </rPh>
    <phoneticPr fontId="2"/>
  </si>
  <si>
    <t>栄養管理加算
内容（5月）</t>
    <rPh sb="0" eb="2">
      <t>エイヨウ</t>
    </rPh>
    <rPh sb="2" eb="4">
      <t>カンリ</t>
    </rPh>
    <rPh sb="4" eb="6">
      <t>カサン</t>
    </rPh>
    <rPh sb="7" eb="9">
      <t>ナイヨウ</t>
    </rPh>
    <rPh sb="11" eb="12">
      <t>ガツ</t>
    </rPh>
    <phoneticPr fontId="2"/>
  </si>
  <si>
    <t>栄養管理加算
内容（6月）</t>
    <rPh sb="0" eb="2">
      <t>エイヨウ</t>
    </rPh>
    <rPh sb="2" eb="4">
      <t>カンリ</t>
    </rPh>
    <rPh sb="4" eb="6">
      <t>カサン</t>
    </rPh>
    <rPh sb="7" eb="9">
      <t>ナイヨウ</t>
    </rPh>
    <rPh sb="11" eb="12">
      <t>ガツ</t>
    </rPh>
    <phoneticPr fontId="2"/>
  </si>
  <si>
    <t>栄養管理加算
内容（7月）</t>
    <rPh sb="0" eb="2">
      <t>エイヨウ</t>
    </rPh>
    <rPh sb="2" eb="4">
      <t>カンリ</t>
    </rPh>
    <rPh sb="4" eb="6">
      <t>カサン</t>
    </rPh>
    <rPh sb="7" eb="9">
      <t>ナイヨウ</t>
    </rPh>
    <rPh sb="11" eb="12">
      <t>ガツ</t>
    </rPh>
    <phoneticPr fontId="2"/>
  </si>
  <si>
    <t>栄養管理加算
内容（8月）</t>
    <rPh sb="0" eb="2">
      <t>エイヨウ</t>
    </rPh>
    <rPh sb="2" eb="4">
      <t>カンリ</t>
    </rPh>
    <rPh sb="4" eb="6">
      <t>カサン</t>
    </rPh>
    <rPh sb="7" eb="9">
      <t>ナイヨウ</t>
    </rPh>
    <rPh sb="11" eb="12">
      <t>ガツ</t>
    </rPh>
    <phoneticPr fontId="2"/>
  </si>
  <si>
    <t>栄養管理加算
内容（9月）</t>
    <rPh sb="0" eb="2">
      <t>エイヨウ</t>
    </rPh>
    <rPh sb="2" eb="4">
      <t>カンリ</t>
    </rPh>
    <rPh sb="4" eb="6">
      <t>カサン</t>
    </rPh>
    <rPh sb="7" eb="9">
      <t>ナイヨウ</t>
    </rPh>
    <rPh sb="11" eb="12">
      <t>ガツ</t>
    </rPh>
    <phoneticPr fontId="2"/>
  </si>
  <si>
    <t>栄養管理加算
内容（10月）</t>
    <rPh sb="0" eb="2">
      <t>エイヨウ</t>
    </rPh>
    <rPh sb="2" eb="4">
      <t>カンリ</t>
    </rPh>
    <rPh sb="4" eb="6">
      <t>カサン</t>
    </rPh>
    <rPh sb="7" eb="9">
      <t>ナイヨウ</t>
    </rPh>
    <rPh sb="12" eb="13">
      <t>ガツ</t>
    </rPh>
    <phoneticPr fontId="2"/>
  </si>
  <si>
    <t>栄養管理加算
内容（11月）</t>
    <rPh sb="0" eb="2">
      <t>エイヨウ</t>
    </rPh>
    <rPh sb="2" eb="4">
      <t>カンリ</t>
    </rPh>
    <rPh sb="4" eb="6">
      <t>カサン</t>
    </rPh>
    <rPh sb="7" eb="9">
      <t>ナイヨウ</t>
    </rPh>
    <rPh sb="12" eb="13">
      <t>ガツ</t>
    </rPh>
    <phoneticPr fontId="2"/>
  </si>
  <si>
    <t>栄養管理加算
内容（12月）</t>
    <rPh sb="0" eb="2">
      <t>エイヨウ</t>
    </rPh>
    <rPh sb="2" eb="4">
      <t>カンリ</t>
    </rPh>
    <rPh sb="4" eb="6">
      <t>カサン</t>
    </rPh>
    <rPh sb="7" eb="9">
      <t>ナイヨウ</t>
    </rPh>
    <rPh sb="12" eb="13">
      <t>ガツ</t>
    </rPh>
    <phoneticPr fontId="2"/>
  </si>
  <si>
    <t>栄養管理加算
内容（1月）</t>
    <rPh sb="0" eb="2">
      <t>エイヨウ</t>
    </rPh>
    <rPh sb="2" eb="4">
      <t>カンリ</t>
    </rPh>
    <rPh sb="4" eb="6">
      <t>カサン</t>
    </rPh>
    <rPh sb="7" eb="9">
      <t>ナイヨウ</t>
    </rPh>
    <rPh sb="11" eb="12">
      <t>ガツ</t>
    </rPh>
    <phoneticPr fontId="2"/>
  </si>
  <si>
    <t>栄養管理加算
内容（2月）</t>
    <rPh sb="0" eb="2">
      <t>エイヨウ</t>
    </rPh>
    <rPh sb="2" eb="4">
      <t>カンリ</t>
    </rPh>
    <rPh sb="4" eb="6">
      <t>カサン</t>
    </rPh>
    <rPh sb="7" eb="9">
      <t>ナイヨウ</t>
    </rPh>
    <rPh sb="11" eb="12">
      <t>ガツ</t>
    </rPh>
    <phoneticPr fontId="2"/>
  </si>
  <si>
    <t>栄養管理加算
内容（3月）</t>
    <rPh sb="0" eb="2">
      <t>エイヨウ</t>
    </rPh>
    <rPh sb="2" eb="4">
      <t>カンリ</t>
    </rPh>
    <rPh sb="4" eb="6">
      <t>カサン</t>
    </rPh>
    <rPh sb="7" eb="9">
      <t>ナイヨウ</t>
    </rPh>
    <rPh sb="11" eb="12">
      <t>ガツ</t>
    </rPh>
    <phoneticPr fontId="2"/>
  </si>
  <si>
    <t>嘱託</t>
    <rPh sb="0" eb="2">
      <t>ショクタク</t>
    </rPh>
    <phoneticPr fontId="2"/>
  </si>
  <si>
    <t>配置</t>
    <rPh sb="0" eb="2">
      <t>ハイチ</t>
    </rPh>
    <phoneticPr fontId="2"/>
  </si>
  <si>
    <t>兼務</t>
    <rPh sb="0" eb="2">
      <t>ケンム</t>
    </rPh>
    <phoneticPr fontId="2"/>
  </si>
  <si>
    <t>増員</t>
    <rPh sb="0" eb="2">
      <t>ゾウイン</t>
    </rPh>
    <phoneticPr fontId="2"/>
  </si>
  <si>
    <t>賃金改善</t>
    <rPh sb="0" eb="2">
      <t>チンギン</t>
    </rPh>
    <rPh sb="2" eb="4">
      <t>カイゼン</t>
    </rPh>
    <phoneticPr fontId="2"/>
  </si>
  <si>
    <t>〒260-8722　千葉市中央区千葉港１－１　本庁舎８F</t>
    <rPh sb="10" eb="13">
      <t>チバシ</t>
    </rPh>
    <rPh sb="13" eb="16">
      <t>チュウオウク</t>
    </rPh>
    <rPh sb="16" eb="19">
      <t>チバミナト</t>
    </rPh>
    <rPh sb="23" eb="24">
      <t>ホン</t>
    </rPh>
    <rPh sb="24" eb="26">
      <t>チョウシャ</t>
    </rPh>
    <phoneticPr fontId="1"/>
  </si>
  <si>
    <t>千葉市こども未来局幼児教育・保育部幼保運営課</t>
    <rPh sb="9" eb="13">
      <t>ヨウジキョウイク</t>
    </rPh>
    <rPh sb="14" eb="16">
      <t>ホイク</t>
    </rPh>
    <phoneticPr fontId="1"/>
  </si>
  <si>
    <t>保育園</t>
    <rPh sb="0" eb="3">
      <t>ホイクエン</t>
    </rPh>
    <phoneticPr fontId="47"/>
  </si>
  <si>
    <t>幼保連携型認定こども園</t>
    <rPh sb="0" eb="1">
      <t>ヨウ</t>
    </rPh>
    <rPh sb="1" eb="2">
      <t>ホ</t>
    </rPh>
    <rPh sb="2" eb="5">
      <t>レンケイガタ</t>
    </rPh>
    <rPh sb="5" eb="7">
      <t>ニンテイ</t>
    </rPh>
    <rPh sb="10" eb="11">
      <t>エン</t>
    </rPh>
    <phoneticPr fontId="47"/>
  </si>
  <si>
    <t>保育所型認定こども園</t>
    <rPh sb="0" eb="2">
      <t>ホイク</t>
    </rPh>
    <rPh sb="2" eb="3">
      <t>ショ</t>
    </rPh>
    <rPh sb="3" eb="4">
      <t>ガタ</t>
    </rPh>
    <rPh sb="4" eb="6">
      <t>ニンテイ</t>
    </rPh>
    <rPh sb="9" eb="10">
      <t>エン</t>
    </rPh>
    <phoneticPr fontId="47"/>
  </si>
  <si>
    <t>地方裁量型認定こども園</t>
    <rPh sb="0" eb="2">
      <t>チホウ</t>
    </rPh>
    <rPh sb="2" eb="5">
      <t>サイリョウガタ</t>
    </rPh>
    <rPh sb="5" eb="7">
      <t>ニンテイ</t>
    </rPh>
    <rPh sb="10" eb="11">
      <t>エン</t>
    </rPh>
    <phoneticPr fontId="47"/>
  </si>
  <si>
    <t>認定こども園　おゆみ野南幼稚園</t>
  </si>
  <si>
    <t>幼保連携型認定こども園　ふたば保育園</t>
  </si>
  <si>
    <t>認定こども園　青い鳥第二幼稚園</t>
  </si>
  <si>
    <t>認定こども園　土気中央幼稚園</t>
  </si>
  <si>
    <t>認定こども園　双葉幼稚園</t>
  </si>
  <si>
    <t>AIAI NURSERY　土気</t>
    <phoneticPr fontId="1"/>
  </si>
  <si>
    <t>サフォークキッズ保育園</t>
    <rPh sb="8" eb="11">
      <t>ホイクエン</t>
    </rPh>
    <phoneticPr fontId="1"/>
  </si>
  <si>
    <t>みらくる保育園</t>
    <rPh sb="4" eb="7">
      <t>ホイクエン</t>
    </rPh>
    <phoneticPr fontId="1"/>
  </si>
  <si>
    <t>AIAI NURSERY　あすみが丘</t>
    <phoneticPr fontId="1"/>
  </si>
  <si>
    <t>千葉誉田雲母保育園</t>
    <rPh sb="0" eb="2">
      <t>チバ</t>
    </rPh>
    <rPh sb="2" eb="4">
      <t>ホンダ</t>
    </rPh>
    <rPh sb="4" eb="6">
      <t>キララ</t>
    </rPh>
    <rPh sb="6" eb="9">
      <t>ホイクエン</t>
    </rPh>
    <phoneticPr fontId="1"/>
  </si>
  <si>
    <t>かえで保育園おゆみ野</t>
    <rPh sb="3" eb="6">
      <t>ホイクエン</t>
    </rPh>
    <rPh sb="9" eb="10">
      <t>ノ</t>
    </rPh>
    <phoneticPr fontId="1"/>
  </si>
  <si>
    <t>もりのなかま保育園おゆみ野園サイエンス＋</t>
  </si>
  <si>
    <t>この行より下には入力しないこと！！　行を増やしたいときは、ここより上の行で挿入すること。</t>
    <rPh sb="2" eb="3">
      <t>ギョウ</t>
    </rPh>
    <rPh sb="5" eb="6">
      <t>シタ</t>
    </rPh>
    <rPh sb="8" eb="10">
      <t>ニュウリョク</t>
    </rPh>
    <rPh sb="18" eb="19">
      <t>ギョウ</t>
    </rPh>
    <rPh sb="20" eb="21">
      <t>フ</t>
    </rPh>
    <rPh sb="33" eb="34">
      <t>ウエ</t>
    </rPh>
    <rPh sb="35" eb="36">
      <t>ギョウ</t>
    </rPh>
    <rPh sb="37" eb="39">
      <t>ソウニュウ</t>
    </rPh>
    <phoneticPr fontId="1"/>
  </si>
  <si>
    <t>VFJ49880</t>
  </si>
  <si>
    <t>ZFQ36082</t>
  </si>
  <si>
    <t>YTS31250</t>
  </si>
  <si>
    <t>（福）　愛の園福祉会</t>
  </si>
  <si>
    <t>（福）　健育会</t>
  </si>
  <si>
    <t>（学）　増田学園</t>
  </si>
  <si>
    <t>（福）　創成会</t>
  </si>
  <si>
    <t>NPO法人虹の丘ワールド・ケア・ファミリー</t>
  </si>
  <si>
    <t>（学）聖メリー学園</t>
  </si>
  <si>
    <t>（学）畠山学園</t>
  </si>
  <si>
    <t>（学）仁愛学園</t>
  </si>
  <si>
    <t>（学）香林学園</t>
  </si>
  <si>
    <t>（学）塩田学園</t>
  </si>
  <si>
    <t>（学）宍倉学園</t>
  </si>
  <si>
    <t>（学）アゼリー学園</t>
  </si>
  <si>
    <t>（学）西郡学園</t>
  </si>
  <si>
    <t>（学）古川学園</t>
  </si>
  <si>
    <t>（学）松ヶ丘学園</t>
  </si>
  <si>
    <t>（学）能勢学園</t>
  </si>
  <si>
    <t>（学）羽田学園</t>
  </si>
  <si>
    <t>（学）石原学園</t>
  </si>
  <si>
    <t>（学）大森学園</t>
  </si>
  <si>
    <t>（学）もっこく学園</t>
  </si>
  <si>
    <t>（学）山口学園</t>
  </si>
  <si>
    <t>（学）西沢学園</t>
  </si>
  <si>
    <t>（学）浜田学園</t>
  </si>
  <si>
    <t>（学）山王学園</t>
  </si>
  <si>
    <t>（学）土岐学園</t>
  </si>
  <si>
    <t>（学）鏡戸学園</t>
  </si>
  <si>
    <t>（学）千葉敬愛学園</t>
  </si>
  <si>
    <t>（学）信愛学園</t>
  </si>
  <si>
    <t>（学）小川学園</t>
  </si>
  <si>
    <t>小川治政</t>
  </si>
  <si>
    <t>〒260-8722　千葉市中央区千葉港１－１　本庁舎８F</t>
    <rPh sb="10" eb="13">
      <t>チバシ</t>
    </rPh>
    <rPh sb="13" eb="16">
      <t>チュウオウク</t>
    </rPh>
    <rPh sb="16" eb="19">
      <t>チバミナト</t>
    </rPh>
    <rPh sb="23" eb="26">
      <t>ホンチョウシャ</t>
    </rPh>
    <phoneticPr fontId="1"/>
  </si>
  <si>
    <t>4　その他</t>
    <rPh sb="4" eb="5">
      <t>タ</t>
    </rPh>
    <phoneticPr fontId="1"/>
  </si>
  <si>
    <t>〇</t>
  </si>
  <si>
    <t>✕</t>
  </si>
  <si>
    <t>認定こども園　植草学園大学附属美浜幼稚園（休園中）</t>
    <rPh sb="0" eb="2">
      <t>ニンテイ</t>
    </rPh>
    <rPh sb="5" eb="6">
      <t>エン</t>
    </rPh>
    <rPh sb="7" eb="15">
      <t>ウエクサガクエンダイガクフゾク</t>
    </rPh>
    <rPh sb="15" eb="17">
      <t>ミハマ</t>
    </rPh>
    <rPh sb="17" eb="20">
      <t>ヨウチエン</t>
    </rPh>
    <rPh sb="21" eb="23">
      <t>キュウエン</t>
    </rPh>
    <rPh sb="23" eb="24">
      <t>チュウ</t>
    </rPh>
    <phoneticPr fontId="1"/>
  </si>
  <si>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
  </si>
  <si>
    <t>認定こども園　青い鳥第二幼稚園</t>
    <rPh sb="0" eb="2">
      <t>ニンテイ</t>
    </rPh>
    <rPh sb="5" eb="6">
      <t>エン</t>
    </rPh>
    <rPh sb="7" eb="8">
      <t>アオ</t>
    </rPh>
    <rPh sb="9" eb="10">
      <t>トリ</t>
    </rPh>
    <rPh sb="10" eb="11">
      <t>ダイ</t>
    </rPh>
    <rPh sb="11" eb="12">
      <t>ニ</t>
    </rPh>
    <rPh sb="12" eb="15">
      <t>ヨウチエン</t>
    </rPh>
    <phoneticPr fontId="4"/>
  </si>
  <si>
    <t>認定こども園　土気中央幼稚園</t>
    <rPh sb="0" eb="2">
      <t>ニンテイ</t>
    </rPh>
    <rPh sb="5" eb="6">
      <t>エン</t>
    </rPh>
    <rPh sb="7" eb="9">
      <t>トケ</t>
    </rPh>
    <rPh sb="9" eb="11">
      <t>チュウオウ</t>
    </rPh>
    <rPh sb="11" eb="14">
      <t>ヨウチエン</t>
    </rPh>
    <phoneticPr fontId="4"/>
  </si>
  <si>
    <t>認定こども園　あすみ中央幼稚園</t>
    <rPh sb="0" eb="2">
      <t>ニンテイ</t>
    </rPh>
    <rPh sb="5" eb="6">
      <t>エン</t>
    </rPh>
    <rPh sb="10" eb="12">
      <t>チュウオウ</t>
    </rPh>
    <rPh sb="12" eb="15">
      <t>ヨウチエン</t>
    </rPh>
    <phoneticPr fontId="4"/>
  </si>
  <si>
    <t>チーム保育　適用内容（2人目）
（4月）</t>
    <rPh sb="3" eb="5">
      <t>ホイク</t>
    </rPh>
    <rPh sb="6" eb="8">
      <t>テキヨウ</t>
    </rPh>
    <rPh sb="18" eb="19">
      <t>ガツ</t>
    </rPh>
    <phoneticPr fontId="2"/>
  </si>
  <si>
    <t>チーム保育　適用内容（2人目）
（5月）</t>
    <rPh sb="3" eb="5">
      <t>ホイク</t>
    </rPh>
    <rPh sb="6" eb="8">
      <t>テキヨウ</t>
    </rPh>
    <rPh sb="18" eb="19">
      <t>ガツ</t>
    </rPh>
    <phoneticPr fontId="2"/>
  </si>
  <si>
    <t>チーム保育　適用内容（2人目）
（6月）</t>
    <rPh sb="3" eb="5">
      <t>ホイク</t>
    </rPh>
    <rPh sb="6" eb="8">
      <t>テキヨウ</t>
    </rPh>
    <rPh sb="18" eb="19">
      <t>ガツ</t>
    </rPh>
    <phoneticPr fontId="2"/>
  </si>
  <si>
    <t>チーム保育　適用内容（2人目）
（7月）</t>
    <rPh sb="3" eb="5">
      <t>ホイク</t>
    </rPh>
    <rPh sb="6" eb="8">
      <t>テキヨウ</t>
    </rPh>
    <rPh sb="18" eb="19">
      <t>ガツ</t>
    </rPh>
    <phoneticPr fontId="2"/>
  </si>
  <si>
    <t>チーム保育　適用内容（2人目）
（8月）</t>
    <rPh sb="3" eb="5">
      <t>ホイク</t>
    </rPh>
    <rPh sb="6" eb="8">
      <t>テキヨウ</t>
    </rPh>
    <rPh sb="18" eb="19">
      <t>ガツ</t>
    </rPh>
    <phoneticPr fontId="2"/>
  </si>
  <si>
    <t>チーム保育　適用内容（2人目）
（9月）</t>
    <rPh sb="3" eb="5">
      <t>ホイク</t>
    </rPh>
    <rPh sb="6" eb="8">
      <t>テキヨウ</t>
    </rPh>
    <rPh sb="18" eb="19">
      <t>ガツ</t>
    </rPh>
    <phoneticPr fontId="2"/>
  </si>
  <si>
    <t>チーム保育　適用内容（2人目）
（10月）</t>
    <rPh sb="3" eb="5">
      <t>ホイク</t>
    </rPh>
    <rPh sb="6" eb="8">
      <t>テキヨウ</t>
    </rPh>
    <rPh sb="19" eb="20">
      <t>ガツ</t>
    </rPh>
    <phoneticPr fontId="2"/>
  </si>
  <si>
    <t>チーム保育　適用内容（2人目）
（11月）</t>
    <rPh sb="3" eb="5">
      <t>ホイク</t>
    </rPh>
    <rPh sb="6" eb="8">
      <t>テキヨウ</t>
    </rPh>
    <rPh sb="19" eb="20">
      <t>ガツ</t>
    </rPh>
    <phoneticPr fontId="2"/>
  </si>
  <si>
    <t>チーム保育　適用内容（2人目）
（12月）</t>
    <rPh sb="3" eb="5">
      <t>ホイク</t>
    </rPh>
    <rPh sb="6" eb="8">
      <t>テキヨウ</t>
    </rPh>
    <rPh sb="19" eb="20">
      <t>ガツ</t>
    </rPh>
    <phoneticPr fontId="2"/>
  </si>
  <si>
    <t>チーム保育　適用内容（2人目）
（1月）</t>
    <rPh sb="3" eb="5">
      <t>ホイク</t>
    </rPh>
    <rPh sb="6" eb="8">
      <t>テキヨウ</t>
    </rPh>
    <rPh sb="18" eb="19">
      <t>ガツ</t>
    </rPh>
    <phoneticPr fontId="2"/>
  </si>
  <si>
    <t>チーム保育　適用内容（2人目）
（2月）</t>
    <rPh sb="3" eb="5">
      <t>ホイク</t>
    </rPh>
    <rPh sb="6" eb="8">
      <t>テキヨウ</t>
    </rPh>
    <rPh sb="18" eb="19">
      <t>ガツ</t>
    </rPh>
    <phoneticPr fontId="2"/>
  </si>
  <si>
    <t>チーム保育　適用内容（2人目）
（3月）</t>
    <rPh sb="3" eb="5">
      <t>ホイク</t>
    </rPh>
    <rPh sb="6" eb="8">
      <t>テキヨウ</t>
    </rPh>
    <rPh sb="18" eb="19">
      <t>ガツ</t>
    </rPh>
    <phoneticPr fontId="2"/>
  </si>
  <si>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9"/>
  </si>
  <si>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9"/>
  </si>
  <si>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9"/>
  </si>
  <si>
    <t>幼保連携型認定こども園　ウィズダムナーサリースクール</t>
    <rPh sb="0" eb="1">
      <t>ヨウ</t>
    </rPh>
    <rPh sb="1" eb="2">
      <t>ホ</t>
    </rPh>
    <rPh sb="2" eb="5">
      <t>レンケイガタ</t>
    </rPh>
    <rPh sb="5" eb="7">
      <t>ニンテイ</t>
    </rPh>
    <rPh sb="10" eb="11">
      <t>エン</t>
    </rPh>
    <phoneticPr fontId="9"/>
  </si>
  <si>
    <t>認定こども園かしの木学園　カトライアキンダーガルテン</t>
    <rPh sb="0" eb="2">
      <t>ニンテイ</t>
    </rPh>
    <rPh sb="5" eb="6">
      <t>エン</t>
    </rPh>
    <rPh sb="9" eb="10">
      <t>キ</t>
    </rPh>
    <rPh sb="10" eb="12">
      <t>ガクエン</t>
    </rPh>
    <phoneticPr fontId="14"/>
  </si>
  <si>
    <r>
      <rPr>
        <sz val="11"/>
        <rFont val="ＭＳ Ｐゴシック"/>
        <family val="3"/>
        <charset val="128"/>
      </rPr>
      <t>認定こども園　小ばと幼稚園</t>
    </r>
    <rPh sb="0" eb="2">
      <t>ニンテイ</t>
    </rPh>
    <rPh sb="5" eb="6">
      <t>エン</t>
    </rPh>
    <rPh sb="7" eb="8">
      <t>コ</t>
    </rPh>
    <rPh sb="10" eb="13">
      <t>ヨウチエン</t>
    </rPh>
    <phoneticPr fontId="9"/>
  </si>
  <si>
    <r>
      <rPr>
        <sz val="11"/>
        <rFont val="ＭＳ Ｐゴシック"/>
        <family val="3"/>
        <charset val="128"/>
      </rPr>
      <t>認定こども園　白梅幼稚園</t>
    </r>
    <rPh sb="0" eb="2">
      <t>ニンテイ</t>
    </rPh>
    <rPh sb="5" eb="6">
      <t>エン</t>
    </rPh>
    <rPh sb="7" eb="9">
      <t>シラウメ</t>
    </rPh>
    <rPh sb="9" eb="12">
      <t>ヨウチエン</t>
    </rPh>
    <phoneticPr fontId="16"/>
  </si>
  <si>
    <r>
      <rPr>
        <sz val="11"/>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</si>
  <si>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t>認定こども園　千葉明徳短期大学附属幼稚園</t>
    <rPh sb="7" eb="9">
      <t>チバ</t>
    </rPh>
    <rPh sb="9" eb="11">
      <t>メイトク</t>
    </rPh>
    <rPh sb="11" eb="13">
      <t>タンキ</t>
    </rPh>
    <rPh sb="13" eb="15">
      <t>ダイガク</t>
    </rPh>
    <rPh sb="15" eb="17">
      <t>フゾク</t>
    </rPh>
    <rPh sb="17" eb="20">
      <t>ヨウチエン</t>
    </rPh>
    <phoneticPr fontId="10"/>
  </si>
  <si>
    <t>認定こども園　登戸幼稚園</t>
    <rPh sb="7" eb="9">
      <t>ノブト</t>
    </rPh>
    <rPh sb="9" eb="12">
      <t>ヨウチエン</t>
    </rPh>
    <phoneticPr fontId="10"/>
  </si>
  <si>
    <t>認定こども園　さつきが丘幼稚園</t>
    <rPh sb="11" eb="12">
      <t>オカ</t>
    </rPh>
    <rPh sb="12" eb="15">
      <t>ヨウチエン</t>
    </rPh>
    <phoneticPr fontId="10"/>
  </si>
  <si>
    <t>認定こども園　まこと第三幼稚園</t>
    <rPh sb="10" eb="11">
      <t>ダイ</t>
    </rPh>
    <rPh sb="11" eb="12">
      <t>サン</t>
    </rPh>
    <rPh sb="12" eb="15">
      <t>ヨウチエン</t>
    </rPh>
    <phoneticPr fontId="10"/>
  </si>
  <si>
    <t>認定こども園　稲毛すみれ幼稚園</t>
    <rPh sb="7" eb="9">
      <t>イナゲ</t>
    </rPh>
    <rPh sb="12" eb="15">
      <t>ヨウチエン</t>
    </rPh>
    <phoneticPr fontId="10"/>
  </si>
  <si>
    <t>認定こども園　かしの木学園　かしの木園</t>
    <rPh sb="11" eb="13">
      <t>ガクエン</t>
    </rPh>
    <rPh sb="17" eb="18">
      <t>キ</t>
    </rPh>
    <rPh sb="18" eb="19">
      <t>エン</t>
    </rPh>
    <phoneticPr fontId="8"/>
  </si>
  <si>
    <t>認定こども園　双葉幼稚園</t>
    <rPh sb="0" eb="2">
      <t>ニンテイ</t>
    </rPh>
    <rPh sb="5" eb="6">
      <t>エン</t>
    </rPh>
    <rPh sb="7" eb="9">
      <t>フタバ</t>
    </rPh>
    <rPh sb="9" eb="12">
      <t>ヨウチエン</t>
    </rPh>
    <phoneticPr fontId="4"/>
  </si>
  <si>
    <t>認定こども園　青い鳥第二幼稚園</t>
    <rPh sb="0" eb="2">
      <t>ニンテイ</t>
    </rPh>
    <rPh sb="5" eb="6">
      <t>エン</t>
    </rPh>
    <rPh sb="7" eb="8">
      <t>アオ</t>
    </rPh>
    <rPh sb="9" eb="10">
      <t>トリ</t>
    </rPh>
    <rPh sb="10" eb="11">
      <t>ダイ</t>
    </rPh>
    <rPh sb="11" eb="12">
      <t>２</t>
    </rPh>
    <rPh sb="12" eb="15">
      <t>ヨウチエン</t>
    </rPh>
    <phoneticPr fontId="4"/>
  </si>
  <si>
    <t>千葉市緑区土気町1630-1</t>
  </si>
  <si>
    <t>塩　順子</t>
  </si>
  <si>
    <t>令和6年9月</t>
    <rPh sb="0" eb="2">
      <t>レイワ</t>
    </rPh>
    <rPh sb="3" eb="4">
      <t>ネン</t>
    </rPh>
    <rPh sb="5" eb="6">
      <t>ガツ</t>
    </rPh>
    <phoneticPr fontId="1"/>
  </si>
  <si>
    <r>
      <rPr>
        <b/>
        <sz val="18"/>
        <color rgb="FFFF0000"/>
        <rFont val="HG丸ｺﾞｼｯｸM-PRO"/>
        <family val="3"/>
        <charset val="128"/>
      </rPr>
      <t>　　</t>
    </r>
    <r>
      <rPr>
        <b/>
        <u/>
        <sz val="18"/>
        <color rgb="FFFF0000"/>
        <rFont val="HG丸ｺﾞｼｯｸM-PRO"/>
        <family val="3"/>
        <charset val="128"/>
      </rPr>
      <t>令和６年９月３０日（月）必着</t>
    </r>
    <rPh sb="2" eb="4">
      <t>レイワ</t>
    </rPh>
    <rPh sb="5" eb="6">
      <t>ネン</t>
    </rPh>
    <rPh sb="12" eb="13">
      <t>ツキ</t>
    </rPh>
    <rPh sb="14" eb="16">
      <t>ヒッチャク</t>
    </rPh>
    <phoneticPr fontId="1"/>
  </si>
  <si>
    <r>
      <t xml:space="preserve"> （このエクセルをメール提出）　</t>
    </r>
    <r>
      <rPr>
        <sz val="12"/>
        <color rgb="FFFF0000"/>
        <rFont val="HGP創英角ﾎﾟｯﾌﾟ体"/>
        <family val="3"/>
        <charset val="128"/>
      </rPr>
      <t>※押印省略に伴い、紙の提出は不要です。</t>
    </r>
    <rPh sb="17" eb="19">
      <t>オウイン</t>
    </rPh>
    <rPh sb="19" eb="21">
      <t>ショウリャク</t>
    </rPh>
    <rPh sb="22" eb="23">
      <t>トモナ</t>
    </rPh>
    <rPh sb="25" eb="26">
      <t>カミ</t>
    </rPh>
    <rPh sb="27" eb="29">
      <t>テイシュツ</t>
    </rPh>
    <rPh sb="30" eb="32">
      <t>フヨウ</t>
    </rPh>
    <phoneticPr fontId="15"/>
  </si>
  <si>
    <t>幼保運営課 助成第１班　髙木</t>
    <rPh sb="12" eb="14">
      <t>タカギ</t>
    </rPh>
    <phoneticPr fontId="1"/>
  </si>
  <si>
    <t>高齢者等活躍促進加算の対象職員数を入力してください。
単位（人）は入力不要です。</t>
    <rPh sb="0" eb="3">
      <t>コウレイシャ</t>
    </rPh>
    <rPh sb="3" eb="4">
      <t>トウ</t>
    </rPh>
    <rPh sb="4" eb="6">
      <t>カツヤク</t>
    </rPh>
    <rPh sb="6" eb="8">
      <t>ソクシン</t>
    </rPh>
    <rPh sb="8" eb="10">
      <t>カサン</t>
    </rPh>
    <rPh sb="11" eb="13">
      <t>タイショウ</t>
    </rPh>
    <rPh sb="13" eb="15">
      <t>ショクイン</t>
    </rPh>
    <rPh sb="15" eb="16">
      <t>スウ</t>
    </rPh>
    <rPh sb="17" eb="19">
      <t>ニュウリョク</t>
    </rPh>
    <rPh sb="27" eb="29">
      <t>タンイ</t>
    </rPh>
    <rPh sb="30" eb="31">
      <t>ニン</t>
    </rPh>
    <rPh sb="33" eb="37">
      <t>ニュウリョクフヨウ</t>
    </rPh>
    <phoneticPr fontId="1"/>
  </si>
  <si>
    <t>令和６年 １０月１日</t>
    <rPh sb="0" eb="1">
      <t>レイ</t>
    </rPh>
    <rPh sb="1" eb="2">
      <t>ワ</t>
    </rPh>
    <rPh sb="3" eb="4">
      <t>ネン</t>
    </rPh>
    <rPh sb="4" eb="5">
      <t>ガンネン</t>
    </rPh>
    <rPh sb="7" eb="8">
      <t>ツキ</t>
    </rPh>
    <rPh sb="9" eb="10">
      <t>ニチ</t>
    </rPh>
    <phoneticPr fontId="29"/>
  </si>
  <si>
    <t>固有番号</t>
    <rPh sb="0" eb="4">
      <t>コユウバンゴウ</t>
    </rPh>
    <phoneticPr fontId="1"/>
  </si>
  <si>
    <t>4歳以上児加算単価（1号）</t>
    <rPh sb="1" eb="7">
      <t>サイイジョウジカサン</t>
    </rPh>
    <rPh sb="7" eb="9">
      <t>タンカ</t>
    </rPh>
    <rPh sb="11" eb="12">
      <t>ゴウ</t>
    </rPh>
    <phoneticPr fontId="1"/>
  </si>
  <si>
    <t>4歳以上児加算単価（2号）</t>
    <rPh sb="1" eb="7">
      <t>サイイジョウジカサン</t>
    </rPh>
    <rPh sb="7" eb="9">
      <t>タンカ</t>
    </rPh>
    <rPh sb="11" eb="12">
      <t>ゴウ</t>
    </rPh>
    <phoneticPr fontId="1"/>
  </si>
  <si>
    <t>4歳以上児加算有無
（4月）</t>
    <rPh sb="1" eb="7">
      <t>サイイジョウジカサン</t>
    </rPh>
    <rPh sb="7" eb="9">
      <t>ウム</t>
    </rPh>
    <rPh sb="12" eb="13">
      <t>ツキ</t>
    </rPh>
    <phoneticPr fontId="1"/>
  </si>
  <si>
    <t>4歳以上児加算有無
（5月）</t>
    <rPh sb="1" eb="7">
      <t>サイイジョウジカサン</t>
    </rPh>
    <rPh sb="7" eb="9">
      <t>ウム</t>
    </rPh>
    <rPh sb="12" eb="13">
      <t>ツキ</t>
    </rPh>
    <phoneticPr fontId="1"/>
  </si>
  <si>
    <t>4歳以上児加算有無
（6月）</t>
    <rPh sb="1" eb="7">
      <t>サイイジョウジカサン</t>
    </rPh>
    <rPh sb="7" eb="9">
      <t>ウム</t>
    </rPh>
    <rPh sb="12" eb="13">
      <t>ツキ</t>
    </rPh>
    <phoneticPr fontId="1"/>
  </si>
  <si>
    <t>4歳以上児加算有無
（7月）</t>
    <rPh sb="1" eb="7">
      <t>サイイジョウジカサン</t>
    </rPh>
    <rPh sb="7" eb="9">
      <t>ウム</t>
    </rPh>
    <rPh sb="12" eb="13">
      <t>ツキ</t>
    </rPh>
    <phoneticPr fontId="1"/>
  </si>
  <si>
    <t>4歳以上児加算有無
（8月）</t>
    <rPh sb="1" eb="7">
      <t>サイイジョウジカサン</t>
    </rPh>
    <rPh sb="7" eb="9">
      <t>ウム</t>
    </rPh>
    <rPh sb="12" eb="13">
      <t>ツキ</t>
    </rPh>
    <phoneticPr fontId="1"/>
  </si>
  <si>
    <t>4歳以上児加算有無
（9月）</t>
    <rPh sb="1" eb="7">
      <t>サイイジョウジカサン</t>
    </rPh>
    <rPh sb="7" eb="9">
      <t>ウム</t>
    </rPh>
    <rPh sb="12" eb="13">
      <t>ツキ</t>
    </rPh>
    <phoneticPr fontId="1"/>
  </si>
  <si>
    <t>4歳以上児加算有無
（10月）</t>
    <rPh sb="1" eb="7">
      <t>サイイジョウジカサン</t>
    </rPh>
    <rPh sb="7" eb="9">
      <t>ウム</t>
    </rPh>
    <rPh sb="13" eb="14">
      <t>ツキ</t>
    </rPh>
    <phoneticPr fontId="1"/>
  </si>
  <si>
    <t>4歳以上児加算有無
（11月）</t>
    <rPh sb="1" eb="7">
      <t>サイイジョウジカサン</t>
    </rPh>
    <rPh sb="7" eb="9">
      <t>ウム</t>
    </rPh>
    <rPh sb="13" eb="14">
      <t>ツキ</t>
    </rPh>
    <phoneticPr fontId="1"/>
  </si>
  <si>
    <t>4歳以上児加算有無
（12月）</t>
    <rPh sb="1" eb="7">
      <t>サイイジョウジカサン</t>
    </rPh>
    <rPh sb="7" eb="9">
      <t>ウム</t>
    </rPh>
    <rPh sb="13" eb="14">
      <t>ツキ</t>
    </rPh>
    <phoneticPr fontId="1"/>
  </si>
  <si>
    <t>4歳以上児加算有無
（1月）</t>
    <rPh sb="1" eb="7">
      <t>サイイジョウジカサン</t>
    </rPh>
    <rPh sb="7" eb="9">
      <t>ウム</t>
    </rPh>
    <rPh sb="12" eb="13">
      <t>ツキ</t>
    </rPh>
    <phoneticPr fontId="1"/>
  </si>
  <si>
    <t>4歳以上児加算有無
（2月）</t>
    <rPh sb="1" eb="7">
      <t>サイイジョウジカサン</t>
    </rPh>
    <rPh sb="7" eb="9">
      <t>ウム</t>
    </rPh>
    <rPh sb="12" eb="13">
      <t>ツキ</t>
    </rPh>
    <phoneticPr fontId="1"/>
  </si>
  <si>
    <t>4歳以上児加算有無
（3月）</t>
    <rPh sb="1" eb="7">
      <t>サイイジョウジカサン</t>
    </rPh>
    <rPh sb="7" eb="9">
      <t>ウム</t>
    </rPh>
    <rPh sb="12" eb="13">
      <t>ツキ</t>
    </rPh>
    <phoneticPr fontId="1"/>
  </si>
  <si>
    <t>４歳以上児数1号
（4月）</t>
    <rPh sb="1" eb="2">
      <t>サイ</t>
    </rPh>
    <rPh sb="2" eb="4">
      <t>イジョウ</t>
    </rPh>
    <rPh sb="4" eb="5">
      <t>ジ</t>
    </rPh>
    <rPh sb="5" eb="6">
      <t>スウ</t>
    </rPh>
    <rPh sb="7" eb="8">
      <t>ゴウ</t>
    </rPh>
    <rPh sb="11" eb="12">
      <t>ツキ</t>
    </rPh>
    <phoneticPr fontId="1"/>
  </si>
  <si>
    <t>４歳以上児数1号
（5月）</t>
    <rPh sb="1" eb="2">
      <t>サイ</t>
    </rPh>
    <rPh sb="2" eb="4">
      <t>イジョウ</t>
    </rPh>
    <rPh sb="4" eb="5">
      <t>ジ</t>
    </rPh>
    <rPh sb="5" eb="6">
      <t>スウ</t>
    </rPh>
    <rPh sb="7" eb="8">
      <t>ゴウ</t>
    </rPh>
    <rPh sb="11" eb="12">
      <t>ツキ</t>
    </rPh>
    <phoneticPr fontId="1"/>
  </si>
  <si>
    <t>４歳以上児数1号
（6月）</t>
    <rPh sb="1" eb="2">
      <t>サイ</t>
    </rPh>
    <rPh sb="2" eb="4">
      <t>イジョウ</t>
    </rPh>
    <rPh sb="4" eb="5">
      <t>ジ</t>
    </rPh>
    <rPh sb="5" eb="6">
      <t>スウ</t>
    </rPh>
    <rPh sb="7" eb="8">
      <t>ゴウ</t>
    </rPh>
    <rPh sb="11" eb="12">
      <t>ツキ</t>
    </rPh>
    <phoneticPr fontId="1"/>
  </si>
  <si>
    <t>４歳以上児数1号
（7月）</t>
    <rPh sb="1" eb="2">
      <t>サイ</t>
    </rPh>
    <rPh sb="2" eb="4">
      <t>イジョウ</t>
    </rPh>
    <rPh sb="4" eb="5">
      <t>ジ</t>
    </rPh>
    <rPh sb="5" eb="6">
      <t>スウ</t>
    </rPh>
    <rPh sb="7" eb="8">
      <t>ゴウ</t>
    </rPh>
    <rPh sb="11" eb="12">
      <t>ツキ</t>
    </rPh>
    <phoneticPr fontId="1"/>
  </si>
  <si>
    <t>４歳以上児数1号
（8月）</t>
    <rPh sb="1" eb="2">
      <t>サイ</t>
    </rPh>
    <rPh sb="2" eb="4">
      <t>イジョウ</t>
    </rPh>
    <rPh sb="4" eb="5">
      <t>ジ</t>
    </rPh>
    <rPh sb="5" eb="6">
      <t>スウ</t>
    </rPh>
    <rPh sb="7" eb="8">
      <t>ゴウ</t>
    </rPh>
    <rPh sb="11" eb="12">
      <t>ツキ</t>
    </rPh>
    <phoneticPr fontId="1"/>
  </si>
  <si>
    <t>４歳以上児数1号
（9月）</t>
    <rPh sb="1" eb="2">
      <t>サイ</t>
    </rPh>
    <rPh sb="2" eb="4">
      <t>イジョウ</t>
    </rPh>
    <rPh sb="4" eb="5">
      <t>ジ</t>
    </rPh>
    <rPh sb="5" eb="6">
      <t>スウ</t>
    </rPh>
    <rPh sb="7" eb="8">
      <t>ゴウ</t>
    </rPh>
    <rPh sb="11" eb="12">
      <t>ツキ</t>
    </rPh>
    <phoneticPr fontId="1"/>
  </si>
  <si>
    <t>４歳以上児数1号
（10月）</t>
    <rPh sb="1" eb="2">
      <t>サイ</t>
    </rPh>
    <rPh sb="2" eb="4">
      <t>イジョウ</t>
    </rPh>
    <rPh sb="4" eb="5">
      <t>ジ</t>
    </rPh>
    <rPh sb="5" eb="6">
      <t>スウ</t>
    </rPh>
    <rPh sb="7" eb="8">
      <t>ゴウ</t>
    </rPh>
    <rPh sb="12" eb="13">
      <t>ツキ</t>
    </rPh>
    <phoneticPr fontId="1"/>
  </si>
  <si>
    <t>４歳以上児数1号
（11月）</t>
    <rPh sb="1" eb="2">
      <t>サイ</t>
    </rPh>
    <rPh sb="2" eb="4">
      <t>イジョウ</t>
    </rPh>
    <rPh sb="4" eb="5">
      <t>ジ</t>
    </rPh>
    <rPh sb="5" eb="6">
      <t>スウ</t>
    </rPh>
    <rPh sb="7" eb="8">
      <t>ゴウ</t>
    </rPh>
    <rPh sb="12" eb="13">
      <t>ツキ</t>
    </rPh>
    <phoneticPr fontId="1"/>
  </si>
  <si>
    <t>４歳以上児数1号
（12月）</t>
    <rPh sb="1" eb="2">
      <t>サイ</t>
    </rPh>
    <rPh sb="2" eb="4">
      <t>イジョウ</t>
    </rPh>
    <rPh sb="4" eb="5">
      <t>ジ</t>
    </rPh>
    <rPh sb="5" eb="6">
      <t>スウ</t>
    </rPh>
    <rPh sb="7" eb="8">
      <t>ゴウ</t>
    </rPh>
    <rPh sb="12" eb="13">
      <t>ツキ</t>
    </rPh>
    <phoneticPr fontId="1"/>
  </si>
  <si>
    <t>４歳以上児数1号
（1月）</t>
    <rPh sb="1" eb="2">
      <t>サイ</t>
    </rPh>
    <rPh sb="2" eb="4">
      <t>イジョウ</t>
    </rPh>
    <rPh sb="4" eb="5">
      <t>ジ</t>
    </rPh>
    <rPh sb="5" eb="6">
      <t>スウ</t>
    </rPh>
    <rPh sb="7" eb="8">
      <t>ゴウ</t>
    </rPh>
    <rPh sb="11" eb="12">
      <t>ツキ</t>
    </rPh>
    <phoneticPr fontId="1"/>
  </si>
  <si>
    <t>４歳以上児数2号
（4月）</t>
    <rPh sb="1" eb="2">
      <t>サイ</t>
    </rPh>
    <rPh sb="2" eb="4">
      <t>イジョウ</t>
    </rPh>
    <rPh sb="4" eb="5">
      <t>ジ</t>
    </rPh>
    <rPh sb="5" eb="6">
      <t>スウ</t>
    </rPh>
    <rPh sb="7" eb="8">
      <t>ゴウ</t>
    </rPh>
    <rPh sb="11" eb="12">
      <t>ツキ</t>
    </rPh>
    <phoneticPr fontId="1"/>
  </si>
  <si>
    <t>４歳以上児数2号
（5月）</t>
    <rPh sb="1" eb="2">
      <t>サイ</t>
    </rPh>
    <rPh sb="2" eb="4">
      <t>イジョウ</t>
    </rPh>
    <rPh sb="4" eb="5">
      <t>ジ</t>
    </rPh>
    <rPh sb="5" eb="6">
      <t>スウ</t>
    </rPh>
    <rPh sb="7" eb="8">
      <t>ゴウ</t>
    </rPh>
    <rPh sb="11" eb="12">
      <t>ツキ</t>
    </rPh>
    <phoneticPr fontId="1"/>
  </si>
  <si>
    <t>４歳以上児数2号
（6月）</t>
    <rPh sb="1" eb="2">
      <t>サイ</t>
    </rPh>
    <rPh sb="2" eb="4">
      <t>イジョウ</t>
    </rPh>
    <rPh sb="4" eb="5">
      <t>ジ</t>
    </rPh>
    <rPh sb="5" eb="6">
      <t>スウ</t>
    </rPh>
    <rPh sb="7" eb="8">
      <t>ゴウ</t>
    </rPh>
    <rPh sb="11" eb="12">
      <t>ツキ</t>
    </rPh>
    <phoneticPr fontId="1"/>
  </si>
  <si>
    <t>４歳以上児数2号
（7月）</t>
    <rPh sb="1" eb="2">
      <t>サイ</t>
    </rPh>
    <rPh sb="2" eb="4">
      <t>イジョウ</t>
    </rPh>
    <rPh sb="4" eb="5">
      <t>ジ</t>
    </rPh>
    <rPh sb="5" eb="6">
      <t>スウ</t>
    </rPh>
    <rPh sb="7" eb="8">
      <t>ゴウ</t>
    </rPh>
    <rPh sb="11" eb="12">
      <t>ツキ</t>
    </rPh>
    <phoneticPr fontId="1"/>
  </si>
  <si>
    <t>４歳以上児数2号
（8月）</t>
    <rPh sb="1" eb="2">
      <t>サイ</t>
    </rPh>
    <rPh sb="2" eb="4">
      <t>イジョウ</t>
    </rPh>
    <rPh sb="4" eb="5">
      <t>ジ</t>
    </rPh>
    <rPh sb="5" eb="6">
      <t>スウ</t>
    </rPh>
    <rPh sb="7" eb="8">
      <t>ゴウ</t>
    </rPh>
    <rPh sb="11" eb="12">
      <t>ツキ</t>
    </rPh>
    <phoneticPr fontId="1"/>
  </si>
  <si>
    <t>４歳以上児数2号
（9月）</t>
    <rPh sb="1" eb="2">
      <t>サイ</t>
    </rPh>
    <rPh sb="2" eb="4">
      <t>イジョウ</t>
    </rPh>
    <rPh sb="4" eb="5">
      <t>ジ</t>
    </rPh>
    <rPh sb="5" eb="6">
      <t>スウ</t>
    </rPh>
    <rPh sb="7" eb="8">
      <t>ゴウ</t>
    </rPh>
    <rPh sb="11" eb="12">
      <t>ツキ</t>
    </rPh>
    <phoneticPr fontId="1"/>
  </si>
  <si>
    <t>４歳以上児数2号
（10月）</t>
    <rPh sb="1" eb="2">
      <t>サイ</t>
    </rPh>
    <rPh sb="2" eb="4">
      <t>イジョウ</t>
    </rPh>
    <rPh sb="4" eb="5">
      <t>ジ</t>
    </rPh>
    <rPh sb="5" eb="6">
      <t>スウ</t>
    </rPh>
    <rPh sb="7" eb="8">
      <t>ゴウ</t>
    </rPh>
    <rPh sb="12" eb="13">
      <t>ツキ</t>
    </rPh>
    <phoneticPr fontId="1"/>
  </si>
  <si>
    <t>４歳以上児数2号
（11月）</t>
    <rPh sb="1" eb="2">
      <t>サイ</t>
    </rPh>
    <rPh sb="2" eb="4">
      <t>イジョウ</t>
    </rPh>
    <rPh sb="4" eb="5">
      <t>ジ</t>
    </rPh>
    <rPh sb="5" eb="6">
      <t>スウ</t>
    </rPh>
    <rPh sb="7" eb="8">
      <t>ゴウ</t>
    </rPh>
    <rPh sb="12" eb="13">
      <t>ツキ</t>
    </rPh>
    <phoneticPr fontId="1"/>
  </si>
  <si>
    <t>４歳以上児数2号
（12月）</t>
    <rPh sb="1" eb="2">
      <t>サイ</t>
    </rPh>
    <rPh sb="2" eb="4">
      <t>イジョウ</t>
    </rPh>
    <rPh sb="4" eb="5">
      <t>ジ</t>
    </rPh>
    <rPh sb="5" eb="6">
      <t>スウ</t>
    </rPh>
    <rPh sb="7" eb="8">
      <t>ゴウ</t>
    </rPh>
    <rPh sb="12" eb="13">
      <t>ツキ</t>
    </rPh>
    <phoneticPr fontId="1"/>
  </si>
  <si>
    <t>４歳以上児数2号
（1月）</t>
    <rPh sb="1" eb="2">
      <t>サイ</t>
    </rPh>
    <rPh sb="2" eb="4">
      <t>イジョウ</t>
    </rPh>
    <rPh sb="4" eb="5">
      <t>ジ</t>
    </rPh>
    <rPh sb="5" eb="6">
      <t>スウ</t>
    </rPh>
    <rPh sb="7" eb="8">
      <t>ゴウ</t>
    </rPh>
    <rPh sb="11" eb="12">
      <t>ツキ</t>
    </rPh>
    <phoneticPr fontId="1"/>
  </si>
  <si>
    <t>無</t>
  </si>
  <si>
    <t>無</t>
    <rPh sb="0" eb="1">
      <t>ム</t>
    </rPh>
    <phoneticPr fontId="6"/>
  </si>
  <si>
    <t>余裕活用型</t>
    <rPh sb="0" eb="2">
      <t>ヨユウ</t>
    </rPh>
    <rPh sb="2" eb="5">
      <t>カツヨウガタ</t>
    </rPh>
    <phoneticPr fontId="1"/>
  </si>
  <si>
    <t>配置</t>
  </si>
  <si>
    <t>嘱託</t>
  </si>
  <si>
    <t>兼務</t>
  </si>
  <si>
    <t>←栄養管理加算　基本額</t>
    <rPh sb="1" eb="5">
      <t>エイヨウカンリ</t>
    </rPh>
    <rPh sb="5" eb="7">
      <t>カサン</t>
    </rPh>
    <rPh sb="8" eb="11">
      <t>キホンガク</t>
    </rPh>
    <phoneticPr fontId="1"/>
  </si>
  <si>
    <t>様式４</t>
    <phoneticPr fontId="1"/>
  </si>
  <si>
    <t>様式６</t>
    <phoneticPr fontId="1"/>
  </si>
  <si>
    <t>様式８</t>
    <rPh sb="0" eb="2">
      <t>ヨウシキ</t>
    </rPh>
    <phoneticPr fontId="1"/>
  </si>
  <si>
    <t>精算書</t>
    <rPh sb="0" eb="3">
      <t>セイサンショ</t>
    </rPh>
    <phoneticPr fontId="1"/>
  </si>
  <si>
    <t>【よく使う文言】</t>
    <rPh sb="3" eb="4">
      <t>ツカ</t>
    </rPh>
    <rPh sb="5" eb="7">
      <t>モンゴン</t>
    </rPh>
    <phoneticPr fontId="1"/>
  </si>
  <si>
    <t xml:space="preserve">確認させていただいたところ、貴園の職員配置上、補助額はでませんでしたので、ご連絡です。
園で定める常勤時間数が空欄でしたので、前回以前のデータを参考に入力しております。
貴園の職員配置状況を踏まえ、入力・修正しております。
契約時間、勤務時間等から常勤職員となりますので、「パート・常」へ修正しております。
契約時間、勤務時間等から非常勤職員となりますので、「パート・非」へ修正しております。
黄色セルへ賃金単価等を入力ください。
栄養士がおり、人工が充足している月は、栄養管理加算を配置へ修正しておりますのでご留意ください。
　　（この点についてご不明な点等があれば、給付担当までご連絡ください。）
</t>
    <rPh sb="76" eb="78">
      <t>ニュウリョク</t>
    </rPh>
    <rPh sb="87" eb="89">
      <t>キエン</t>
    </rPh>
    <rPh sb="90" eb="92">
      <t>ショクイン</t>
    </rPh>
    <rPh sb="92" eb="94">
      <t>ハイチ</t>
    </rPh>
    <rPh sb="94" eb="96">
      <t>ジョウキョウ</t>
    </rPh>
    <rPh sb="97" eb="98">
      <t>フ</t>
    </rPh>
    <rPh sb="101" eb="103">
      <t>ニュウリョク</t>
    </rPh>
    <rPh sb="104" eb="106">
      <t>シュウセイ</t>
    </rPh>
    <rPh sb="170" eb="173">
      <t>ヒジョウキン</t>
    </rPh>
    <phoneticPr fontId="1"/>
  </si>
  <si>
    <t>加算有無</t>
    <rPh sb="0" eb="2">
      <t>カサン</t>
    </rPh>
    <rPh sb="2" eb="4">
      <t>ウム</t>
    </rPh>
    <phoneticPr fontId="1"/>
  </si>
  <si>
    <t>４・５歳児児童数</t>
    <rPh sb="3" eb="5">
      <t>サイジ</t>
    </rPh>
    <rPh sb="5" eb="8">
      <t>ジドウスウ</t>
    </rPh>
    <phoneticPr fontId="1"/>
  </si>
  <si>
    <t>加算単価</t>
    <rPh sb="0" eb="4">
      <t>カサンタンカ</t>
    </rPh>
    <phoneticPr fontId="1"/>
  </si>
  <si>
    <t>加算額</t>
    <rPh sb="0" eb="3">
      <t>カサンガク</t>
    </rPh>
    <phoneticPr fontId="1"/>
  </si>
  <si>
    <t>４月</t>
    <rPh sb="1" eb="2">
      <t>ツキ</t>
    </rPh>
    <phoneticPr fontId="1"/>
  </si>
  <si>
    <t>５月</t>
    <rPh sb="1" eb="2">
      <t>ツキ</t>
    </rPh>
    <phoneticPr fontId="1"/>
  </si>
  <si>
    <t>令和７年２月</t>
    <rPh sb="0" eb="2">
      <t>レイワ</t>
    </rPh>
    <rPh sb="3" eb="4">
      <t>ネン</t>
    </rPh>
    <rPh sb="5" eb="6">
      <t>ガツ</t>
    </rPh>
    <phoneticPr fontId="1"/>
  </si>
  <si>
    <t>　令和７年３月７日（金）　　　</t>
    <rPh sb="1" eb="3">
      <t>レイワ</t>
    </rPh>
    <rPh sb="4" eb="5">
      <t>ネン</t>
    </rPh>
    <rPh sb="6" eb="7">
      <t>ガツ</t>
    </rPh>
    <rPh sb="8" eb="9">
      <t>ニチ</t>
    </rPh>
    <rPh sb="10" eb="11">
      <t>キン</t>
    </rPh>
    <phoneticPr fontId="1"/>
  </si>
  <si>
    <t>※提出後に経費等が確定することにより補助額が変更となり、書類を差し替える場合、４月１日（火）までにデータを必ず提出ください。</t>
    <phoneticPr fontId="1"/>
  </si>
  <si>
    <t>（園ごとの固有番号）</t>
    <rPh sb="1" eb="2">
      <t>エン</t>
    </rPh>
    <rPh sb="5" eb="9">
      <t>コユウバンゴウ</t>
    </rPh>
    <phoneticPr fontId="1"/>
  </si>
  <si>
    <t>公定価格加算分</t>
    <rPh sb="0" eb="7">
      <t>コウテイカカクカサンブン</t>
    </rPh>
    <phoneticPr fontId="29"/>
  </si>
  <si>
    <t>(園ごとの固有番号)</t>
    <rPh sb="1" eb="2">
      <t>エン</t>
    </rPh>
    <rPh sb="5" eb="9">
      <t>コユウバンゴウ</t>
    </rPh>
    <phoneticPr fontId="15"/>
  </si>
  <si>
    <t>　令和７年３月３１日付け千葉市達こ幼運第　　　　号　  　　千葉市施設型給付対象施設保育士等配置基準改善事業補助金額確定通知書により確定した補助金の交付について、千葉市施設型給付対象施設運営事業補助金交付要綱第１２条の規定に基づき次のとおり請求します。</t>
    <rPh sb="4" eb="5">
      <t>ネン</t>
    </rPh>
    <rPh sb="6" eb="7">
      <t>ガツ</t>
    </rPh>
    <rPh sb="9" eb="10">
      <t>ニチ</t>
    </rPh>
    <rPh sb="10" eb="11">
      <t>ツ</t>
    </rPh>
    <rPh sb="12" eb="15">
      <t>チバシ</t>
    </rPh>
    <rPh sb="15" eb="16">
      <t>タツ</t>
    </rPh>
    <rPh sb="17" eb="18">
      <t>ヨウ</t>
    </rPh>
    <rPh sb="18" eb="19">
      <t>ウン</t>
    </rPh>
    <rPh sb="19" eb="20">
      <t>ダイ</t>
    </rPh>
    <rPh sb="24" eb="25">
      <t>ゴウ</t>
    </rPh>
    <rPh sb="30" eb="32">
      <t>チバ</t>
    </rPh>
    <rPh sb="32" eb="33">
      <t>シ</t>
    </rPh>
    <rPh sb="33" eb="42">
      <t>シセツガタキュウフタイショウシセツ</t>
    </rPh>
    <rPh sb="42" eb="45">
      <t>ホイクシ</t>
    </rPh>
    <rPh sb="45" eb="46">
      <t>トウ</t>
    </rPh>
    <rPh sb="46" eb="48">
      <t>ハイチ</t>
    </rPh>
    <rPh sb="84" eb="93">
      <t>シセツガタキュウフタイショウシセツ</t>
    </rPh>
    <phoneticPr fontId="6"/>
  </si>
  <si>
    <t>（園ごとの固有番号）</t>
    <rPh sb="1" eb="2">
      <t>エン</t>
    </rPh>
    <rPh sb="5" eb="9">
      <t>コユウバンゴウ</t>
    </rPh>
    <rPh sb="9" eb="10">
      <t>ヤスナ</t>
    </rPh>
    <phoneticPr fontId="15"/>
  </si>
  <si>
    <t>（あて先）千 葉 市 長</t>
    <rPh sb="3" eb="4">
      <t>サキ</t>
    </rPh>
    <rPh sb="5" eb="6">
      <t>セン</t>
    </rPh>
    <rPh sb="7" eb="8">
      <t>ハ</t>
    </rPh>
    <rPh sb="9" eb="10">
      <t>シ</t>
    </rPh>
    <rPh sb="11" eb="12">
      <t>チョウ</t>
    </rPh>
    <phoneticPr fontId="6"/>
  </si>
  <si>
    <t>千葉市施設型給付対象施設保育士等配置基準改善費算出内訳書（１０）</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</si>
  <si>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8．</t>
    <phoneticPr fontId="1"/>
  </si>
  <si>
    <t>公定価格加算分</t>
    <rPh sb="0" eb="4">
      <t>コウテイカカク</t>
    </rPh>
    <rPh sb="4" eb="7">
      <t>カサンブン</t>
    </rPh>
    <phoneticPr fontId="1"/>
  </si>
  <si>
    <t>①4歳以上児配置改善加算額相当額</t>
    <rPh sb="2" eb="5">
      <t>サイイジョウ</t>
    </rPh>
    <rPh sb="5" eb="6">
      <t>ジ</t>
    </rPh>
    <rPh sb="6" eb="8">
      <t>ハイチ</t>
    </rPh>
    <rPh sb="8" eb="10">
      <t>カイゼン</t>
    </rPh>
    <rPh sb="10" eb="12">
      <t>カサン</t>
    </rPh>
    <rPh sb="12" eb="13">
      <t>ガク</t>
    </rPh>
    <rPh sb="13" eb="16">
      <t>ソウトウガク</t>
    </rPh>
    <phoneticPr fontId="1"/>
  </si>
  <si>
    <t>助成第１班　神谷・髙木</t>
    <rPh sb="6" eb="8">
      <t>カミヤ</t>
    </rPh>
    <rPh sb="9" eb="11">
      <t>タカギ</t>
    </rPh>
    <phoneticPr fontId="1"/>
  </si>
  <si>
    <t>２号</t>
    <rPh sb="1" eb="2">
      <t>ゴウ</t>
    </rPh>
    <phoneticPr fontId="1"/>
  </si>
  <si>
    <t>１号</t>
    <rPh sb="1" eb="2">
      <t>ゴウ</t>
    </rPh>
    <phoneticPr fontId="1"/>
  </si>
  <si>
    <t>このシートは貴園は対象外ですので入力の必要はありません。</t>
    <phoneticPr fontId="1"/>
  </si>
  <si>
    <t>調理員等判定</t>
    <rPh sb="0" eb="3">
      <t>チョウリイン</t>
    </rPh>
    <rPh sb="3" eb="4">
      <t>トウ</t>
    </rPh>
    <rPh sb="4" eb="6">
      <t>ハンテイ</t>
    </rPh>
    <phoneticPr fontId="1"/>
  </si>
  <si>
    <t>４歳以上児配置改善加算の適用</t>
    <rPh sb="1" eb="4">
      <t>サイイジョウ</t>
    </rPh>
    <rPh sb="4" eb="5">
      <t>ジ</t>
    </rPh>
    <rPh sb="5" eb="7">
      <t>ハイチ</t>
    </rPh>
    <rPh sb="7" eb="9">
      <t>カイゼン</t>
    </rPh>
    <rPh sb="9" eb="11">
      <t>カサン</t>
    </rPh>
    <rPh sb="12" eb="14">
      <t>テキヨウ</t>
    </rPh>
    <phoneticPr fontId="1"/>
  </si>
  <si>
    <t>×の合計</t>
    <rPh sb="2" eb="4">
      <t>ゴウケイ</t>
    </rPh>
    <phoneticPr fontId="1"/>
  </si>
  <si>
    <t>×の数</t>
    <rPh sb="2" eb="3">
      <t>カズ</t>
    </rPh>
    <phoneticPr fontId="1"/>
  </si>
  <si>
    <t>判定</t>
    <rPh sb="0" eb="2">
      <t>ハンテイ</t>
    </rPh>
    <phoneticPr fontId="1"/>
  </si>
  <si>
    <t>契約時間</t>
    <rPh sb="0" eb="2">
      <t>ケイヤク</t>
    </rPh>
    <rPh sb="2" eb="4">
      <t>ジカン</t>
    </rPh>
    <phoneticPr fontId="1"/>
  </si>
  <si>
    <t>認定こども園　梅乃園幼稚園</t>
    <rPh sb="0" eb="2">
      <t>ニンテイ</t>
    </rPh>
    <rPh sb="5" eb="6">
      <t>エン</t>
    </rPh>
    <rPh sb="7" eb="8">
      <t>ウメ</t>
    </rPh>
    <rPh sb="8" eb="9">
      <t>ノ</t>
    </rPh>
    <rPh sb="9" eb="10">
      <t>ソノ</t>
    </rPh>
    <rPh sb="10" eb="13">
      <t>ヨウチエン</t>
    </rPh>
    <phoneticPr fontId="4"/>
  </si>
  <si>
    <t>認定こども園　大巌寺幼稚園</t>
    <rPh sb="0" eb="2">
      <t>ニンテイ</t>
    </rPh>
    <rPh sb="5" eb="6">
      <t>エン</t>
    </rPh>
    <rPh sb="7" eb="10">
      <t>ダイガンジ</t>
    </rPh>
    <rPh sb="10" eb="13">
      <t>ヨウチエン</t>
    </rPh>
    <phoneticPr fontId="4"/>
  </si>
  <si>
    <t>そらまめ保育園新千葉</t>
    <rPh sb="4" eb="7">
      <t>ホイクエン</t>
    </rPh>
    <rPh sb="7" eb="8">
      <t>シン</t>
    </rPh>
    <rPh sb="8" eb="10">
      <t>チバ</t>
    </rPh>
    <phoneticPr fontId="5"/>
  </si>
  <si>
    <t>あおば保育園</t>
    <rPh sb="3" eb="6">
      <t>ホイクエン</t>
    </rPh>
    <phoneticPr fontId="4"/>
  </si>
  <si>
    <t>チャコ保育園</t>
    <rPh sb="3" eb="6">
      <t>ホイクエン</t>
    </rPh>
    <phoneticPr fontId="4"/>
  </si>
  <si>
    <t>かえで保育園千葉中央</t>
    <rPh sb="6" eb="8">
      <t>チバ</t>
    </rPh>
    <rPh sb="8" eb="10">
      <t>チュウオウ</t>
    </rPh>
    <phoneticPr fontId="4"/>
  </si>
  <si>
    <t>千葉蘇我雲母保育園</t>
    <rPh sb="0" eb="4">
      <t>チバソガ</t>
    </rPh>
    <rPh sb="4" eb="6">
      <t>キララ</t>
    </rPh>
    <rPh sb="6" eb="9">
      <t>ホイクエン</t>
    </rPh>
    <phoneticPr fontId="4"/>
  </si>
  <si>
    <t>かえで保育園本千葉</t>
    <rPh sb="3" eb="6">
      <t>ホイクエン</t>
    </rPh>
    <rPh sb="6" eb="9">
      <t>ホンチバ</t>
    </rPh>
    <phoneticPr fontId="4"/>
  </si>
  <si>
    <t>かえで保育園西千葉</t>
    <rPh sb="3" eb="6">
      <t>ホイクエン</t>
    </rPh>
    <phoneticPr fontId="4"/>
  </si>
  <si>
    <t>弁天はすのこ保育園</t>
    <rPh sb="0" eb="2">
      <t>ベンテン</t>
    </rPh>
    <rPh sb="6" eb="9">
      <t>ホイクエン</t>
    </rPh>
    <phoneticPr fontId="4"/>
  </si>
  <si>
    <t>都はるかぜ保育園</t>
    <rPh sb="0" eb="1">
      <t>ミヤコ</t>
    </rPh>
    <rPh sb="5" eb="8">
      <t>ホイクエン</t>
    </rPh>
    <phoneticPr fontId="4"/>
  </si>
  <si>
    <t>幼保連携型認定こども園　さざれ幼稚園</t>
    <rPh sb="0" eb="1">
      <t>ヨウ</t>
    </rPh>
    <rPh sb="1" eb="2">
      <t>ホ</t>
    </rPh>
    <rPh sb="2" eb="5">
      <t>レンケイガタ</t>
    </rPh>
    <rPh sb="5" eb="7">
      <t>ニンテイ</t>
    </rPh>
    <rPh sb="10" eb="11">
      <t>エン</t>
    </rPh>
    <rPh sb="15" eb="18">
      <t>ヨウチエン</t>
    </rPh>
    <phoneticPr fontId="40"/>
  </si>
  <si>
    <t>リトルガーデンインターナショナル幕張本郷認可保育園</t>
    <rPh sb="16" eb="18">
      <t>マクハリ</t>
    </rPh>
    <rPh sb="18" eb="20">
      <t>ホンゴウ</t>
    </rPh>
    <rPh sb="20" eb="22">
      <t>ニンカ</t>
    </rPh>
    <rPh sb="22" eb="25">
      <t>ホイクエン</t>
    </rPh>
    <phoneticPr fontId="1"/>
  </si>
  <si>
    <t>検見川はないろ保育園</t>
    <rPh sb="7" eb="10">
      <t>ホイクエン</t>
    </rPh>
    <phoneticPr fontId="4"/>
  </si>
  <si>
    <t>スマイスセレソンスポーツ保育園新検見川</t>
    <rPh sb="12" eb="15">
      <t>ホイクエン</t>
    </rPh>
    <rPh sb="15" eb="19">
      <t>シンケミガワ</t>
    </rPh>
    <phoneticPr fontId="4"/>
  </si>
  <si>
    <t>認定こども園　あやめ台幼稚園</t>
    <rPh sb="0" eb="2">
      <t>ニンテイ</t>
    </rPh>
    <rPh sb="5" eb="6">
      <t>エン</t>
    </rPh>
    <rPh sb="10" eb="11">
      <t>ダイ</t>
    </rPh>
    <rPh sb="11" eb="14">
      <t>ヨウチエン</t>
    </rPh>
    <phoneticPr fontId="4"/>
  </si>
  <si>
    <t>まなびの森　いなほ保育園</t>
    <rPh sb="4" eb="5">
      <t>モリ</t>
    </rPh>
    <phoneticPr fontId="4"/>
  </si>
  <si>
    <t>認定こども園　弥生幼稚園</t>
    <rPh sb="0" eb="2">
      <t>ニンテイ</t>
    </rPh>
    <rPh sb="5" eb="6">
      <t>エン</t>
    </rPh>
    <rPh sb="7" eb="9">
      <t>ヤヨイ</t>
    </rPh>
    <rPh sb="9" eb="12">
      <t>ヨウチエン</t>
    </rPh>
    <phoneticPr fontId="4"/>
  </si>
  <si>
    <t>認定こども園　園生幼稚園</t>
    <rPh sb="0" eb="2">
      <t>ニンテイ</t>
    </rPh>
    <rPh sb="5" eb="6">
      <t>エン</t>
    </rPh>
    <rPh sb="7" eb="9">
      <t>ソンノウ</t>
    </rPh>
    <rPh sb="9" eb="12">
      <t>ヨウチエン</t>
    </rPh>
    <phoneticPr fontId="4"/>
  </si>
  <si>
    <t>AIAI NURSERY　幕張</t>
  </si>
  <si>
    <t>かえで保育園幕張駅前</t>
  </si>
  <si>
    <t>みのり認定こども園</t>
    <rPh sb="3" eb="5">
      <t>ニンテイ</t>
    </rPh>
    <rPh sb="8" eb="9">
      <t>エン</t>
    </rPh>
    <phoneticPr fontId="4"/>
  </si>
  <si>
    <t>小ばと会ちしろ保育園</t>
    <rPh sb="0" eb="1">
      <t>ショウ</t>
    </rPh>
    <rPh sb="3" eb="4">
      <t>カイ</t>
    </rPh>
    <rPh sb="7" eb="10">
      <t>ホイクエン</t>
    </rPh>
    <phoneticPr fontId="4"/>
  </si>
  <si>
    <t>ニチイキッズ
あすみが丘保育園</t>
    <rPh sb="11" eb="12">
      <t>オカ</t>
    </rPh>
    <rPh sb="12" eb="15">
      <t>ホイクエン</t>
    </rPh>
    <phoneticPr fontId="10"/>
  </si>
  <si>
    <t>幼保連携型認定こども園　ChaCha Children Makuhari</t>
    <rPh sb="0" eb="5">
      <t>ヨウホレンケイガタ</t>
    </rPh>
    <rPh sb="5" eb="7">
      <t>ニンテイ</t>
    </rPh>
    <rPh sb="10" eb="11">
      <t>エン</t>
    </rPh>
    <phoneticPr fontId="1"/>
  </si>
  <si>
    <t>リトルガーデンインターナショナル海浜幕張認可保育園</t>
  </si>
  <si>
    <t>オーチャード・キッズ稲毛海岸保育園第二</t>
    <rPh sb="14" eb="17">
      <t>ホイクエン</t>
    </rPh>
    <rPh sb="17" eb="19">
      <t>ダイニ</t>
    </rPh>
    <phoneticPr fontId="1"/>
  </si>
  <si>
    <t>リトルガーデンインターナショナル幕張ベイパーク保育園</t>
    <rPh sb="16" eb="18">
      <t>マクハリ</t>
    </rPh>
    <rPh sb="23" eb="26">
      <t>ホイクエン</t>
    </rPh>
    <phoneticPr fontId="1"/>
  </si>
  <si>
    <t>かえで保育園いそべ</t>
    <rPh sb="3" eb="6">
      <t>ホイクエン</t>
    </rPh>
    <phoneticPr fontId="1"/>
  </si>
  <si>
    <t>あかり保育園</t>
    <rPh sb="3" eb="6">
      <t>ホイクエン</t>
    </rPh>
    <phoneticPr fontId="1"/>
  </si>
  <si>
    <t>オンジュソリール保育園　海浜幕張 Park Side</t>
  </si>
  <si>
    <t>AIAI　NURSERY　海浜幕張</t>
    <rPh sb="13" eb="15">
      <t>カイヒン</t>
    </rPh>
    <rPh sb="15" eb="17">
      <t>マクハリ</t>
    </rPh>
    <phoneticPr fontId="1"/>
  </si>
  <si>
    <t>みのり認定こども園</t>
  </si>
  <si>
    <t>（学）幸正寺学園</t>
  </si>
  <si>
    <t>岩舘正雄</t>
  </si>
  <si>
    <t>幼保連携型認定こども園　しらぎく</t>
  </si>
  <si>
    <t>（学）千葉白菊学園</t>
  </si>
  <si>
    <t>鳰川　泰也</t>
  </si>
  <si>
    <t>幼保連携型認定こども園　若梅認定こども園</t>
  </si>
  <si>
    <t>（福）富岳会</t>
  </si>
  <si>
    <t>吉江　規隆</t>
  </si>
  <si>
    <t>認定こども園　梅乃園幼稚園</t>
  </si>
  <si>
    <t>（学）梅園学園</t>
  </si>
  <si>
    <t>杉本　卓美</t>
  </si>
  <si>
    <t>幼保連携型認定こども園　ChaCha Children Makuhari</t>
  </si>
  <si>
    <t>（福）ChaCha Children ＆ Co.</t>
  </si>
  <si>
    <t>迫田　健太郎</t>
  </si>
  <si>
    <t>幼保連携型認定こども園　さざれ幼稚園</t>
  </si>
  <si>
    <t>個人</t>
    <rPh sb="0" eb="2">
      <t>コジン</t>
    </rPh>
    <phoneticPr fontId="4"/>
  </si>
  <si>
    <t>設置者</t>
  </si>
  <si>
    <t>大野晴永</t>
  </si>
  <si>
    <t>認定こども園　大巌寺幼稚園</t>
  </si>
  <si>
    <t>（学）大巌寺学園</t>
  </si>
  <si>
    <t>長谷川　俊哉</t>
  </si>
  <si>
    <t>幼保連携型認定こども園
チューリップこども園</t>
  </si>
  <si>
    <t>（福）聖心福祉会</t>
  </si>
  <si>
    <t>藤井二佐枝</t>
  </si>
  <si>
    <t>認定こども園　あやめ台幼稚園</t>
  </si>
  <si>
    <t>（学）神栄学園</t>
  </si>
  <si>
    <t>神野茂美</t>
  </si>
  <si>
    <t>認定こども園　弥生幼稚園</t>
  </si>
  <si>
    <t>（学）神美学園</t>
  </si>
  <si>
    <t>神野　茂美</t>
  </si>
  <si>
    <t>認定こども園　園生幼稚園</t>
  </si>
  <si>
    <t>（学）笠川学園</t>
  </si>
  <si>
    <t>笠川　正和</t>
  </si>
  <si>
    <t>千葉県千葉市若葉区都賀５丁目２０－２６</t>
  </si>
  <si>
    <t>千葉県千葉市美浜区幸町２丁目１２－８</t>
  </si>
  <si>
    <t>千葉県千葉市美浜区高洲４丁目５－９</t>
  </si>
  <si>
    <t>千葉県千葉市中央区矢作町９３９－６</t>
  </si>
  <si>
    <t>東京都新宿区新宿５丁目１－１</t>
  </si>
  <si>
    <t>千葉県千葉市花見川区幕張町５丁目２４１</t>
  </si>
  <si>
    <t>千葉県千葉市中央区大巌寺町１８６</t>
  </si>
  <si>
    <t>千葉県千葉市美浜区真砂３丁目１５－１４</t>
  </si>
  <si>
    <t>千葉県千葉市稲毛区園生町４６８－１</t>
  </si>
  <si>
    <t>千葉県千葉市稲毛区穴川１丁目４－６</t>
  </si>
  <si>
    <t>千葉県千葉市稲毛区園生町９５６－６</t>
  </si>
  <si>
    <t>QLX45547</t>
  </si>
  <si>
    <t>KVH27015</t>
  </si>
  <si>
    <t>EWC62326</t>
  </si>
  <si>
    <t>FBD94893</t>
  </si>
  <si>
    <t>ZBQ23069</t>
  </si>
  <si>
    <t>GRV11412</t>
  </si>
  <si>
    <t>SON76613</t>
  </si>
  <si>
    <t>SXE89646</t>
  </si>
  <si>
    <t>GUK78994</t>
  </si>
  <si>
    <t>SQX70835</t>
  </si>
  <si>
    <t>RST17069</t>
  </si>
  <si>
    <t xml:space="preserve"> </t>
    <phoneticPr fontId="1"/>
  </si>
  <si>
    <t>幼稚</t>
    <rPh sb="0" eb="2">
      <t>ヨウチ</t>
    </rPh>
    <phoneticPr fontId="4"/>
  </si>
  <si>
    <t>幼保</t>
    <rPh sb="0" eb="2">
      <t>ヨウホ</t>
    </rPh>
    <phoneticPr fontId="4"/>
  </si>
  <si>
    <t>幼保</t>
    <rPh sb="0" eb="1">
      <t>ヨウ</t>
    </rPh>
    <rPh sb="1" eb="2">
      <t>ホ</t>
    </rPh>
    <phoneticPr fontId="5"/>
  </si>
  <si>
    <t>幼稚</t>
    <rPh sb="0" eb="2">
      <t>ヨウチ</t>
    </rPh>
    <phoneticPr fontId="5"/>
  </si>
  <si>
    <t>・実績額が概算払い済額を下回る場合、令和８年５月末までに、過払い額を返還していただきます。</t>
    <phoneticPr fontId="1"/>
  </si>
  <si>
    <t>上記注意事項を了承し、概算払い（１回目・5/30支払予定）を希望しますか　→</t>
    <rPh sb="0" eb="2">
      <t>ジョウキ</t>
    </rPh>
    <rPh sb="2" eb="4">
      <t>チュウイ</t>
    </rPh>
    <rPh sb="4" eb="6">
      <t>ジコウ</t>
    </rPh>
    <rPh sb="7" eb="9">
      <t>リョウショウ</t>
    </rPh>
    <rPh sb="11" eb="13">
      <t>ガイサン</t>
    </rPh>
    <rPh sb="13" eb="14">
      <t>バラ</t>
    </rPh>
    <rPh sb="17" eb="19">
      <t>カイメ</t>
    </rPh>
    <rPh sb="24" eb="26">
      <t>シハライ</t>
    </rPh>
    <rPh sb="26" eb="28">
      <t>ヨテイ</t>
    </rPh>
    <rPh sb="30" eb="32">
      <t>キボウ</t>
    </rPh>
    <phoneticPr fontId="1"/>
  </si>
  <si>
    <t>F39セル</t>
    <phoneticPr fontId="1"/>
  </si>
  <si>
    <t>F30セル</t>
    <phoneticPr fontId="1"/>
  </si>
  <si>
    <t>F31セル</t>
    <phoneticPr fontId="1"/>
  </si>
  <si>
    <t>F32セル</t>
    <phoneticPr fontId="1"/>
  </si>
  <si>
    <t>F33セル</t>
    <phoneticPr fontId="1"/>
  </si>
  <si>
    <t>F34セル</t>
    <phoneticPr fontId="1"/>
  </si>
  <si>
    <t>F40セル</t>
    <phoneticPr fontId="1"/>
  </si>
  <si>
    <t>F41セル</t>
    <phoneticPr fontId="1"/>
  </si>
  <si>
    <t>正規職員「以外」の職員を補助事業の対象者とする場合には、雇用契約内容証明書を提出してください。</t>
    <phoneticPr fontId="1"/>
  </si>
  <si>
    <t>（雇用契約内容証明書に変えて、労働契約書（写）の提出でも結構です。）</t>
    <rPh sb="28" eb="30">
      <t>ケッコウ</t>
    </rPh>
    <phoneticPr fontId="1"/>
  </si>
  <si>
    <t>４歳児配置改善加算適用の有無を選択してください。</t>
    <rPh sb="1" eb="3">
      <t>サイジ</t>
    </rPh>
    <rPh sb="3" eb="5">
      <t>ハイチ</t>
    </rPh>
    <rPh sb="5" eb="7">
      <t>カイゼン</t>
    </rPh>
    <rPh sb="7" eb="9">
      <t>カサン</t>
    </rPh>
    <rPh sb="9" eb="11">
      <t>テキヨウ</t>
    </rPh>
    <rPh sb="12" eb="14">
      <t>ウム</t>
    </rPh>
    <rPh sb="15" eb="17">
      <t>センタク</t>
    </rPh>
    <phoneticPr fontId="1"/>
  </si>
  <si>
    <t>IEY27296</t>
    <phoneticPr fontId="1"/>
  </si>
  <si>
    <r>
      <t>・「正」、「-」と表記のセルは操作する必要はありません。
・「見込を入力」と記載されているセルについて、各月の勤務実績時間を記載してください。
・勤務実績時間は、</t>
    </r>
    <r>
      <rPr>
        <b/>
        <u/>
        <sz val="12"/>
        <color theme="1"/>
        <rFont val="BIZ UDPゴシック"/>
        <family val="3"/>
        <charset val="128"/>
      </rPr>
      <t>延長保育事業に係る勤務時間を除いた時間数</t>
    </r>
    <r>
      <rPr>
        <sz val="12"/>
        <color theme="1"/>
        <rFont val="BIZ UDPゴシック"/>
        <family val="3"/>
        <charset val="128"/>
      </rPr>
      <t>となります。</t>
    </r>
    <rPh sb="2" eb="3">
      <t>セイ</t>
    </rPh>
    <rPh sb="9" eb="11">
      <t>ヒョウキ</t>
    </rPh>
    <rPh sb="15" eb="17">
      <t>ソウサ</t>
    </rPh>
    <rPh sb="19" eb="21">
      <t>ヒツヨウ</t>
    </rPh>
    <rPh sb="31" eb="33">
      <t>ミコ</t>
    </rPh>
    <rPh sb="38" eb="40">
      <t>キサイ</t>
    </rPh>
    <rPh sb="52" eb="54">
      <t>カクツキ</t>
    </rPh>
    <rPh sb="55" eb="57">
      <t>キンム</t>
    </rPh>
    <rPh sb="57" eb="59">
      <t>ジッセキ</t>
    </rPh>
    <rPh sb="59" eb="61">
      <t>ジカン</t>
    </rPh>
    <rPh sb="62" eb="64">
      <t>キサイ</t>
    </rPh>
    <rPh sb="73" eb="75">
      <t>キンム</t>
    </rPh>
    <rPh sb="75" eb="77">
      <t>ジッセキ</t>
    </rPh>
    <rPh sb="77" eb="79">
      <t>ジカン</t>
    </rPh>
    <rPh sb="81" eb="83">
      <t>エンチョウ</t>
    </rPh>
    <rPh sb="83" eb="85">
      <t>ホイク</t>
    </rPh>
    <rPh sb="85" eb="87">
      <t>ジギョウ</t>
    </rPh>
    <rPh sb="88" eb="89">
      <t>カカ</t>
    </rPh>
    <rPh sb="90" eb="92">
      <t>キンム</t>
    </rPh>
    <rPh sb="92" eb="94">
      <t>ジカン</t>
    </rPh>
    <rPh sb="95" eb="96">
      <t>ノゾ</t>
    </rPh>
    <rPh sb="98" eb="101">
      <t>ジカンスウ</t>
    </rPh>
    <phoneticPr fontId="1"/>
  </si>
  <si>
    <t>各園が就業規則に定める月ごとの「常勤時間数」を記載してください。</t>
    <rPh sb="0" eb="2">
      <t>カクエン</t>
    </rPh>
    <rPh sb="3" eb="5">
      <t>シュウギョウ</t>
    </rPh>
    <rPh sb="5" eb="7">
      <t>キソク</t>
    </rPh>
    <rPh sb="8" eb="9">
      <t>サダ</t>
    </rPh>
    <rPh sb="11" eb="12">
      <t>ツキ</t>
    </rPh>
    <rPh sb="16" eb="18">
      <t>ジョウキン</t>
    </rPh>
    <rPh sb="18" eb="21">
      <t>ジカンスウ</t>
    </rPh>
    <rPh sb="23" eb="25">
      <t>キサイ</t>
    </rPh>
    <phoneticPr fontId="1"/>
  </si>
  <si>
    <t>【当初①基本情報】</t>
    <rPh sb="1" eb="3">
      <t>トウショ</t>
    </rPh>
    <rPh sb="4" eb="8">
      <t>キホンジョウホウ</t>
    </rPh>
    <phoneticPr fontId="1"/>
  </si>
  <si>
    <t>【当初⑤基本加算１、⑥基本加算２、⑦基本加算３、⑩特定加算１、⑪特定加算２】</t>
    <rPh sb="1" eb="3">
      <t>トウショ</t>
    </rPh>
    <rPh sb="4" eb="6">
      <t>キホン</t>
    </rPh>
    <rPh sb="6" eb="8">
      <t>カサン</t>
    </rPh>
    <rPh sb="11" eb="13">
      <t>キホン</t>
    </rPh>
    <rPh sb="13" eb="15">
      <t>カサン</t>
    </rPh>
    <rPh sb="18" eb="20">
      <t>キホン</t>
    </rPh>
    <rPh sb="20" eb="22">
      <t>カサン</t>
    </rPh>
    <rPh sb="25" eb="29">
      <t>トクテイカサン</t>
    </rPh>
    <rPh sb="32" eb="36">
      <t>トクテイカサン</t>
    </rPh>
    <phoneticPr fontId="1"/>
  </si>
  <si>
    <t>プルダウンメニューから、担当職員を選択してください。
【担当職員について】
なるべく、Ｃ列に記載の職種の職員を選択して下さい（短時間の非常勤の場合は、複数者を選択してください）。
なお、補助基準額に達しない場合、他職種の方でも構いませんが、複数の職種の方の混在はできません。</t>
    <rPh sb="12" eb="14">
      <t>タントウ</t>
    </rPh>
    <rPh sb="14" eb="16">
      <t>ショクイン</t>
    </rPh>
    <rPh sb="17" eb="19">
      <t>センタク</t>
    </rPh>
    <rPh sb="28" eb="30">
      <t>タントウ</t>
    </rPh>
    <rPh sb="30" eb="32">
      <t>ショクイン</t>
    </rPh>
    <rPh sb="44" eb="45">
      <t>レツ</t>
    </rPh>
    <rPh sb="46" eb="48">
      <t>キサイ</t>
    </rPh>
    <rPh sb="49" eb="51">
      <t>ショクシュ</t>
    </rPh>
    <rPh sb="52" eb="54">
      <t>ショクイン</t>
    </rPh>
    <rPh sb="55" eb="57">
      <t>センタク</t>
    </rPh>
    <rPh sb="59" eb="60">
      <t>クダ</t>
    </rPh>
    <rPh sb="63" eb="66">
      <t>タンジカン</t>
    </rPh>
    <rPh sb="67" eb="70">
      <t>ヒジョウキン</t>
    </rPh>
    <rPh sb="71" eb="73">
      <t>バアイ</t>
    </rPh>
    <rPh sb="75" eb="77">
      <t>フクスウ</t>
    </rPh>
    <rPh sb="77" eb="78">
      <t>モノ</t>
    </rPh>
    <rPh sb="79" eb="81">
      <t>センタク</t>
    </rPh>
    <rPh sb="93" eb="95">
      <t>ホジョ</t>
    </rPh>
    <rPh sb="95" eb="97">
      <t>キジュン</t>
    </rPh>
    <rPh sb="97" eb="98">
      <t>ガク</t>
    </rPh>
    <rPh sb="99" eb="100">
      <t>タッ</t>
    </rPh>
    <rPh sb="103" eb="105">
      <t>バアイ</t>
    </rPh>
    <rPh sb="106" eb="107">
      <t>ホカ</t>
    </rPh>
    <rPh sb="107" eb="109">
      <t>ショクシュ</t>
    </rPh>
    <rPh sb="110" eb="111">
      <t>カタ</t>
    </rPh>
    <rPh sb="113" eb="114">
      <t>カマ</t>
    </rPh>
    <rPh sb="120" eb="122">
      <t>フクスウ</t>
    </rPh>
    <rPh sb="123" eb="125">
      <t>ショクシュ</t>
    </rPh>
    <rPh sb="126" eb="127">
      <t>カタ</t>
    </rPh>
    <rPh sb="128" eb="130">
      <t>コンザイ</t>
    </rPh>
    <phoneticPr fontId="1"/>
  </si>
  <si>
    <r>
      <t>「賃金単価を記載」と表示されているセルに、職員の賃金単価を記載してください（非常勤職員のみ）。
なお、賃金単価を入力する際には、</t>
    </r>
    <r>
      <rPr>
        <sz val="11"/>
        <color rgb="FFFF0000"/>
        <rFont val="Meiryo UI"/>
        <family val="3"/>
        <charset val="128"/>
      </rPr>
      <t>処遇改善等加算Ⅰ～Ⅲや千葉市手当など、他制度による支援額を除いた額</t>
    </r>
    <r>
      <rPr>
        <sz val="11"/>
        <color theme="1"/>
        <rFont val="Meiryo UI"/>
        <family val="3"/>
        <charset val="128"/>
      </rPr>
      <t>を入力ください。</t>
    </r>
    <rPh sb="10" eb="12">
      <t>ヒョウジ</t>
    </rPh>
    <rPh sb="21" eb="23">
      <t>ショクイン</t>
    </rPh>
    <rPh sb="24" eb="26">
      <t>チンギン</t>
    </rPh>
    <rPh sb="26" eb="28">
      <t>タンカ</t>
    </rPh>
    <rPh sb="29" eb="31">
      <t>キサイ</t>
    </rPh>
    <rPh sb="38" eb="41">
      <t>ヒジョウキン</t>
    </rPh>
    <rPh sb="41" eb="43">
      <t>ショクイン</t>
    </rPh>
    <phoneticPr fontId="1"/>
  </si>
  <si>
    <t>【当初⑧一般加算１、一般加算２】</t>
    <rPh sb="1" eb="3">
      <t>トウショ</t>
    </rPh>
    <rPh sb="4" eb="8">
      <t>イッパンカサン</t>
    </rPh>
    <rPh sb="10" eb="14">
      <t>イッパンカサン</t>
    </rPh>
    <phoneticPr fontId="1"/>
  </si>
  <si>
    <t>プルダウンメニューから、担当職員を選択してください。
【担当職員について】
なるべく、Ｄ列に記載の職種の職員を選択して下さい（短時間の非常勤の場合は、複数者を選択してください）。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</si>
  <si>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「勤務日数を記載（定期利用の場合、1と記載)」と表示されているセルに、職員の勤務日数を記載してください
（非常勤職員のみ）。
通勤に定期券を利用する者については、便宜上「1」を記載してください。</t>
    <rPh sb="24" eb="26">
      <t>ヒョウジ</t>
    </rPh>
    <rPh sb="35" eb="37">
      <t>ショクイン</t>
    </rPh>
    <rPh sb="38" eb="40">
      <t>キンム</t>
    </rPh>
    <rPh sb="40" eb="42">
      <t>ニッスウ</t>
    </rPh>
    <rPh sb="43" eb="45">
      <t>キサイ</t>
    </rPh>
    <rPh sb="53" eb="56">
      <t>ヒジョウキン</t>
    </rPh>
    <rPh sb="56" eb="58">
      <t>ショクイン</t>
    </rPh>
    <rPh sb="63" eb="65">
      <t>ツウキン</t>
    </rPh>
    <rPh sb="66" eb="69">
      <t>テイキケン</t>
    </rPh>
    <rPh sb="70" eb="72">
      <t>リヨウ</t>
    </rPh>
    <rPh sb="74" eb="75">
      <t>モノ</t>
    </rPh>
    <rPh sb="81" eb="83">
      <t>ベンギ</t>
    </rPh>
    <rPh sb="83" eb="84">
      <t>ジョウ</t>
    </rPh>
    <rPh sb="88" eb="90">
      <t>キサイ</t>
    </rPh>
    <phoneticPr fontId="1"/>
  </si>
  <si>
    <t>「日額の交通費を記載（定期利用の場合は月額)」と表示されているセルに、職員の交通費を記載してください
（非常勤職員のみ）。
通勤に定期券を利用する者については、定期券の金額（1カ月分）を記載してください。</t>
    <rPh sb="24" eb="26">
      <t>ヒョウジ</t>
    </rPh>
    <rPh sb="35" eb="37">
      <t>ショクイン</t>
    </rPh>
    <rPh sb="38" eb="41">
      <t>コウツウヒ</t>
    </rPh>
    <rPh sb="42" eb="44">
      <t>キサイ</t>
    </rPh>
    <rPh sb="52" eb="55">
      <t>ヒジョウキン</t>
    </rPh>
    <rPh sb="55" eb="57">
      <t>ショクイン</t>
    </rPh>
    <rPh sb="62" eb="64">
      <t>ツウキン</t>
    </rPh>
    <rPh sb="65" eb="68">
      <t>テイキケン</t>
    </rPh>
    <rPh sb="69" eb="71">
      <t>リヨウ</t>
    </rPh>
    <rPh sb="73" eb="74">
      <t>モノ</t>
    </rPh>
    <rPh sb="80" eb="83">
      <t>テイキケン</t>
    </rPh>
    <rPh sb="84" eb="86">
      <t>キンガク</t>
    </rPh>
    <rPh sb="89" eb="90">
      <t>ゲツ</t>
    </rPh>
    <rPh sb="90" eb="91">
      <t>ブン</t>
    </rPh>
    <rPh sb="93" eb="95">
      <t>キサイ</t>
    </rPh>
    <phoneticPr fontId="1"/>
  </si>
  <si>
    <t>(園ごとの固有番号）</t>
    <rPh sb="1" eb="2">
      <t>エン</t>
    </rPh>
    <rPh sb="5" eb="9">
      <t>コユウバンゴウ</t>
    </rPh>
    <phoneticPr fontId="15"/>
  </si>
  <si>
    <t>公定価格加算分</t>
    <rPh sb="0" eb="7">
      <t>コウテイカカクカサンブン</t>
    </rPh>
    <phoneticPr fontId="1"/>
  </si>
  <si>
    <t>　令和７年４月１日付け千葉市指令こ幼運第　　号　　により交付決定のあった補助金の分割事前交付を次のとおり受けたいので、千葉市施設型給付対象施設運営事業補助金交付要綱第８条の規定により請求します。</t>
    <rPh sb="1" eb="3">
      <t>レイワ</t>
    </rPh>
    <rPh sb="17" eb="18">
      <t>ヨウ</t>
    </rPh>
    <rPh sb="18" eb="19">
      <t>ウン</t>
    </rPh>
    <rPh sb="62" eb="65">
      <t>シセツガタ</t>
    </rPh>
    <rPh sb="65" eb="67">
      <t>キュウフ</t>
    </rPh>
    <rPh sb="67" eb="69">
      <t>タイショウ</t>
    </rPh>
    <rPh sb="69" eb="71">
      <t>シセツ</t>
    </rPh>
    <phoneticPr fontId="15"/>
  </si>
  <si>
    <t>公定価格加算分</t>
    <rPh sb="0" eb="7">
      <t>コウテイカカクカサンブン</t>
    </rPh>
    <phoneticPr fontId="15"/>
  </si>
  <si>
    <t>保育士等合計</t>
    <rPh sb="0" eb="4">
      <t>ホイクシトウ</t>
    </rPh>
    <rPh sb="4" eb="6">
      <t>ゴウケイ</t>
    </rPh>
    <phoneticPr fontId="1"/>
  </si>
  <si>
    <t>概算払いを希望しない場合は、現行の入力で問題ありません。</t>
    <rPh sb="0" eb="2">
      <t>ガイサン</t>
    </rPh>
    <rPh sb="2" eb="3">
      <t>バラ</t>
    </rPh>
    <rPh sb="5" eb="7">
      <t>キボウ</t>
    </rPh>
    <rPh sb="10" eb="12">
      <t>バアイ</t>
    </rPh>
    <rPh sb="14" eb="16">
      <t>ゲンコウ</t>
    </rPh>
    <rPh sb="17" eb="19">
      <t>ニュウリョク</t>
    </rPh>
    <rPh sb="20" eb="22">
      <t>モンダイ</t>
    </rPh>
    <phoneticPr fontId="1"/>
  </si>
  <si>
    <t>認定こども園　敬愛短期大学附属幼稚園</t>
    <phoneticPr fontId="1"/>
  </si>
  <si>
    <t>認定こども園　あすみ中央幼稚園</t>
    <phoneticPr fontId="1"/>
  </si>
  <si>
    <t>幼保連携型認定こども園　しらぎく</t>
    <phoneticPr fontId="1"/>
  </si>
  <si>
    <t>幼保連携型認定こども園　若梅認定こども園</t>
    <rPh sb="0" eb="2">
      <t>ヨウホ</t>
    </rPh>
    <rPh sb="2" eb="5">
      <t>レンケイガタ</t>
    </rPh>
    <rPh sb="5" eb="7">
      <t>ニンテイ</t>
    </rPh>
    <rPh sb="10" eb="11">
      <t>エン</t>
    </rPh>
    <rPh sb="12" eb="14">
      <t>ワカウメ</t>
    </rPh>
    <rPh sb="14" eb="16">
      <t>ニンテイ</t>
    </rPh>
    <rPh sb="19" eb="20">
      <t>エン</t>
    </rPh>
    <phoneticPr fontId="1"/>
  </si>
  <si>
    <t>幼保連携型認定こども園
チューリップこども園</t>
    <phoneticPr fontId="1"/>
  </si>
  <si>
    <t>　令和７年度千葉市施設型給付対象施設保育士等配置基準改善事業補助金の交付を受けたいので、千葉市施設型給付対象施設運営事業補助金交付要綱第４条の規定により次のとおり申請します。　　</t>
    <rPh sb="1" eb="3">
      <t>レイワ</t>
    </rPh>
    <rPh sb="9" eb="12">
      <t>シセツガタ</t>
    </rPh>
    <rPh sb="12" eb="14">
      <t>キュウフ</t>
    </rPh>
    <rPh sb="14" eb="16">
      <t>タイショウ</t>
    </rPh>
    <rPh sb="16" eb="18">
      <t>シセツ</t>
    </rPh>
    <rPh sb="47" eb="50">
      <t>シセツガタ</t>
    </rPh>
    <rPh sb="50" eb="52">
      <t>キュウフ</t>
    </rPh>
    <rPh sb="52" eb="54">
      <t>タイショウ</t>
    </rPh>
    <rPh sb="54" eb="56">
      <t>シセツ</t>
    </rPh>
    <phoneticPr fontId="6"/>
  </si>
  <si>
    <t>令和７年３月</t>
    <rPh sb="0" eb="2">
      <t>レイワ</t>
    </rPh>
    <rPh sb="3" eb="4">
      <t>ネン</t>
    </rPh>
    <rPh sb="5" eb="6">
      <t>ガツ</t>
    </rPh>
    <phoneticPr fontId="1"/>
  </si>
  <si>
    <t>　　令和７年４月１５日（火）　　　</t>
    <rPh sb="2" eb="4">
      <t>レイワ</t>
    </rPh>
    <rPh sb="5" eb="6">
      <t>ネン</t>
    </rPh>
    <rPh sb="7" eb="8">
      <t>ガツ</t>
    </rPh>
    <rPh sb="10" eb="11">
      <t>ニチ</t>
    </rPh>
    <rPh sb="12" eb="13">
      <t>ヒ</t>
    </rPh>
    <phoneticPr fontId="1"/>
  </si>
  <si>
    <t>　給付費の額が定まっていないことから、今般の当初交付申請の額は例年どおりの積算となりますが、今後１歳児配置改善加算の加算額及び職員の配置状況等を踏まえ、実績報告の際に補助額の調整（減額）をさせていただく場合がございますのであらかじめご留意ください。（詳細は後日周知予定）</t>
    <phoneticPr fontId="1"/>
  </si>
  <si>
    <r>
      <rPr>
        <b/>
        <sz val="14"/>
        <rFont val="HG丸ｺﾞｼｯｸM-PRO"/>
        <family val="3"/>
        <charset val="128"/>
      </rPr>
      <t xml:space="preserve">【概要】
</t>
    </r>
    <r>
      <rPr>
        <b/>
        <sz val="12"/>
        <rFont val="HG丸ｺﾞｼｯｸM-PRO"/>
        <family val="3"/>
        <charset val="128"/>
      </rPr>
      <t>■</t>
    </r>
    <r>
      <rPr>
        <b/>
        <u/>
        <sz val="12"/>
        <color rgb="FFFF0000"/>
        <rFont val="HG丸ｺﾞｼｯｸM-PRO"/>
        <family val="3"/>
        <charset val="128"/>
      </rPr>
      <t>補助金の交付を受けようとする全ての園は、「様式1」（交付申請書）の提出が必要です。</t>
    </r>
    <r>
      <rPr>
        <b/>
        <sz val="12"/>
        <rFont val="HG丸ｺﾞｼｯｸM-PRO"/>
        <family val="3"/>
        <charset val="128"/>
      </rPr>
      <t xml:space="preserve">
</t>
    </r>
    <r>
      <rPr>
        <sz val="12"/>
        <rFont val="HG丸ｺﾞｼｯｸM-PRO"/>
        <family val="3"/>
        <charset val="128"/>
      </rPr>
      <t>　・①～⑪のシートの入力・確認をしてください。</t>
    </r>
    <r>
      <rPr>
        <b/>
        <sz val="12"/>
        <rFont val="HG丸ｺﾞｼｯｸM-PRO"/>
        <family val="3"/>
        <charset val="128"/>
      </rPr>
      <t xml:space="preserve">
■第一期の分割請求を</t>
    </r>
    <r>
      <rPr>
        <b/>
        <sz val="12"/>
        <color rgb="FFFF0000"/>
        <rFont val="HG丸ｺﾞｼｯｸM-PRO"/>
        <family val="3"/>
        <charset val="128"/>
      </rPr>
      <t>希望しない</t>
    </r>
    <r>
      <rPr>
        <b/>
        <sz val="12"/>
        <rFont val="HG丸ｺﾞｼｯｸM-PRO"/>
        <family val="3"/>
        <charset val="128"/>
      </rPr>
      <t>場合
　</t>
    </r>
    <r>
      <rPr>
        <b/>
        <sz val="12"/>
        <color rgb="FFFF0000"/>
        <rFont val="HG丸ｺﾞｼｯｸM-PRO"/>
        <family val="3"/>
        <charset val="128"/>
      </rPr>
      <t>分割払い請求書（様式第3号）は提出不要</t>
    </r>
    <r>
      <rPr>
        <b/>
        <sz val="12"/>
        <rFont val="HG丸ｺﾞｼｯｸM-PRO"/>
        <family val="3"/>
        <charset val="128"/>
      </rPr>
      <t>です。
■第一期の分割請求を</t>
    </r>
    <r>
      <rPr>
        <b/>
        <sz val="12"/>
        <color rgb="FFFF0000"/>
        <rFont val="HG丸ｺﾞｼｯｸM-PRO"/>
        <family val="3"/>
        <charset val="128"/>
      </rPr>
      <t>希望</t>
    </r>
    <r>
      <rPr>
        <b/>
        <u/>
        <sz val="12"/>
        <color rgb="FFFF0000"/>
        <rFont val="HG丸ｺﾞｼｯｸM-PRO"/>
        <family val="3"/>
        <charset val="128"/>
      </rPr>
      <t>する</t>
    </r>
    <r>
      <rPr>
        <b/>
        <sz val="12"/>
        <rFont val="HG丸ｺﾞｼｯｸM-PRO"/>
        <family val="3"/>
        <charset val="128"/>
      </rPr>
      <t>場合</t>
    </r>
    <r>
      <rPr>
        <sz val="12"/>
        <rFont val="HG丸ｺﾞｼｯｸM-PRO"/>
        <family val="3"/>
        <charset val="128"/>
      </rPr>
      <t xml:space="preserve">
　・①～⑫のシートの入力・確認後、「様式3」（分割払い請求書）の支払額を確認してください。
　・支払額は、表示された金額より減額して請求することが可能です。減額して請求する場合は、
　　希望額を直接入力してください（千円単位）。
　・分割請求を希望する場合は、「様式3」欄外の注意事項及び「①基本情報」シートの「概算払い
　　について（注意事項）」を確認の上、「了承の上、概算払い（１回目）を請求する」を選択
　　してください。</t>
    </r>
    <rPh sb="1" eb="3">
      <t>ガイヨウ</t>
    </rPh>
    <rPh sb="6" eb="9">
      <t>ホジョキン</t>
    </rPh>
    <rPh sb="10" eb="12">
      <t>コウフ</t>
    </rPh>
    <rPh sb="13" eb="14">
      <t>ウ</t>
    </rPh>
    <rPh sb="20" eb="21">
      <t>スベ</t>
    </rPh>
    <rPh sb="23" eb="24">
      <t>エン</t>
    </rPh>
    <rPh sb="27" eb="29">
      <t>ヨウシキ</t>
    </rPh>
    <rPh sb="32" eb="34">
      <t>コウフ</t>
    </rPh>
    <rPh sb="34" eb="36">
      <t>シンセイ</t>
    </rPh>
    <rPh sb="36" eb="37">
      <t>ショ</t>
    </rPh>
    <rPh sb="39" eb="41">
      <t>テイシュツ</t>
    </rPh>
    <rPh sb="42" eb="44">
      <t>ヒツヨウ</t>
    </rPh>
    <rPh sb="61" eb="63">
      <t>カクニン</t>
    </rPh>
    <rPh sb="118" eb="119">
      <t>イチ</t>
    </rPh>
    <rPh sb="123" eb="125">
      <t>セイキュウ</t>
    </rPh>
    <rPh sb="143" eb="145">
      <t>ニュウリョク</t>
    </rPh>
    <rPh sb="146" eb="148">
      <t>カクニン</t>
    </rPh>
    <rPh sb="148" eb="149">
      <t>ゴ</t>
    </rPh>
    <rPh sb="151" eb="153">
      <t>ヨウシキ</t>
    </rPh>
    <rPh sb="156" eb="158">
      <t>ブンカツ</t>
    </rPh>
    <rPh sb="158" eb="159">
      <t>バラ</t>
    </rPh>
    <rPh sb="160" eb="163">
      <t>セイキュウショ</t>
    </rPh>
    <rPh sb="165" eb="167">
      <t>シハライ</t>
    </rPh>
    <rPh sb="167" eb="168">
      <t>ガク</t>
    </rPh>
    <rPh sb="169" eb="171">
      <t>カクニン</t>
    </rPh>
    <rPh sb="181" eb="183">
      <t>シハライ</t>
    </rPh>
    <rPh sb="183" eb="184">
      <t>ガク</t>
    </rPh>
    <rPh sb="186" eb="188">
      <t>ヒョウジ</t>
    </rPh>
    <rPh sb="191" eb="193">
      <t>キンガク</t>
    </rPh>
    <rPh sb="195" eb="197">
      <t>ゲンガク</t>
    </rPh>
    <rPh sb="199" eb="201">
      <t>セイキュウ</t>
    </rPh>
    <rPh sb="206" eb="208">
      <t>カノウ</t>
    </rPh>
    <rPh sb="211" eb="213">
      <t>ゲンガク</t>
    </rPh>
    <rPh sb="215" eb="217">
      <t>セイキュウ</t>
    </rPh>
    <rPh sb="219" eb="221">
      <t>バアイ</t>
    </rPh>
    <rPh sb="226" eb="228">
      <t>キボウ</t>
    </rPh>
    <rPh sb="228" eb="229">
      <t>ガク</t>
    </rPh>
    <rPh sb="230" eb="232">
      <t>チョクセツ</t>
    </rPh>
    <rPh sb="232" eb="234">
      <t>ニュウリョク</t>
    </rPh>
    <rPh sb="241" eb="243">
      <t>センエン</t>
    </rPh>
    <rPh sb="243" eb="245">
      <t>タンイ</t>
    </rPh>
    <rPh sb="264" eb="266">
      <t>ヨウシキ</t>
    </rPh>
    <rPh sb="268" eb="270">
      <t>ランガイ</t>
    </rPh>
    <rPh sb="271" eb="273">
      <t>チュウイ</t>
    </rPh>
    <rPh sb="273" eb="275">
      <t>ジコウ</t>
    </rPh>
    <rPh sb="275" eb="276">
      <t>オヨ</t>
    </rPh>
    <rPh sb="279" eb="281">
      <t>キホン</t>
    </rPh>
    <rPh sb="281" eb="283">
      <t>ジョウホウ</t>
    </rPh>
    <rPh sb="308" eb="310">
      <t>カクニン</t>
    </rPh>
    <rPh sb="311" eb="312">
      <t>ウエ</t>
    </rPh>
    <rPh sb="335" eb="337">
      <t>センタク</t>
    </rPh>
    <phoneticPr fontId="1"/>
  </si>
  <si>
    <t>（園ごとの固有番号）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</si>
</sst>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quot;人&quot;"/>
    <numFmt numFmtId="178" formatCode="[$-411]ge\.m\.d;@"/>
    <numFmt numFmtId="179" formatCode="0&quot;月&quot;"/>
    <numFmt numFmtId="180" formatCode="#,##0_ "/>
    <numFmt numFmtId="181" formatCode="#,##0_ ;[Red]\-#,##0\ "/>
    <numFmt numFmtId="182" formatCode="0.0_ "/>
    <numFmt numFmtId="183" formatCode="#,##0_);[Red]\(#,##0\)"/>
    <numFmt numFmtId="184" formatCode="#,##0;&quot;△ &quot;#,##0"/>
    <numFmt numFmtId="185" formatCode="#,##0&quot;（人工）&quot;"/>
    <numFmt numFmtId="186" formatCode="_(* #,##0_);_(* \(#,##0\);_(* &quot;-&quot;_);_(@_)"/>
    <numFmt numFmtId="187" formatCode="#,##0.0_ "/>
    <numFmt numFmtId="188" formatCode="#,##0.0;&quot;▲ &quot;#,##0.0"/>
    <numFmt numFmtId="189" formatCode="#,##0.0&quot;人&quot;"/>
    <numFmt numFmtId="190" formatCode="#,##0&quot;月&quot;"/>
    <numFmt numFmtId="191" formatCode="&quot;金&quot;#,##0&quot;円&quot;"/>
    <numFmt numFmtId="192" formatCode="&quot;&quot;#,##0&quot;&quot;"/>
    <numFmt numFmtId="193" formatCode="0_);[Red]\(0\)"/>
    <numFmt numFmtId="194" formatCode="0.0_);[Red]\(0.0\)"/>
    <numFmt numFmtId="195" formatCode="#,##0&quot;円&quot;"/>
    <numFmt numFmtId="196" formatCode="0.0"/>
  </numFmts>
  <fonts count="12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name val="ＭＳ Ｐ明朝"/>
      <family val="1"/>
      <charset val="128"/>
    </font>
    <font>
      <sz val="16"/>
      <name val="ＭＳ Ｐゴシック"/>
      <family val="3"/>
      <charset val="128"/>
    </font>
    <font>
      <sz val="6"/>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color rgb="FFFF0000"/>
      <name val="ＭＳ Ｐゴシック"/>
      <family val="3"/>
      <charset val="128"/>
    </font>
    <font>
      <sz val="10"/>
      <color indexed="10"/>
      <name val="ＭＳ Ｐゴシック"/>
      <family val="3"/>
      <charset val="128"/>
    </font>
    <font>
      <sz val="8"/>
      <name val="ＭＳ Ｐゴシック"/>
      <family val="3"/>
      <charset val="128"/>
    </font>
    <font>
      <sz val="10"/>
      <color indexed="8"/>
      <name val="ＭＳ Ｐゴシック"/>
      <family val="3"/>
      <charset val="128"/>
    </font>
    <font>
      <sz val="6"/>
      <name val="ＭＳ Ｐゴシック"/>
      <family val="3"/>
      <charset val="128"/>
    </font>
    <font>
      <sz val="11"/>
      <color indexed="8"/>
      <name val="ＭＳ Ｐゴシック"/>
      <family val="3"/>
      <charset val="128"/>
    </font>
    <font>
      <sz val="10"/>
      <color rgb="FFFF0000"/>
      <name val="ＭＳ Ｐゴシック"/>
      <family val="3"/>
      <charset val="128"/>
    </font>
    <font>
      <u/>
      <sz val="10"/>
      <color rgb="FFFF0000"/>
      <name val="ＭＳ Ｐゴシック"/>
      <family val="3"/>
      <charset val="128"/>
    </font>
    <font>
      <u/>
      <sz val="10"/>
      <name val="ＭＳ Ｐゴシック"/>
      <family val="3"/>
      <charset val="128"/>
    </font>
    <font>
      <b/>
      <sz val="11"/>
      <color theme="1"/>
      <name val="游ゴシック"/>
      <family val="3"/>
      <charset val="128"/>
      <scheme val="minor"/>
    </font>
    <font>
      <b/>
      <sz val="16"/>
      <color rgb="FFFF0000"/>
      <name val="ＭＳ Ｐゴシック"/>
      <family val="3"/>
      <charset val="128"/>
    </font>
    <font>
      <b/>
      <sz val="11"/>
      <name val="ＭＳ Ｐゴシック"/>
      <family val="3"/>
      <charset val="128"/>
    </font>
    <font>
      <sz val="14"/>
      <name val="ＭＳ Ｐゴシック"/>
      <family val="3"/>
      <charset val="128"/>
    </font>
    <font>
      <sz val="11"/>
      <color indexed="10"/>
      <name val="ＭＳ Ｐゴシック"/>
      <family val="3"/>
      <charset val="128"/>
    </font>
    <font>
      <sz val="11"/>
      <color theme="0"/>
      <name val="ＭＳ Ｐゴシック"/>
      <family val="3"/>
      <charset val="128"/>
    </font>
    <font>
      <sz val="11"/>
      <color rgb="FFFF0000"/>
      <name val="ＭＳ Ｐゴシック"/>
      <family val="3"/>
      <charset val="128"/>
    </font>
    <font>
      <b/>
      <sz val="14"/>
      <color theme="1"/>
      <name val="游ゴシック"/>
      <family val="3"/>
      <charset val="128"/>
      <scheme val="minor"/>
    </font>
    <font>
      <sz val="11"/>
      <name val="ＭＳ 明朝"/>
      <family val="1"/>
      <charset val="128"/>
    </font>
    <font>
      <sz val="6"/>
      <name val="ＭＳ 明朝"/>
      <family val="1"/>
      <charset val="128"/>
    </font>
    <font>
      <sz val="16"/>
      <name val="ＭＳ 明朝"/>
      <family val="1"/>
      <charset val="128"/>
    </font>
    <font>
      <sz val="18"/>
      <name val="ＭＳ 明朝"/>
      <family val="1"/>
      <charset val="128"/>
    </font>
    <font>
      <sz val="9"/>
      <name val="ＭＳ 明朝"/>
      <family val="1"/>
      <charset val="128"/>
    </font>
    <font>
      <sz val="10"/>
      <name val="ＭＳ 明朝"/>
      <family val="1"/>
      <charset val="128"/>
    </font>
    <font>
      <sz val="11"/>
      <name val="明朝"/>
      <family val="1"/>
      <charset val="128"/>
    </font>
    <font>
      <sz val="6"/>
      <color indexed="8"/>
      <name val="ＭＳ Ｐ明朝"/>
      <family val="1"/>
      <charset val="128"/>
    </font>
    <font>
      <sz val="12"/>
      <color theme="1"/>
      <name val="游ゴシック"/>
      <family val="3"/>
      <charset val="128"/>
      <scheme val="minor"/>
    </font>
    <font>
      <b/>
      <u/>
      <sz val="12"/>
      <color theme="1"/>
      <name val="游ゴシック"/>
      <family val="3"/>
      <charset val="128"/>
      <scheme val="minor"/>
    </font>
    <font>
      <u/>
      <sz val="11"/>
      <color theme="1"/>
      <name val="游ゴシック"/>
      <family val="2"/>
      <charset val="128"/>
      <scheme val="minor"/>
    </font>
    <font>
      <u/>
      <sz val="11"/>
      <color theme="10"/>
      <name val="游ゴシック"/>
      <family val="2"/>
      <charset val="128"/>
      <scheme val="minor"/>
    </font>
    <font>
      <sz val="14"/>
      <name val="HG丸ｺﾞｼｯｸM-PRO"/>
      <family val="3"/>
      <charset val="128"/>
    </font>
    <font>
      <sz val="20"/>
      <name val="HG丸ｺﾞｼｯｸM-PRO"/>
      <family val="3"/>
      <charset val="128"/>
    </font>
    <font>
      <b/>
      <sz val="14"/>
      <color rgb="FFFF0000"/>
      <name val="HG丸ｺﾞｼｯｸM-PRO"/>
      <family val="3"/>
      <charset val="128"/>
    </font>
    <font>
      <sz val="12"/>
      <name val="HG丸ｺﾞｼｯｸM-PRO"/>
      <family val="3"/>
      <charset val="128"/>
    </font>
    <font>
      <u val="double"/>
      <sz val="14"/>
      <name val="HG丸ｺﾞｼｯｸM-PRO"/>
      <family val="3"/>
      <charset val="128"/>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游ゴシック"/>
      <family val="3"/>
      <charset val="128"/>
      <scheme val="minor"/>
    </font>
    <font>
      <sz val="11"/>
      <color theme="1"/>
      <name val="游ゴシック"/>
      <family val="3"/>
      <charset val="128"/>
      <scheme val="minor"/>
    </font>
    <font>
      <b/>
      <u/>
      <sz val="14"/>
      <color rgb="FFFF0000"/>
      <name val="游ゴシック"/>
      <family val="3"/>
      <charset val="128"/>
      <scheme val="minor"/>
    </font>
    <font>
      <sz val="11"/>
      <name val="游ゴシック"/>
      <family val="2"/>
      <charset val="128"/>
      <scheme val="minor"/>
    </font>
    <font>
      <sz val="8"/>
      <color rgb="FFFFFF00"/>
      <name val="游ゴシック"/>
      <family val="2"/>
      <charset val="128"/>
      <scheme val="minor"/>
    </font>
    <font>
      <sz val="8"/>
      <color rgb="FFFFFF00"/>
      <name val="游ゴシック"/>
      <family val="3"/>
      <charset val="128"/>
      <scheme val="minor"/>
    </font>
    <font>
      <sz val="8"/>
      <color rgb="FFFF0000"/>
      <name val="游ゴシック"/>
      <family val="3"/>
      <charset val="128"/>
      <scheme val="minor"/>
    </font>
    <font>
      <sz val="14"/>
      <name val="ＭＳ 明朝"/>
      <family val="1"/>
      <charset val="128"/>
    </font>
    <font>
      <sz val="8"/>
      <color rgb="FFFF0000"/>
      <name val="游ゴシック"/>
      <family val="2"/>
      <charset val="128"/>
      <scheme val="minor"/>
    </font>
    <font>
      <sz val="10"/>
      <color theme="1"/>
      <name val="游ゴシック"/>
      <family val="2"/>
      <charset val="128"/>
      <scheme val="minor"/>
    </font>
    <font>
      <sz val="8"/>
      <name val="游ゴシック"/>
      <family val="3"/>
      <charset val="128"/>
      <scheme val="minor"/>
    </font>
    <font>
      <sz val="9"/>
      <color theme="1"/>
      <name val="游ゴシック"/>
      <family val="3"/>
      <charset val="128"/>
      <scheme val="minor"/>
    </font>
    <font>
      <b/>
      <sz val="11"/>
      <color indexed="9"/>
      <name val="MS P ゴシック"/>
      <family val="3"/>
      <charset val="128"/>
    </font>
    <font>
      <sz val="11"/>
      <color theme="1"/>
      <name val="ＭＳ Ｐゴシック"/>
      <family val="3"/>
      <charset val="128"/>
    </font>
    <font>
      <b/>
      <sz val="14"/>
      <color rgb="FFFF0000"/>
      <name val="ＭＳ 明朝"/>
      <family val="1"/>
      <charset val="128"/>
    </font>
    <font>
      <sz val="16"/>
      <name val="ＭＳ ゴシック"/>
      <family val="3"/>
      <charset val="128"/>
    </font>
    <font>
      <sz val="12"/>
      <name val="HGｺﾞｼｯｸE"/>
      <family val="3"/>
      <charset val="128"/>
    </font>
    <font>
      <sz val="16"/>
      <color indexed="10"/>
      <name val="ＭＳ ゴシック"/>
      <family val="3"/>
      <charset val="128"/>
    </font>
    <font>
      <b/>
      <sz val="14"/>
      <color indexed="81"/>
      <name val="MS P ゴシック"/>
      <family val="3"/>
      <charset val="128"/>
    </font>
    <font>
      <sz val="14"/>
      <color indexed="81"/>
      <name val="MS P ゴシック"/>
      <family val="3"/>
      <charset val="128"/>
    </font>
    <font>
      <sz val="11"/>
      <color theme="5" tint="0.79998168889431442"/>
      <name val="ＭＳ Ｐゴシック"/>
      <family val="3"/>
      <charset val="128"/>
    </font>
    <font>
      <sz val="11"/>
      <color theme="0"/>
      <name val="游ゴシック"/>
      <family val="3"/>
      <charset val="128"/>
      <scheme val="minor"/>
    </font>
    <font>
      <sz val="24"/>
      <color theme="1"/>
      <name val="ＭＳ Ｐゴシック"/>
      <family val="3"/>
      <charset val="128"/>
    </font>
    <font>
      <sz val="20"/>
      <color theme="1"/>
      <name val="ＭＳ Ｐゴシック"/>
      <family val="3"/>
      <charset val="128"/>
    </font>
    <font>
      <b/>
      <sz val="11"/>
      <color theme="1"/>
      <name val="ＭＳ Ｐゴシック"/>
      <family val="3"/>
      <charset val="128"/>
    </font>
    <font>
      <b/>
      <sz val="9"/>
      <color rgb="FFFF0000"/>
      <name val="ＭＳ Ｐゴシック"/>
      <family val="3"/>
      <charset val="128"/>
    </font>
    <font>
      <sz val="12"/>
      <color theme="1"/>
      <name val="ＭＳ Ｐ明朝"/>
      <family val="1"/>
      <charset val="128"/>
    </font>
    <font>
      <b/>
      <sz val="1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6"/>
      <color theme="1"/>
      <name val="ＭＳ Ｐ明朝"/>
      <family val="1"/>
      <charset val="128"/>
    </font>
    <font>
      <sz val="10"/>
      <color indexed="8"/>
      <name val="ＭＳ Ｐ明朝"/>
      <family val="1"/>
      <charset val="128"/>
    </font>
    <font>
      <sz val="11"/>
      <color theme="1"/>
      <name val="ＭＳ Ｐ明朝"/>
      <family val="1"/>
      <charset val="128"/>
    </font>
    <font>
      <i/>
      <sz val="12"/>
      <color theme="1"/>
      <name val="ＭＳ Ｐ明朝"/>
      <family val="1"/>
      <charset val="128"/>
    </font>
    <font>
      <sz val="22"/>
      <name val="HG丸ｺﾞｼｯｸM-PRO"/>
      <family val="3"/>
      <charset val="128"/>
    </font>
    <font>
      <sz val="12"/>
      <color rgb="FFFF0000"/>
      <name val="HGP創英角ﾎﾟｯﾌﾟ体"/>
      <family val="3"/>
      <charset val="128"/>
    </font>
    <font>
      <sz val="9"/>
      <color theme="1"/>
      <name val="HGｺﾞｼｯｸM"/>
      <family val="3"/>
      <charset val="128"/>
    </font>
    <font>
      <sz val="6"/>
      <color theme="1"/>
      <name val="HGｺﾞｼｯｸM"/>
      <family val="3"/>
      <charset val="128"/>
    </font>
    <font>
      <sz val="12"/>
      <color theme="1"/>
      <name val="HGｺﾞｼｯｸE"/>
      <family val="3"/>
      <charset val="128"/>
    </font>
    <font>
      <sz val="11"/>
      <color theme="1"/>
      <name val="HGｺﾞｼｯｸM"/>
      <family val="3"/>
      <charset val="128"/>
    </font>
    <font>
      <sz val="11"/>
      <color theme="1"/>
      <name val="HGｺﾞｼｯｸE"/>
      <family val="3"/>
      <charset val="128"/>
    </font>
    <font>
      <sz val="10"/>
      <color theme="1"/>
      <name val="HGｺﾞｼｯｸM"/>
      <family val="3"/>
      <charset val="128"/>
    </font>
    <font>
      <u val="double"/>
      <sz val="12"/>
      <color rgb="FFFF0000"/>
      <name val="HG丸ｺﾞｼｯｸM-PRO"/>
      <family val="3"/>
      <charset val="128"/>
    </font>
    <font>
      <sz val="12"/>
      <color rgb="FFFF0000"/>
      <name val="HG丸ｺﾞｼｯｸM-PRO"/>
      <family val="3"/>
      <charset val="128"/>
    </font>
    <font>
      <b/>
      <sz val="20"/>
      <color theme="0"/>
      <name val="HG丸ｺﾞｼｯｸM-PRO"/>
      <family val="3"/>
      <charset val="128"/>
    </font>
    <font>
      <b/>
      <sz val="22"/>
      <color theme="0"/>
      <name val="HG丸ｺﾞｼｯｸM-PRO"/>
      <family val="3"/>
      <charset val="128"/>
    </font>
    <font>
      <b/>
      <sz val="14"/>
      <name val="HG丸ｺﾞｼｯｸM-PRO"/>
      <family val="3"/>
      <charset val="128"/>
    </font>
    <font>
      <b/>
      <sz val="12"/>
      <name val="HG丸ｺﾞｼｯｸM-PRO"/>
      <family val="3"/>
      <charset val="128"/>
    </font>
    <font>
      <b/>
      <u/>
      <sz val="12"/>
      <color rgb="FFFF0000"/>
      <name val="HG丸ｺﾞｼｯｸM-PRO"/>
      <family val="3"/>
      <charset val="128"/>
    </font>
    <font>
      <b/>
      <sz val="12"/>
      <color rgb="FFFF0000"/>
      <name val="HG丸ｺﾞｼｯｸM-PRO"/>
      <family val="3"/>
      <charset val="128"/>
    </font>
    <font>
      <b/>
      <u/>
      <sz val="12"/>
      <name val="HG丸ｺﾞｼｯｸM-PRO"/>
      <family val="3"/>
      <charset val="128"/>
    </font>
    <font>
      <b/>
      <u val="double"/>
      <sz val="14"/>
      <color rgb="FFFF0000"/>
      <name val="HG丸ｺﾞｼｯｸM-PRO"/>
      <family val="3"/>
      <charset val="128"/>
    </font>
    <font>
      <sz val="12"/>
      <name val="HGP創英角ﾎﾟｯﾌﾟ体"/>
      <family val="3"/>
      <charset val="128"/>
    </font>
    <font>
      <b/>
      <u/>
      <sz val="18"/>
      <color rgb="FFFF0000"/>
      <name val="HG丸ｺﾞｼｯｸM-PRO"/>
      <family val="3"/>
      <charset val="128"/>
    </font>
    <font>
      <b/>
      <sz val="18"/>
      <color rgb="FFFF0000"/>
      <name val="HG丸ｺﾞｼｯｸM-PRO"/>
      <family val="3"/>
      <charset val="128"/>
    </font>
    <font>
      <b/>
      <u val="double"/>
      <sz val="16"/>
      <color rgb="FFFF0000"/>
      <name val="HG丸ｺﾞｼｯｸM-PRO"/>
      <family val="3"/>
      <charset val="128"/>
    </font>
    <font>
      <u/>
      <sz val="16"/>
      <color rgb="FFFF0000"/>
      <name val="HGP創英角ﾎﾟｯﾌﾟ体"/>
      <family val="3"/>
      <charset val="128"/>
    </font>
    <font>
      <b/>
      <sz val="11"/>
      <color theme="1"/>
      <name val="Meiryo UI"/>
      <family val="3"/>
      <charset val="128"/>
    </font>
    <font>
      <b/>
      <sz val="11"/>
      <color theme="1"/>
      <name val="HGｺﾞｼｯｸM"/>
      <family val="3"/>
      <charset val="128"/>
    </font>
    <font>
      <b/>
      <sz val="16"/>
      <color rgb="FFFF0000"/>
      <name val="BIZ UDPゴシック"/>
      <family val="3"/>
      <charset val="128"/>
    </font>
    <font>
      <b/>
      <i/>
      <sz val="16"/>
      <color rgb="FFFF0000"/>
      <name val="BIZ UDPゴシック"/>
      <family val="3"/>
      <charset val="128"/>
    </font>
    <font>
      <b/>
      <sz val="9"/>
      <color indexed="81"/>
      <name val="MS P ゴシック"/>
      <family val="3"/>
      <charset val="128"/>
    </font>
    <font>
      <sz val="12"/>
      <color theme="1"/>
      <name val="BIZ UDPゴシック"/>
      <family val="3"/>
      <charset val="128"/>
    </font>
    <font>
      <sz val="12"/>
      <name val="BIZ UDPゴシック"/>
      <family val="3"/>
      <charset val="128"/>
    </font>
    <font>
      <b/>
      <sz val="12"/>
      <name val="BIZ UDPゴシック"/>
      <family val="3"/>
      <charset val="128"/>
    </font>
    <font>
      <b/>
      <sz val="12"/>
      <color theme="1"/>
      <name val="BIZ UDPゴシック"/>
      <family val="3"/>
      <charset val="128"/>
    </font>
    <font>
      <sz val="11"/>
      <color theme="1"/>
      <name val="BIZ UDPゴシック"/>
      <family val="3"/>
      <charset val="128"/>
    </font>
    <font>
      <b/>
      <u/>
      <sz val="12"/>
      <color theme="1"/>
      <name val="BIZ UDPゴシック"/>
      <family val="3"/>
      <charset val="128"/>
    </font>
    <font>
      <sz val="11"/>
      <color theme="1"/>
      <name val="Meiryo UI"/>
      <family val="3"/>
      <charset val="128"/>
    </font>
    <font>
      <u/>
      <sz val="11"/>
      <color theme="1"/>
      <name val="Meiryo UI"/>
      <family val="3"/>
      <charset val="128"/>
    </font>
    <font>
      <sz val="11"/>
      <color rgb="FFFF0000"/>
      <name val="Meiryo UI"/>
      <family val="3"/>
      <charset val="128"/>
    </font>
    <font>
      <sz val="9"/>
      <color indexed="81"/>
      <name val="MS P ゴシック"/>
      <family val="3"/>
      <charset val="128"/>
    </font>
  </fonts>
  <fills count="25">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CFF"/>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9"/>
        <bgColor indexed="64"/>
      </patternFill>
    </fill>
    <fill>
      <patternFill patternType="solid">
        <fgColor theme="4" tint="0.39997558519241921"/>
        <bgColor indexed="64"/>
      </patternFill>
    </fill>
    <fill>
      <patternFill patternType="solid">
        <fgColor rgb="FFFF99FF"/>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style="thin">
        <color indexed="64"/>
      </left>
      <right/>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8">
    <xf numFmtId="0" fontId="0" fillId="0" borderId="0">
      <alignment vertical="center"/>
    </xf>
    <xf numFmtId="0" fontId="4" fillId="0" borderId="0"/>
    <xf numFmtId="0" fontId="16" fillId="0" borderId="0"/>
    <xf numFmtId="0" fontId="10" fillId="0" borderId="0"/>
    <xf numFmtId="0" fontId="28" fillId="0" borderId="0"/>
    <xf numFmtId="0" fontId="34" fillId="0" borderId="0"/>
    <xf numFmtId="186" fontId="35" fillId="0" borderId="0" applyFont="0" applyFill="0" applyBorder="0" applyAlignment="0" applyProtection="0"/>
    <xf numFmtId="0" fontId="39" fillId="0" borderId="0" applyNumberFormat="0" applyFill="0" applyBorder="0" applyAlignment="0" applyProtection="0">
      <alignment vertical="center"/>
    </xf>
    <xf numFmtId="0" fontId="45" fillId="0" borderId="0"/>
    <xf numFmtId="0" fontId="10" fillId="0" borderId="0">
      <alignment vertical="center"/>
    </xf>
    <xf numFmtId="0" fontId="10" fillId="0" borderId="0">
      <alignment vertical="center"/>
    </xf>
    <xf numFmtId="0" fontId="28" fillId="0" borderId="0" applyProtection="0"/>
    <xf numFmtId="9" fontId="28" fillId="0" borderId="0" applyFont="0" applyFill="0" applyBorder="0" applyAlignment="0" applyProtection="0">
      <alignment vertical="center"/>
    </xf>
    <xf numFmtId="38" fontId="28" fillId="0" borderId="0" applyFont="0" applyFill="0" applyBorder="0" applyAlignment="0" applyProtection="0"/>
    <xf numFmtId="0" fontId="28" fillId="0" borderId="0"/>
    <xf numFmtId="0" fontId="10" fillId="0" borderId="0"/>
    <xf numFmtId="0" fontId="10" fillId="0" borderId="0"/>
    <xf numFmtId="38" fontId="46" fillId="0" borderId="0" applyFont="0" applyFill="0" applyBorder="0" applyAlignment="0" applyProtection="0">
      <alignment vertical="center"/>
    </xf>
  </cellStyleXfs>
  <cellXfs count="1036">
    <xf numFmtId="0" fontId="0" fillId="0" borderId="0" xfId="0">
      <alignment vertical="center"/>
    </xf>
    <xf numFmtId="0" fontId="0" fillId="0" borderId="1" xfId="0" applyBorder="1">
      <alignment vertical="center"/>
    </xf>
    <xf numFmtId="178" fontId="10" fillId="0" borderId="1" xfId="1" applyNumberFormat="1" applyFont="1" applyBorder="1" applyAlignment="1">
      <alignment horizontal="center" vertical="center" shrinkToFit="1"/>
    </xf>
    <xf numFmtId="0" fontId="8" fillId="0" borderId="21" xfId="1" applyFont="1" applyBorder="1" applyAlignment="1">
      <alignment horizontal="center" vertical="center"/>
    </xf>
    <xf numFmtId="0" fontId="12" fillId="0" borderId="1"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4" fillId="0" borderId="1"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8" fillId="0" borderId="1" xfId="1" applyFont="1" applyBorder="1" applyAlignment="1" applyProtection="1">
      <alignment horizontal="center" vertical="center" shrinkToFit="1"/>
      <protection locked="0"/>
    </xf>
    <xf numFmtId="178" fontId="8" fillId="0" borderId="1" xfId="1" applyNumberFormat="1" applyFont="1" applyBorder="1" applyAlignment="1" applyProtection="1">
      <alignment horizontal="center" vertical="center"/>
      <protection locked="0"/>
    </xf>
    <xf numFmtId="178" fontId="8" fillId="0" borderId="1" xfId="1" applyNumberFormat="1" applyFont="1" applyBorder="1" applyAlignment="1" applyProtection="1">
      <alignment horizontal="center" vertical="center" shrinkToFit="1"/>
      <protection locked="0"/>
    </xf>
    <xf numFmtId="0" fontId="8" fillId="0" borderId="4"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shrinkToFit="1"/>
      <protection locked="0"/>
    </xf>
    <xf numFmtId="0" fontId="15" fillId="0" borderId="1" xfId="1" applyFont="1" applyBorder="1" applyAlignment="1" applyProtection="1">
      <alignment horizontal="center" vertical="center" shrinkToFit="1"/>
      <protection locked="0"/>
    </xf>
    <xf numFmtId="178" fontId="17" fillId="0" borderId="1" xfId="2" applyNumberFormat="1" applyFont="1" applyBorder="1" applyAlignment="1" applyProtection="1">
      <alignment horizontal="center" vertical="center" shrinkToFit="1"/>
      <protection locked="0"/>
    </xf>
    <xf numFmtId="14" fontId="10" fillId="0" borderId="0" xfId="1" applyNumberFormat="1" applyFont="1" applyAlignment="1">
      <alignment horizontal="center" vertical="center" shrinkToFit="1"/>
    </xf>
    <xf numFmtId="0" fontId="8" fillId="0" borderId="1" xfId="1" applyFont="1" applyBorder="1" applyAlignment="1" applyProtection="1">
      <alignment horizontal="center" vertical="center" wrapText="1"/>
      <protection locked="0"/>
    </xf>
    <xf numFmtId="0" fontId="5" fillId="0" borderId="0" xfId="3" applyFont="1"/>
    <xf numFmtId="0" fontId="5" fillId="0" borderId="0" xfId="3" applyFont="1" applyAlignment="1">
      <alignment horizontal="left"/>
    </xf>
    <xf numFmtId="0" fontId="5" fillId="0" borderId="0" xfId="3" applyFont="1" applyAlignment="1">
      <alignment horizontal="left" shrinkToFit="1"/>
    </xf>
    <xf numFmtId="0" fontId="5" fillId="0" borderId="0" xfId="3" applyFont="1" applyAlignment="1">
      <alignment shrinkToFit="1"/>
    </xf>
    <xf numFmtId="0" fontId="10" fillId="0" borderId="0" xfId="3" applyAlignment="1">
      <alignment horizontal="center" vertical="center" wrapText="1"/>
    </xf>
    <xf numFmtId="0" fontId="10" fillId="0" borderId="0" xfId="3" applyAlignment="1">
      <alignment vertical="center" wrapText="1"/>
    </xf>
    <xf numFmtId="0" fontId="9" fillId="0" borderId="1" xfId="0" applyFont="1" applyBorder="1" applyAlignment="1">
      <alignment horizontal="center" vertical="center" shrinkToFit="1"/>
    </xf>
    <xf numFmtId="0" fontId="23" fillId="0" borderId="0" xfId="3" applyFont="1" applyAlignment="1">
      <alignment horizontal="center" vertical="center" wrapText="1"/>
    </xf>
    <xf numFmtId="0" fontId="23" fillId="0" borderId="0" xfId="3" applyFont="1" applyAlignment="1">
      <alignment vertical="center" wrapText="1"/>
    </xf>
    <xf numFmtId="0" fontId="10" fillId="0" borderId="39" xfId="3" applyBorder="1" applyAlignment="1">
      <alignment horizontal="center" wrapText="1"/>
    </xf>
    <xf numFmtId="0" fontId="23" fillId="0" borderId="39" xfId="3" applyFont="1" applyBorder="1" applyAlignment="1">
      <alignment horizontal="center" vertical="center" wrapText="1"/>
    </xf>
    <xf numFmtId="0" fontId="10" fillId="0" borderId="1" xfId="3" applyBorder="1" applyAlignment="1">
      <alignment horizontal="center" vertical="center" wrapText="1"/>
    </xf>
    <xf numFmtId="0" fontId="9" fillId="0" borderId="1" xfId="0" applyFont="1" applyBorder="1" applyAlignment="1">
      <alignment horizontal="center" vertical="center" wrapText="1"/>
    </xf>
    <xf numFmtId="0" fontId="13" fillId="0" borderId="22" xfId="3" applyFont="1" applyBorder="1" applyAlignment="1">
      <alignment horizontal="center" vertical="center" wrapText="1"/>
    </xf>
    <xf numFmtId="0" fontId="10" fillId="7" borderId="0" xfId="3" applyFill="1"/>
    <xf numFmtId="0" fontId="10" fillId="0" borderId="0" xfId="3" applyAlignment="1">
      <alignment horizontal="center" vertical="center"/>
    </xf>
    <xf numFmtId="0" fontId="10" fillId="0" borderId="0" xfId="3" applyAlignment="1">
      <alignment horizontal="right"/>
    </xf>
    <xf numFmtId="0" fontId="10" fillId="0" borderId="0" xfId="3"/>
    <xf numFmtId="0" fontId="0" fillId="0" borderId="0" xfId="0" applyAlignment="1">
      <alignment horizontal="left" shrinkToFit="1"/>
    </xf>
    <xf numFmtId="0" fontId="10" fillId="0" borderId="0" xfId="3" applyAlignment="1">
      <alignment vertical="center"/>
    </xf>
    <xf numFmtId="0" fontId="24" fillId="0" borderId="0" xfId="3" applyFont="1" applyAlignment="1">
      <alignment vertical="center"/>
    </xf>
    <xf numFmtId="0" fontId="10" fillId="0" borderId="0" xfId="3" applyAlignment="1">
      <alignment vertical="center" shrinkToFit="1"/>
    </xf>
    <xf numFmtId="0" fontId="0" fillId="0" borderId="0" xfId="0" applyAlignment="1">
      <alignment horizontal="right"/>
    </xf>
    <xf numFmtId="0" fontId="0" fillId="0" borderId="0" xfId="0" applyAlignment="1"/>
    <xf numFmtId="0" fontId="0" fillId="0" borderId="0" xfId="0" applyAlignment="1">
      <alignment wrapText="1"/>
    </xf>
    <xf numFmtId="0" fontId="10" fillId="0" borderId="0" xfId="0" applyFont="1">
      <alignment vertical="center"/>
    </xf>
    <xf numFmtId="0" fontId="24" fillId="0" borderId="0" xfId="0" applyFont="1">
      <alignment vertical="center"/>
    </xf>
    <xf numFmtId="0" fontId="0" fillId="0" borderId="0" xfId="0" applyAlignment="1">
      <alignment shrinkToFit="1"/>
    </xf>
    <xf numFmtId="0" fontId="0" fillId="0" borderId="0" xfId="0" applyAlignment="1">
      <alignment horizontal="left"/>
    </xf>
    <xf numFmtId="0" fontId="10" fillId="0" borderId="0" xfId="3" applyAlignment="1">
      <alignment shrinkToFit="1"/>
    </xf>
    <xf numFmtId="0" fontId="23" fillId="0" borderId="0" xfId="3" applyFont="1" applyAlignment="1">
      <alignment horizontal="center" shrinkToFit="1"/>
    </xf>
    <xf numFmtId="0" fontId="13" fillId="0" borderId="1" xfId="3" applyFont="1" applyBorder="1" applyAlignment="1">
      <alignment vertical="center" textRotation="255" wrapText="1"/>
    </xf>
    <xf numFmtId="0" fontId="13" fillId="0" borderId="1" xfId="3" applyFont="1" applyBorder="1" applyAlignment="1">
      <alignment horizontal="center" vertical="center" textRotation="255" wrapText="1"/>
    </xf>
    <xf numFmtId="0" fontId="10" fillId="0" borderId="0" xfId="3" applyAlignment="1">
      <alignment horizontal="center" vertical="center" textRotation="255" wrapText="1"/>
    </xf>
    <xf numFmtId="0" fontId="10" fillId="0" borderId="0" xfId="3" applyAlignment="1">
      <alignment horizontal="center" vertical="center" shrinkToFit="1"/>
    </xf>
    <xf numFmtId="180" fontId="10" fillId="0" borderId="0" xfId="3" applyNumberFormat="1"/>
    <xf numFmtId="0" fontId="0" fillId="0" borderId="0" xfId="0" quotePrefix="1" applyAlignment="1">
      <alignment horizontal="right" vertical="center"/>
    </xf>
    <xf numFmtId="0" fontId="0" fillId="8" borderId="1" xfId="0" applyFill="1" applyBorder="1" applyAlignment="1">
      <alignment vertical="center" wrapText="1"/>
    </xf>
    <xf numFmtId="179" fontId="10" fillId="0" borderId="4" xfId="3" applyNumberFormat="1" applyBorder="1" applyAlignment="1">
      <alignment horizontal="center"/>
    </xf>
    <xf numFmtId="184" fontId="0" fillId="0" borderId="1" xfId="0" applyNumberFormat="1" applyBorder="1">
      <alignment vertical="center"/>
    </xf>
    <xf numFmtId="184" fontId="0" fillId="0" borderId="1" xfId="0" applyNumberFormat="1" applyBorder="1" applyAlignment="1">
      <alignment horizontal="center" vertical="center"/>
    </xf>
    <xf numFmtId="184" fontId="0" fillId="0" borderId="0" xfId="0" applyNumberFormat="1">
      <alignment vertical="center"/>
    </xf>
    <xf numFmtId="0" fontId="0" fillId="8" borderId="1" xfId="0" applyFill="1" applyBorder="1">
      <alignment vertical="center"/>
    </xf>
    <xf numFmtId="184" fontId="27" fillId="0" borderId="1" xfId="0" applyNumberFormat="1" applyFont="1" applyBorder="1">
      <alignment vertical="center"/>
    </xf>
    <xf numFmtId="0" fontId="0" fillId="0" borderId="1" xfId="0" applyBorder="1" applyAlignment="1">
      <alignment horizontal="center" vertical="center" wrapText="1"/>
    </xf>
    <xf numFmtId="0" fontId="10" fillId="0" borderId="0" xfId="3" applyAlignment="1">
      <alignment horizontal="center"/>
    </xf>
    <xf numFmtId="0" fontId="10" fillId="0" borderId="0" xfId="3" applyAlignment="1">
      <alignment horizontal="center" shrinkToFit="1"/>
    </xf>
    <xf numFmtId="185" fontId="0" fillId="0" borderId="1" xfId="0" applyNumberFormat="1" applyBorder="1">
      <alignment vertical="center"/>
    </xf>
    <xf numFmtId="0" fontId="5" fillId="0" borderId="0" xfId="3" applyFont="1" applyAlignment="1">
      <alignment vertical="center"/>
    </xf>
    <xf numFmtId="0" fontId="5" fillId="0" borderId="0" xfId="3" applyFont="1" applyAlignment="1">
      <alignment vertical="center" shrinkToFit="1"/>
    </xf>
    <xf numFmtId="0" fontId="21" fillId="0" borderId="0" xfId="3" applyFont="1" applyAlignment="1">
      <alignment vertical="center"/>
    </xf>
    <xf numFmtId="0" fontId="7" fillId="0" borderId="0" xfId="3" applyFont="1" applyAlignment="1">
      <alignment horizontal="center" vertical="center"/>
    </xf>
    <xf numFmtId="0" fontId="0" fillId="6" borderId="1" xfId="0" applyFill="1" applyBorder="1" applyAlignment="1">
      <alignment horizontal="center" vertical="center" shrinkToFit="1"/>
    </xf>
    <xf numFmtId="0" fontId="10" fillId="0" borderId="1" xfId="3" applyBorder="1" applyAlignment="1">
      <alignment vertical="center"/>
    </xf>
    <xf numFmtId="0" fontId="22" fillId="6" borderId="1" xfId="0" applyFont="1" applyFill="1" applyBorder="1">
      <alignment vertical="center"/>
    </xf>
    <xf numFmtId="0" fontId="10" fillId="0" borderId="4" xfId="3" applyBorder="1" applyAlignment="1">
      <alignment vertical="center"/>
    </xf>
    <xf numFmtId="0" fontId="10" fillId="6" borderId="37" xfId="3" applyFill="1" applyBorder="1" applyAlignment="1">
      <alignment vertical="center"/>
    </xf>
    <xf numFmtId="0" fontId="10" fillId="6" borderId="5" xfId="3" applyFill="1" applyBorder="1" applyAlignment="1">
      <alignment vertical="center"/>
    </xf>
    <xf numFmtId="0" fontId="10" fillId="6" borderId="38" xfId="3" applyFill="1" applyBorder="1" applyAlignment="1">
      <alignment vertical="center"/>
    </xf>
    <xf numFmtId="0" fontId="10" fillId="0" borderId="1" xfId="3" applyBorder="1" applyAlignment="1" applyProtection="1">
      <alignment vertical="center"/>
      <protection locked="0"/>
    </xf>
    <xf numFmtId="0" fontId="10" fillId="0" borderId="1" xfId="3" applyBorder="1" applyAlignment="1">
      <alignment horizontal="center" vertical="center"/>
    </xf>
    <xf numFmtId="0" fontId="10" fillId="0" borderId="1" xfId="3" applyBorder="1" applyAlignment="1">
      <alignment horizontal="center" vertical="center" shrinkToFit="1"/>
    </xf>
    <xf numFmtId="0" fontId="0" fillId="4" borderId="0" xfId="0" applyFill="1">
      <alignment vertical="center"/>
    </xf>
    <xf numFmtId="0" fontId="5" fillId="0" borderId="0" xfId="1" applyFont="1" applyAlignment="1">
      <alignment vertical="center" shrinkToFit="1"/>
    </xf>
    <xf numFmtId="0" fontId="5" fillId="0" borderId="0" xfId="1" applyFont="1" applyAlignment="1">
      <alignment vertical="center"/>
    </xf>
    <xf numFmtId="0" fontId="7"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0" fillId="0" borderId="0" xfId="0" applyAlignment="1">
      <alignment vertical="center" shrinkToFit="1"/>
    </xf>
    <xf numFmtId="0" fontId="7" fillId="0" borderId="2" xfId="1" applyFont="1" applyBorder="1" applyAlignment="1">
      <alignment horizontal="left" vertical="center"/>
    </xf>
    <xf numFmtId="0" fontId="10" fillId="0" borderId="0" xfId="1" applyFont="1" applyAlignment="1">
      <alignment horizontal="center" vertical="center"/>
    </xf>
    <xf numFmtId="178" fontId="10" fillId="0" borderId="1" xfId="1" applyNumberFormat="1" applyFont="1" applyBorder="1" applyAlignment="1">
      <alignment horizontal="center" vertical="center"/>
    </xf>
    <xf numFmtId="0" fontId="8" fillId="0" borderId="1" xfId="1" applyFont="1" applyBorder="1" applyAlignment="1">
      <alignment vertical="center" textRotation="255" wrapText="1"/>
    </xf>
    <xf numFmtId="0" fontId="8" fillId="0" borderId="1" xfId="1" applyFont="1" applyBorder="1" applyAlignment="1">
      <alignment vertical="center" textRotation="255" shrinkToFit="1"/>
    </xf>
    <xf numFmtId="0" fontId="10" fillId="0" borderId="1" xfId="1" applyFont="1" applyBorder="1" applyAlignment="1">
      <alignment vertical="center" textRotation="255"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2" fillId="0" borderId="1" xfId="1" applyFont="1" applyBorder="1" applyAlignment="1">
      <alignment horizontal="center" vertical="center"/>
    </xf>
    <xf numFmtId="0" fontId="8" fillId="0" borderId="1" xfId="1" applyFont="1" applyBorder="1" applyAlignment="1">
      <alignment horizontal="center" vertical="center"/>
    </xf>
    <xf numFmtId="0" fontId="14" fillId="0" borderId="1" xfId="1" applyFont="1" applyBorder="1" applyAlignment="1">
      <alignment horizontal="center" vertical="center"/>
    </xf>
    <xf numFmtId="0" fontId="8" fillId="0" borderId="1" xfId="1" applyFont="1" applyBorder="1" applyAlignment="1">
      <alignment horizontal="center" vertical="center" shrinkToFit="1"/>
    </xf>
    <xf numFmtId="0" fontId="8" fillId="0" borderId="1" xfId="1" applyFont="1" applyBorder="1" applyAlignment="1">
      <alignment vertical="center"/>
    </xf>
    <xf numFmtId="0" fontId="8" fillId="0" borderId="0" xfId="1" applyFont="1" applyAlignment="1">
      <alignment horizontal="center" vertical="center"/>
    </xf>
    <xf numFmtId="0" fontId="8" fillId="0" borderId="22" xfId="1" applyFont="1" applyBorder="1" applyAlignment="1">
      <alignment horizontal="center" vertical="center"/>
    </xf>
    <xf numFmtId="0" fontId="12" fillId="0" borderId="27" xfId="1" applyFont="1" applyBorder="1" applyAlignment="1">
      <alignment horizontal="center" vertical="center"/>
    </xf>
    <xf numFmtId="0" fontId="12" fillId="0" borderId="26" xfId="1" applyFont="1" applyBorder="1" applyAlignment="1">
      <alignment horizontal="center" vertical="center"/>
    </xf>
    <xf numFmtId="0" fontId="12" fillId="0" borderId="28" xfId="1" applyFont="1" applyBorder="1" applyAlignment="1">
      <alignment horizontal="center" vertical="center"/>
    </xf>
    <xf numFmtId="0" fontId="8" fillId="0" borderId="28" xfId="1" applyFont="1" applyBorder="1" applyAlignment="1">
      <alignment horizontal="center" vertical="center"/>
    </xf>
    <xf numFmtId="178" fontId="8" fillId="0" borderId="28" xfId="1" applyNumberFormat="1" applyFont="1" applyBorder="1" applyAlignment="1">
      <alignment horizontal="center" vertical="center" shrinkToFit="1"/>
    </xf>
    <xf numFmtId="0" fontId="8" fillId="0" borderId="28" xfId="1" applyFont="1" applyBorder="1" applyAlignment="1">
      <alignment horizontal="center" vertical="center" shrinkToFit="1"/>
    </xf>
    <xf numFmtId="178" fontId="17" fillId="0" borderId="28" xfId="2" applyNumberFormat="1" applyFont="1" applyBorder="1" applyAlignment="1">
      <alignment horizontal="center" vertical="center" shrinkToFit="1"/>
    </xf>
    <xf numFmtId="0" fontId="8" fillId="0" borderId="29" xfId="1" applyFont="1" applyBorder="1" applyAlignment="1">
      <alignment horizontal="center" vertical="center" wrapText="1"/>
    </xf>
    <xf numFmtId="0" fontId="8" fillId="0" borderId="30" xfId="1" applyFont="1" applyBorder="1"/>
    <xf numFmtId="0" fontId="8" fillId="0" borderId="0" xfId="1" applyFont="1"/>
    <xf numFmtId="0" fontId="8" fillId="0" borderId="0" xfId="1" applyFont="1" applyAlignment="1">
      <alignment horizontal="left" vertical="center"/>
    </xf>
    <xf numFmtId="0" fontId="19" fillId="0" borderId="0" xfId="1" applyFont="1" applyAlignment="1">
      <alignment vertical="center" shrinkToFit="1"/>
    </xf>
    <xf numFmtId="0" fontId="19" fillId="0" borderId="0" xfId="1" applyFont="1" applyAlignment="1">
      <alignment horizontal="left" vertical="center"/>
    </xf>
    <xf numFmtId="0" fontId="8" fillId="0" borderId="0" xfId="1" applyFont="1" applyAlignment="1">
      <alignment horizontal="left" vertical="center" wrapText="1"/>
    </xf>
    <xf numFmtId="0" fontId="9" fillId="0" borderId="0" xfId="1" applyFont="1" applyAlignment="1">
      <alignment horizontal="left" vertical="center" wrapText="1"/>
    </xf>
    <xf numFmtId="0" fontId="2" fillId="0" borderId="0" xfId="0" applyFont="1">
      <alignment vertical="center"/>
    </xf>
    <xf numFmtId="0" fontId="8" fillId="0" borderId="0" xfId="1" applyFont="1" applyAlignment="1" applyProtection="1">
      <alignment vertical="center"/>
      <protection locked="0"/>
    </xf>
    <xf numFmtId="0" fontId="19" fillId="0" borderId="0" xfId="1" applyFont="1" applyAlignment="1" applyProtection="1">
      <alignment vertical="center"/>
      <protection locked="0"/>
    </xf>
    <xf numFmtId="0" fontId="19" fillId="0" borderId="0" xfId="1" applyFont="1" applyAlignment="1" applyProtection="1">
      <alignment horizontal="left" vertical="center"/>
      <protection locked="0"/>
    </xf>
    <xf numFmtId="0" fontId="19" fillId="0" borderId="0" xfId="1" applyFont="1" applyAlignment="1" applyProtection="1">
      <alignment horizontal="left" vertical="center" wrapText="1"/>
      <protection locked="0"/>
    </xf>
    <xf numFmtId="0" fontId="9" fillId="0" borderId="0" xfId="1" applyFont="1" applyAlignment="1" applyProtection="1">
      <alignment horizontal="left" vertical="center" wrapText="1"/>
      <protection locked="0"/>
    </xf>
    <xf numFmtId="0" fontId="20" fillId="0" borderId="0" xfId="0" applyFont="1" applyAlignment="1">
      <alignment vertical="center" shrinkToFit="1"/>
    </xf>
    <xf numFmtId="0" fontId="0" fillId="0" borderId="0" xfId="1" applyFont="1" applyAlignment="1">
      <alignment horizontal="center" vertical="center" shrinkToFit="1"/>
    </xf>
    <xf numFmtId="0" fontId="10" fillId="0" borderId="31" xfId="1" applyFont="1" applyBorder="1" applyAlignment="1">
      <alignment vertical="center"/>
    </xf>
    <xf numFmtId="0" fontId="10" fillId="0" borderId="1" xfId="1" applyFont="1" applyBorder="1" applyAlignment="1">
      <alignment vertical="center" wrapText="1"/>
    </xf>
    <xf numFmtId="0" fontId="8" fillId="0" borderId="1" xfId="1" applyFont="1" applyBorder="1" applyAlignment="1">
      <alignment vertical="center" wrapText="1" shrinkToFit="1"/>
    </xf>
    <xf numFmtId="179" fontId="8" fillId="0" borderId="1" xfId="1" applyNumberFormat="1" applyFont="1" applyBorder="1" applyAlignment="1">
      <alignment horizontal="center" vertical="center"/>
    </xf>
    <xf numFmtId="0" fontId="8" fillId="5" borderId="1" xfId="1" applyFont="1" applyFill="1" applyBorder="1" applyAlignment="1">
      <alignment horizontal="center" vertical="center" shrinkToFit="1"/>
    </xf>
    <xf numFmtId="0" fontId="10" fillId="0" borderId="1" xfId="1" applyFont="1" applyBorder="1" applyAlignment="1" applyProtection="1">
      <alignment horizontal="center" vertical="center" wrapText="1"/>
      <protection locked="0"/>
    </xf>
    <xf numFmtId="0" fontId="36" fillId="4" borderId="0" xfId="0" applyFont="1" applyFill="1">
      <alignment vertical="center"/>
    </xf>
    <xf numFmtId="0" fontId="10" fillId="4" borderId="0" xfId="3" applyFill="1"/>
    <xf numFmtId="182" fontId="10" fillId="4" borderId="0" xfId="3" applyNumberFormat="1" applyFill="1"/>
    <xf numFmtId="0" fontId="0" fillId="4" borderId="1" xfId="0" applyFill="1" applyBorder="1">
      <alignment vertical="center"/>
    </xf>
    <xf numFmtId="0" fontId="0" fillId="0" borderId="1" xfId="0" applyBorder="1" applyProtection="1">
      <alignment vertical="center"/>
      <protection locked="0"/>
    </xf>
    <xf numFmtId="184" fontId="0" fillId="0" borderId="1" xfId="0" applyNumberFormat="1" applyBorder="1" applyProtection="1">
      <alignment vertical="center"/>
      <protection locked="0"/>
    </xf>
    <xf numFmtId="0" fontId="0" fillId="2" borderId="1" xfId="0" applyFill="1" applyBorder="1">
      <alignment vertical="center"/>
    </xf>
    <xf numFmtId="0" fontId="0" fillId="2"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horizontal="center"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 xfId="0" applyBorder="1">
      <alignment vertical="center"/>
    </xf>
    <xf numFmtId="0" fontId="0" fillId="0" borderId="13" xfId="0" applyBorder="1">
      <alignment vertical="center"/>
    </xf>
    <xf numFmtId="0" fontId="0" fillId="0" borderId="8" xfId="0" applyBorder="1">
      <alignment vertical="center"/>
    </xf>
    <xf numFmtId="0" fontId="0" fillId="4" borderId="1" xfId="0" applyFill="1" applyBorder="1" applyAlignment="1">
      <alignment horizontal="center" vertical="center"/>
    </xf>
    <xf numFmtId="0" fontId="23" fillId="0" borderId="0" xfId="3" applyFont="1"/>
    <xf numFmtId="0" fontId="40" fillId="6" borderId="0" xfId="3" applyFont="1" applyFill="1"/>
    <xf numFmtId="0" fontId="40" fillId="6" borderId="0" xfId="3" applyFont="1" applyFill="1" applyAlignment="1">
      <alignment shrinkToFit="1"/>
    </xf>
    <xf numFmtId="0" fontId="23" fillId="0" borderId="4" xfId="3" applyFont="1" applyBorder="1" applyAlignment="1">
      <alignment horizontal="center" vertical="center"/>
    </xf>
    <xf numFmtId="0" fontId="23" fillId="0" borderId="1" xfId="3" applyFont="1" applyBorder="1" applyAlignment="1">
      <alignment horizontal="center" vertical="center"/>
    </xf>
    <xf numFmtId="180" fontId="24" fillId="7" borderId="1" xfId="3" applyNumberFormat="1" applyFont="1" applyFill="1" applyBorder="1" applyAlignment="1">
      <alignment vertical="center" shrinkToFit="1"/>
    </xf>
    <xf numFmtId="180" fontId="10" fillId="7" borderId="1" xfId="3" applyNumberFormat="1" applyFill="1" applyBorder="1" applyAlignment="1">
      <alignment vertical="center" shrinkToFit="1"/>
    </xf>
    <xf numFmtId="179" fontId="10" fillId="7" borderId="1" xfId="3" applyNumberFormat="1" applyFill="1" applyBorder="1" applyAlignment="1">
      <alignment vertical="center"/>
    </xf>
    <xf numFmtId="180" fontId="10" fillId="0" borderId="1" xfId="3" applyNumberFormat="1" applyBorder="1" applyAlignment="1">
      <alignment vertical="center" shrinkToFit="1"/>
    </xf>
    <xf numFmtId="180" fontId="10" fillId="0" borderId="35" xfId="3" applyNumberFormat="1" applyBorder="1" applyAlignment="1">
      <alignment vertical="center" shrinkToFit="1"/>
    </xf>
    <xf numFmtId="180" fontId="24" fillId="0" borderId="1" xfId="3" applyNumberFormat="1" applyFont="1" applyBorder="1" applyAlignment="1">
      <alignment vertical="center" shrinkToFit="1"/>
    </xf>
    <xf numFmtId="180" fontId="26" fillId="0" borderId="1" xfId="3" applyNumberFormat="1" applyFont="1" applyBorder="1" applyAlignment="1">
      <alignment vertical="center" shrinkToFit="1"/>
    </xf>
    <xf numFmtId="0" fontId="3" fillId="0" borderId="1" xfId="0" applyFont="1" applyBorder="1" applyAlignment="1">
      <alignment vertical="center" wrapText="1"/>
    </xf>
    <xf numFmtId="0" fontId="0" fillId="0" borderId="11" xfId="0" applyBorder="1" applyAlignment="1">
      <alignment vertical="center" shrinkToFit="1"/>
    </xf>
    <xf numFmtId="0" fontId="48" fillId="0" borderId="0" xfId="0" applyFont="1">
      <alignment vertical="center"/>
    </xf>
    <xf numFmtId="0" fontId="0" fillId="0" borderId="10" xfId="0" applyBorder="1">
      <alignment vertical="center"/>
    </xf>
    <xf numFmtId="0" fontId="48" fillId="0" borderId="0" xfId="9" applyFont="1">
      <alignment vertical="center"/>
    </xf>
    <xf numFmtId="188" fontId="24" fillId="7" borderId="1" xfId="3" applyNumberFormat="1" applyFont="1" applyFill="1" applyBorder="1" applyAlignment="1">
      <alignment vertical="center" shrinkToFit="1"/>
    </xf>
    <xf numFmtId="180" fontId="24" fillId="0" borderId="0" xfId="3" applyNumberFormat="1" applyFont="1" applyAlignment="1">
      <alignment vertical="center" shrinkToFit="1"/>
    </xf>
    <xf numFmtId="187" fontId="24" fillId="7" borderId="1" xfId="3" applyNumberFormat="1" applyFont="1" applyFill="1" applyBorder="1" applyAlignment="1">
      <alignment vertical="center" shrinkToFit="1"/>
    </xf>
    <xf numFmtId="187" fontId="24" fillId="0" borderId="1" xfId="3" applyNumberFormat="1" applyFont="1" applyBorder="1" applyAlignment="1">
      <alignment vertical="center" shrinkToFit="1"/>
    </xf>
    <xf numFmtId="0" fontId="28" fillId="0" borderId="0" xfId="4" applyAlignment="1">
      <alignment vertical="center"/>
    </xf>
    <xf numFmtId="0" fontId="0" fillId="0" borderId="1" xfId="0" applyBorder="1" applyAlignment="1">
      <alignment horizontal="center" vertical="center" shrinkToFit="1"/>
    </xf>
    <xf numFmtId="184" fontId="0" fillId="0" borderId="1" xfId="0" applyNumberFormat="1" applyBorder="1" applyAlignment="1">
      <alignment horizontal="center" vertical="center" shrinkToFit="1"/>
    </xf>
    <xf numFmtId="184" fontId="0" fillId="0" borderId="1" xfId="0" applyNumberFormat="1" applyBorder="1" applyAlignment="1">
      <alignment vertical="center" shrinkToFit="1"/>
    </xf>
    <xf numFmtId="180" fontId="0" fillId="0" borderId="0" xfId="0" applyNumberFormat="1" applyAlignment="1">
      <alignment vertical="center" shrinkToFit="1"/>
    </xf>
    <xf numFmtId="0" fontId="0" fillId="0" borderId="4" xfId="0" applyBorder="1" applyAlignment="1">
      <alignment horizontal="center" vertical="center" shrinkToFit="1"/>
    </xf>
    <xf numFmtId="0" fontId="0" fillId="0" borderId="7" xfId="0" applyBorder="1">
      <alignment vertical="center"/>
    </xf>
    <xf numFmtId="190" fontId="0" fillId="0" borderId="1" xfId="0" applyNumberFormat="1" applyBorder="1" applyAlignment="1">
      <alignment horizontal="center" vertical="center"/>
    </xf>
    <xf numFmtId="0" fontId="0" fillId="9" borderId="1" xfId="0" applyFill="1" applyBorder="1" applyAlignment="1" applyProtection="1">
      <alignment horizontal="center" vertical="center"/>
      <protection locked="0"/>
    </xf>
    <xf numFmtId="176" fontId="0" fillId="9" borderId="1" xfId="0" applyNumberFormat="1" applyFill="1" applyBorder="1" applyAlignment="1" applyProtection="1">
      <alignment horizontal="center" vertical="center"/>
      <protection locked="0"/>
    </xf>
    <xf numFmtId="180" fontId="0" fillId="9" borderId="1" xfId="0" applyNumberFormat="1" applyFill="1" applyBorder="1" applyAlignment="1" applyProtection="1">
      <alignment horizontal="center" vertical="center" shrinkToFit="1"/>
      <protection locked="0"/>
    </xf>
    <xf numFmtId="176" fontId="0" fillId="9" borderId="2" xfId="0" applyNumberFormat="1" applyFill="1" applyBorder="1" applyProtection="1">
      <alignment vertical="center"/>
      <protection locked="0"/>
    </xf>
    <xf numFmtId="0" fontId="0" fillId="9" borderId="8" xfId="0" applyFill="1" applyBorder="1" applyAlignment="1">
      <alignment horizontal="center" vertical="center"/>
    </xf>
    <xf numFmtId="0" fontId="20" fillId="0" borderId="0" xfId="0" applyFont="1">
      <alignment vertical="center"/>
    </xf>
    <xf numFmtId="180" fontId="10" fillId="7" borderId="1" xfId="3" applyNumberFormat="1" applyFill="1" applyBorder="1" applyAlignment="1">
      <alignment horizontal="center" vertical="center" shrinkToFit="1"/>
    </xf>
    <xf numFmtId="181" fontId="24" fillId="5" borderId="1" xfId="3" applyNumberFormat="1" applyFont="1" applyFill="1" applyBorder="1" applyAlignment="1">
      <alignment horizontal="center" vertical="center" shrinkToFit="1"/>
    </xf>
    <xf numFmtId="0" fontId="52" fillId="0" borderId="0" xfId="0" applyFont="1">
      <alignment vertical="center"/>
    </xf>
    <xf numFmtId="0" fontId="53" fillId="0" borderId="0" xfId="0" applyFont="1">
      <alignment vertical="center"/>
    </xf>
    <xf numFmtId="0" fontId="54" fillId="0" borderId="0" xfId="0" applyFont="1">
      <alignment vertical="center"/>
    </xf>
    <xf numFmtId="0" fontId="5" fillId="0" borderId="0" xfId="3" applyFont="1" applyAlignment="1">
      <alignment horizontal="center"/>
    </xf>
    <xf numFmtId="0" fontId="0" fillId="0" borderId="1" xfId="0" applyBorder="1" applyAlignment="1">
      <alignment horizontal="center" vertical="center"/>
    </xf>
    <xf numFmtId="0" fontId="56" fillId="0" borderId="0" xfId="0" applyFont="1">
      <alignment vertical="center"/>
    </xf>
    <xf numFmtId="0" fontId="57" fillId="0" borderId="1" xfId="0" applyFont="1" applyBorder="1" applyAlignment="1">
      <alignment horizontal="center" vertical="center" wrapText="1"/>
    </xf>
    <xf numFmtId="0" fontId="28" fillId="0" borderId="0" xfId="3" applyFont="1"/>
    <xf numFmtId="58" fontId="28" fillId="0" borderId="0" xfId="3" applyNumberFormat="1" applyFont="1"/>
    <xf numFmtId="0" fontId="55" fillId="0" borderId="0" xfId="3" applyFont="1"/>
    <xf numFmtId="0" fontId="28" fillId="0" borderId="53" xfId="3" applyFont="1" applyBorder="1"/>
    <xf numFmtId="0" fontId="28" fillId="0" borderId="4" xfId="3" applyFont="1" applyBorder="1" applyAlignment="1">
      <alignment horizontal="center" vertical="center"/>
    </xf>
    <xf numFmtId="0" fontId="28" fillId="0" borderId="3" xfId="3" applyFont="1" applyBorder="1" applyAlignment="1">
      <alignment vertical="center"/>
    </xf>
    <xf numFmtId="0" fontId="28" fillId="0" borderId="5" xfId="3" applyFont="1" applyBorder="1" applyAlignment="1">
      <alignment vertical="center"/>
    </xf>
    <xf numFmtId="0" fontId="28" fillId="0" borderId="43" xfId="3" applyFont="1" applyBorder="1" applyAlignment="1">
      <alignment vertical="center"/>
    </xf>
    <xf numFmtId="0" fontId="28" fillId="0" borderId="64" xfId="3" applyFont="1" applyBorder="1" applyAlignment="1">
      <alignment vertical="center"/>
    </xf>
    <xf numFmtId="0" fontId="28" fillId="0" borderId="0" xfId="3" applyFont="1" applyAlignment="1">
      <alignment vertical="center"/>
    </xf>
    <xf numFmtId="0" fontId="28" fillId="0" borderId="54" xfId="3" applyFont="1" applyBorder="1"/>
    <xf numFmtId="0" fontId="28" fillId="0" borderId="45" xfId="3" applyFont="1" applyBorder="1" applyAlignment="1">
      <alignment vertical="center"/>
    </xf>
    <xf numFmtId="0" fontId="28" fillId="0" borderId="6" xfId="3" applyFont="1" applyBorder="1" applyAlignment="1">
      <alignment vertical="center"/>
    </xf>
    <xf numFmtId="58" fontId="28" fillId="0" borderId="0" xfId="3" applyNumberFormat="1" applyFont="1" applyAlignment="1">
      <alignment horizontal="center"/>
    </xf>
    <xf numFmtId="0" fontId="28" fillId="0" borderId="0" xfId="3" applyFont="1" applyAlignment="1">
      <alignment horizontal="center"/>
    </xf>
    <xf numFmtId="0" fontId="28" fillId="0" borderId="0" xfId="3" applyFont="1" applyAlignment="1">
      <alignment horizontal="left" vertical="center"/>
    </xf>
    <xf numFmtId="0" fontId="28" fillId="0" borderId="0" xfId="4" applyAlignment="1">
      <alignment horizontal="left" vertical="center"/>
    </xf>
    <xf numFmtId="180" fontId="30" fillId="0" borderId="0" xfId="3" applyNumberFormat="1" applyFont="1"/>
    <xf numFmtId="0" fontId="28" fillId="0" borderId="40" xfId="3" applyFont="1" applyBorder="1" applyAlignment="1">
      <alignment horizontal="distributed" vertical="center"/>
    </xf>
    <xf numFmtId="0" fontId="28" fillId="0" borderId="10" xfId="3" applyFont="1" applyBorder="1"/>
    <xf numFmtId="0" fontId="28" fillId="0" borderId="11" xfId="3" applyFont="1" applyBorder="1"/>
    <xf numFmtId="0" fontId="28" fillId="0" borderId="10" xfId="3" applyFont="1" applyBorder="1" applyAlignment="1">
      <alignment horizontal="left" vertical="top"/>
    </xf>
    <xf numFmtId="0" fontId="28" fillId="0" borderId="12" xfId="3" applyFont="1" applyBorder="1" applyAlignment="1">
      <alignment horizontal="left" vertical="top"/>
    </xf>
    <xf numFmtId="0" fontId="28" fillId="0" borderId="45" xfId="3" applyFont="1" applyBorder="1"/>
    <xf numFmtId="0" fontId="28" fillId="0" borderId="2" xfId="3" applyFont="1" applyBorder="1" applyAlignment="1">
      <alignment horizontal="center"/>
    </xf>
    <xf numFmtId="0" fontId="28" fillId="0" borderId="13" xfId="3" applyFont="1" applyBorder="1" applyAlignment="1">
      <alignment horizontal="center"/>
    </xf>
    <xf numFmtId="0" fontId="28" fillId="0" borderId="44" xfId="3" applyFont="1" applyBorder="1" applyAlignment="1">
      <alignment horizontal="center"/>
    </xf>
    <xf numFmtId="0" fontId="28" fillId="0" borderId="48" xfId="3" applyFont="1" applyBorder="1" applyAlignment="1">
      <alignment horizontal="center"/>
    </xf>
    <xf numFmtId="0" fontId="28" fillId="0" borderId="50" xfId="3" applyFont="1" applyBorder="1" applyAlignment="1">
      <alignment horizontal="center"/>
    </xf>
    <xf numFmtId="0" fontId="28" fillId="0" borderId="49" xfId="3" applyFont="1" applyBorder="1" applyAlignment="1">
      <alignment horizontal="center"/>
    </xf>
    <xf numFmtId="0" fontId="28" fillId="0" borderId="4" xfId="3" applyFont="1" applyBorder="1" applyAlignment="1">
      <alignment vertical="center"/>
    </xf>
    <xf numFmtId="180" fontId="55" fillId="0" borderId="9" xfId="3" applyNumberFormat="1" applyFont="1" applyBorder="1" applyAlignment="1">
      <alignment horizontal="right"/>
    </xf>
    <xf numFmtId="0" fontId="55" fillId="0" borderId="10" xfId="3" applyFont="1" applyBorder="1"/>
    <xf numFmtId="180" fontId="55" fillId="0" borderId="9" xfId="3" applyNumberFormat="1" applyFont="1" applyBorder="1"/>
    <xf numFmtId="0" fontId="0" fillId="0" borderId="0" xfId="0" applyAlignment="1">
      <alignment horizontal="left" vertical="center"/>
    </xf>
    <xf numFmtId="0" fontId="0" fillId="4" borderId="0" xfId="0" applyFill="1" applyAlignment="1">
      <alignment horizontal="center" vertical="center"/>
    </xf>
    <xf numFmtId="0" fontId="0" fillId="0" borderId="0" xfId="0" applyProtection="1">
      <alignment vertical="center"/>
      <protection locked="0"/>
    </xf>
    <xf numFmtId="0" fontId="0" fillId="4" borderId="0" xfId="0" applyFill="1" applyAlignment="1">
      <alignment horizontal="left" vertical="center"/>
    </xf>
    <xf numFmtId="190" fontId="0" fillId="0" borderId="0" xfId="0" applyNumberFormat="1" applyAlignment="1">
      <alignment horizontal="center" vertical="center"/>
    </xf>
    <xf numFmtId="0" fontId="0" fillId="9" borderId="0" xfId="0" applyFill="1" applyAlignment="1" applyProtection="1">
      <alignment horizontal="center" vertical="center"/>
      <protection locked="0"/>
    </xf>
    <xf numFmtId="0" fontId="0" fillId="9" borderId="0" xfId="0" applyFill="1" applyAlignment="1">
      <alignment horizontal="center" vertical="center"/>
    </xf>
    <xf numFmtId="177" fontId="0" fillId="9" borderId="0" xfId="0" applyNumberFormat="1" applyFill="1" applyAlignment="1">
      <alignment horizontal="center" vertical="center"/>
    </xf>
    <xf numFmtId="177" fontId="0" fillId="4" borderId="0" xfId="0" applyNumberFormat="1" applyFill="1" applyAlignment="1" applyProtection="1">
      <alignment horizontal="center" vertical="center"/>
      <protection locked="0"/>
    </xf>
    <xf numFmtId="177" fontId="0" fillId="9" borderId="0" xfId="0" applyNumberFormat="1" applyFill="1" applyAlignment="1" applyProtection="1">
      <alignment horizontal="center" vertical="center"/>
      <protection locked="0"/>
    </xf>
    <xf numFmtId="176" fontId="0" fillId="9" borderId="0" xfId="0" applyNumberFormat="1" applyFill="1" applyAlignment="1" applyProtection="1">
      <alignment horizontal="center" vertical="center"/>
      <protection locked="0"/>
    </xf>
    <xf numFmtId="180" fontId="0" fillId="9" borderId="0" xfId="0" applyNumberFormat="1" applyFill="1" applyAlignment="1" applyProtection="1">
      <alignment horizontal="center" vertical="center" shrinkToFit="1"/>
      <protection locked="0"/>
    </xf>
    <xf numFmtId="0" fontId="10" fillId="0" borderId="0" xfId="3" applyAlignment="1">
      <alignment wrapText="1"/>
    </xf>
    <xf numFmtId="0" fontId="38" fillId="4" borderId="0" xfId="0" applyFont="1" applyFill="1" applyAlignment="1">
      <alignment vertical="center" wrapText="1"/>
    </xf>
    <xf numFmtId="0" fontId="0" fillId="0" borderId="1" xfId="0" applyBorder="1" applyAlignment="1">
      <alignment horizontal="center" vertical="center" wrapText="1" shrinkToFit="1"/>
    </xf>
    <xf numFmtId="0" fontId="26" fillId="7" borderId="0" xfId="3" applyFont="1" applyFill="1"/>
    <xf numFmtId="1" fontId="26" fillId="0" borderId="1" xfId="3" applyNumberFormat="1" applyFont="1" applyBorder="1" applyAlignment="1">
      <alignment vertical="center" shrinkToFit="1"/>
    </xf>
    <xf numFmtId="1" fontId="10" fillId="7" borderId="0" xfId="3" applyNumberFormat="1" applyFill="1"/>
    <xf numFmtId="1" fontId="26" fillId="7" borderId="0" xfId="3" applyNumberFormat="1" applyFont="1" applyFill="1"/>
    <xf numFmtId="0" fontId="58" fillId="0" borderId="0" xfId="0" applyFont="1">
      <alignment vertical="center"/>
    </xf>
    <xf numFmtId="0" fontId="0" fillId="11" borderId="0" xfId="0" applyFill="1">
      <alignment vertical="center"/>
    </xf>
    <xf numFmtId="0" fontId="7" fillId="6" borderId="0" xfId="3" applyFont="1" applyFill="1" applyAlignment="1">
      <alignment horizontal="center" vertical="center" shrinkToFit="1"/>
    </xf>
    <xf numFmtId="0" fontId="7" fillId="6" borderId="0" xfId="3" applyFont="1" applyFill="1" applyAlignment="1">
      <alignment horizontal="right" vertical="center"/>
    </xf>
    <xf numFmtId="0" fontId="3" fillId="0" borderId="0" xfId="0" applyFont="1">
      <alignment vertical="center"/>
    </xf>
    <xf numFmtId="0" fontId="5" fillId="0" borderId="1" xfId="3" applyFont="1" applyBorder="1" applyAlignment="1">
      <alignment vertical="center" shrinkToFit="1"/>
    </xf>
    <xf numFmtId="177" fontId="7" fillId="0" borderId="2" xfId="3" applyNumberFormat="1" applyFont="1" applyBorder="1" applyAlignment="1">
      <alignment vertical="center" shrinkToFit="1"/>
    </xf>
    <xf numFmtId="0" fontId="5" fillId="0" borderId="1" xfId="3" applyFont="1" applyBorder="1" applyAlignment="1">
      <alignment horizontal="center" vertical="center" shrinkToFit="1"/>
    </xf>
    <xf numFmtId="0" fontId="10" fillId="7" borderId="1" xfId="3" applyFill="1" applyBorder="1"/>
    <xf numFmtId="0" fontId="10" fillId="0" borderId="0" xfId="3" applyAlignment="1">
      <alignment horizontal="left" vertical="center"/>
    </xf>
    <xf numFmtId="0" fontId="10" fillId="7" borderId="31" xfId="3" applyFill="1" applyBorder="1"/>
    <xf numFmtId="0" fontId="10" fillId="7" borderId="1" xfId="3" applyFill="1" applyBorder="1" applyAlignment="1">
      <alignment vertical="center"/>
    </xf>
    <xf numFmtId="0" fontId="10" fillId="7" borderId="1" xfId="3" applyFill="1" applyBorder="1" applyAlignment="1">
      <alignment vertical="center" shrinkToFit="1"/>
    </xf>
    <xf numFmtId="0" fontId="48" fillId="0" borderId="0" xfId="8" applyFont="1"/>
    <xf numFmtId="0" fontId="48" fillId="0" borderId="0" xfId="8" applyFont="1" applyAlignment="1">
      <alignment vertical="center" wrapText="1"/>
    </xf>
    <xf numFmtId="0" fontId="0" fillId="0" borderId="1" xfId="0" applyBorder="1" applyAlignment="1" applyProtection="1">
      <alignment horizontal="center" vertical="center"/>
      <protection locked="0"/>
    </xf>
    <xf numFmtId="0" fontId="0" fillId="12" borderId="10" xfId="0" applyFill="1" applyBorder="1">
      <alignment vertical="center"/>
    </xf>
    <xf numFmtId="0" fontId="0" fillId="12" borderId="11" xfId="0" applyFill="1" applyBorder="1">
      <alignment vertical="center"/>
    </xf>
    <xf numFmtId="0" fontId="0" fillId="12" borderId="12" xfId="0" applyFill="1" applyBorder="1">
      <alignment vertical="center"/>
    </xf>
    <xf numFmtId="0" fontId="0" fillId="12" borderId="9" xfId="0" applyFill="1" applyBorder="1">
      <alignment vertical="center"/>
    </xf>
    <xf numFmtId="0" fontId="0" fillId="12" borderId="4" xfId="0" applyFill="1" applyBorder="1">
      <alignment vertical="center"/>
    </xf>
    <xf numFmtId="0" fontId="0" fillId="12" borderId="3" xfId="0" applyFill="1" applyBorder="1">
      <alignment vertical="center"/>
    </xf>
    <xf numFmtId="0" fontId="0" fillId="12" borderId="5" xfId="0" applyFill="1" applyBorder="1">
      <alignment vertical="center"/>
    </xf>
    <xf numFmtId="184" fontId="0" fillId="0" borderId="35" xfId="0" applyNumberFormat="1" applyBorder="1">
      <alignment vertical="center"/>
    </xf>
    <xf numFmtId="0" fontId="8" fillId="0" borderId="65" xfId="1" applyFont="1" applyBorder="1" applyAlignment="1" applyProtection="1">
      <alignment horizontal="center" vertical="center" shrinkToFit="1"/>
      <protection locked="0"/>
    </xf>
    <xf numFmtId="0" fontId="49" fillId="0" borderId="0" xfId="9" applyFont="1">
      <alignment vertical="center"/>
    </xf>
    <xf numFmtId="0" fontId="49" fillId="0" borderId="0" xfId="0" applyFont="1">
      <alignment vertical="center"/>
    </xf>
    <xf numFmtId="177" fontId="0" fillId="6" borderId="1" xfId="0" applyNumberFormat="1" applyFill="1" applyBorder="1" applyAlignment="1">
      <alignment horizontal="center" vertical="center"/>
    </xf>
    <xf numFmtId="179" fontId="10" fillId="0" borderId="1" xfId="3" applyNumberFormat="1" applyBorder="1" applyAlignment="1">
      <alignment vertical="center"/>
    </xf>
    <xf numFmtId="177" fontId="0" fillId="0" borderId="39" xfId="0" applyNumberFormat="1" applyBorder="1" applyAlignment="1">
      <alignment horizontal="center" vertical="center"/>
    </xf>
    <xf numFmtId="177" fontId="0" fillId="0" borderId="66" xfId="0" applyNumberFormat="1" applyBorder="1" applyAlignment="1">
      <alignment horizontal="center" vertical="center"/>
    </xf>
    <xf numFmtId="179" fontId="10" fillId="0" borderId="9" xfId="3" applyNumberFormat="1" applyBorder="1" applyAlignment="1">
      <alignment horizontal="center"/>
    </xf>
    <xf numFmtId="0" fontId="28" fillId="0" borderId="0" xfId="14" applyAlignment="1">
      <alignment vertical="center"/>
    </xf>
    <xf numFmtId="0" fontId="28" fillId="10" borderId="0" xfId="14" applyFill="1" applyAlignment="1">
      <alignment vertical="center"/>
    </xf>
    <xf numFmtId="38" fontId="28" fillId="0" borderId="0" xfId="13" applyFont="1" applyAlignment="1" applyProtection="1">
      <alignment vertical="center" shrinkToFit="1"/>
    </xf>
    <xf numFmtId="0" fontId="28" fillId="0" borderId="0" xfId="14" applyAlignment="1">
      <alignment vertical="center" shrinkToFit="1"/>
    </xf>
    <xf numFmtId="58" fontId="31" fillId="0" borderId="0" xfId="3" applyNumberFormat="1" applyFont="1"/>
    <xf numFmtId="0" fontId="32" fillId="5" borderId="0" xfId="4" applyFont="1" applyFill="1" applyAlignment="1" applyProtection="1">
      <alignment horizontal="right" vertical="center"/>
      <protection locked="0"/>
    </xf>
    <xf numFmtId="0" fontId="31" fillId="0" borderId="0" xfId="3" applyFont="1" applyAlignment="1">
      <alignment vertical="center"/>
    </xf>
    <xf numFmtId="0" fontId="31" fillId="0" borderId="0" xfId="14" applyFont="1" applyAlignment="1">
      <alignment vertical="center"/>
    </xf>
    <xf numFmtId="0" fontId="28" fillId="0" borderId="6" xfId="14" applyBorder="1" applyAlignment="1">
      <alignment vertical="center"/>
    </xf>
    <xf numFmtId="0" fontId="28" fillId="0" borderId="7" xfId="14" applyBorder="1" applyAlignment="1">
      <alignment vertical="center"/>
    </xf>
    <xf numFmtId="0" fontId="28" fillId="0" borderId="7" xfId="14" applyBorder="1" applyAlignment="1">
      <alignment horizontal="center" vertical="center"/>
    </xf>
    <xf numFmtId="0" fontId="28" fillId="0" borderId="13" xfId="14" applyBorder="1" applyAlignment="1">
      <alignment horizontal="center" vertical="center"/>
    </xf>
    <xf numFmtId="180" fontId="30" fillId="0" borderId="10" xfId="14" applyNumberFormat="1" applyFont="1" applyBorder="1" applyAlignment="1">
      <alignment vertical="center"/>
    </xf>
    <xf numFmtId="180" fontId="30" fillId="0" borderId="11" xfId="14" applyNumberFormat="1" applyFont="1" applyBorder="1" applyAlignment="1">
      <alignment vertical="center"/>
    </xf>
    <xf numFmtId="0" fontId="28" fillId="0" borderId="12" xfId="14" applyBorder="1" applyAlignment="1">
      <alignment vertical="center"/>
    </xf>
    <xf numFmtId="0" fontId="28" fillId="0" borderId="10" xfId="14" applyBorder="1" applyAlignment="1">
      <alignment vertical="center"/>
    </xf>
    <xf numFmtId="0" fontId="28" fillId="0" borderId="11" xfId="14" applyBorder="1" applyAlignment="1">
      <alignment vertical="center"/>
    </xf>
    <xf numFmtId="180" fontId="30" fillId="0" borderId="69" xfId="14" applyNumberFormat="1" applyFont="1" applyBorder="1" applyAlignment="1">
      <alignment vertical="center"/>
    </xf>
    <xf numFmtId="180" fontId="30" fillId="0" borderId="70" xfId="14" applyNumberFormat="1" applyFont="1" applyBorder="1" applyAlignment="1">
      <alignment vertical="center"/>
    </xf>
    <xf numFmtId="0" fontId="28" fillId="0" borderId="71" xfId="14" applyBorder="1" applyAlignment="1">
      <alignment vertical="center"/>
    </xf>
    <xf numFmtId="0" fontId="28" fillId="0" borderId="74" xfId="14" applyBorder="1" applyAlignment="1">
      <alignment horizontal="center" vertical="center"/>
    </xf>
    <xf numFmtId="1" fontId="68" fillId="7" borderId="0" xfId="3" applyNumberFormat="1" applyFont="1" applyFill="1"/>
    <xf numFmtId="0" fontId="68" fillId="0" borderId="6" xfId="3" applyFont="1" applyBorder="1"/>
    <xf numFmtId="0" fontId="68" fillId="0" borderId="0" xfId="3" applyFont="1"/>
    <xf numFmtId="0" fontId="69" fillId="0" borderId="0" xfId="8" applyFont="1"/>
    <xf numFmtId="0" fontId="69" fillId="0" borderId="0" xfId="8" applyFont="1" applyAlignment="1">
      <alignment vertical="center" wrapText="1"/>
    </xf>
    <xf numFmtId="0" fontId="69" fillId="6" borderId="0" xfId="0" applyFont="1" applyFill="1">
      <alignment vertical="center"/>
    </xf>
    <xf numFmtId="180" fontId="61" fillId="6" borderId="1" xfId="3" applyNumberFormat="1" applyFont="1" applyFill="1" applyBorder="1" applyAlignment="1">
      <alignment horizontal="right" vertical="center" shrinkToFit="1"/>
    </xf>
    <xf numFmtId="0" fontId="10" fillId="6" borderId="1" xfId="3" applyFill="1" applyBorder="1" applyAlignment="1">
      <alignment vertical="center"/>
    </xf>
    <xf numFmtId="180" fontId="10" fillId="6" borderId="1" xfId="3" applyNumberFormat="1" applyFill="1" applyBorder="1" applyAlignment="1">
      <alignment vertical="center" shrinkToFit="1"/>
    </xf>
    <xf numFmtId="0" fontId="10" fillId="6" borderId="35" xfId="3" applyFill="1" applyBorder="1" applyAlignment="1">
      <alignment vertical="center"/>
    </xf>
    <xf numFmtId="180" fontId="26" fillId="6" borderId="1" xfId="3" applyNumberFormat="1" applyFont="1" applyFill="1" applyBorder="1" applyAlignment="1">
      <alignment vertical="center" shrinkToFit="1"/>
    </xf>
    <xf numFmtId="180" fontId="24" fillId="6" borderId="1" xfId="3" applyNumberFormat="1" applyFont="1" applyFill="1" applyBorder="1" applyAlignment="1">
      <alignment vertical="center" shrinkToFit="1"/>
    </xf>
    <xf numFmtId="187" fontId="24" fillId="6" borderId="1" xfId="3" applyNumberFormat="1" applyFont="1" applyFill="1" applyBorder="1" applyAlignment="1">
      <alignment vertical="center" shrinkToFit="1"/>
    </xf>
    <xf numFmtId="0" fontId="10" fillId="6" borderId="0" xfId="3" applyFill="1" applyAlignment="1">
      <alignment vertical="center"/>
    </xf>
    <xf numFmtId="180" fontId="10" fillId="6" borderId="35" xfId="3" applyNumberFormat="1" applyFill="1" applyBorder="1" applyAlignment="1">
      <alignment vertical="center" shrinkToFit="1"/>
    </xf>
    <xf numFmtId="180" fontId="10" fillId="6" borderId="35" xfId="3" applyNumberFormat="1" applyFill="1" applyBorder="1" applyAlignment="1">
      <alignment vertical="center"/>
    </xf>
    <xf numFmtId="180" fontId="10" fillId="6" borderId="1" xfId="3" applyNumberFormat="1" applyFill="1" applyBorder="1" applyAlignment="1">
      <alignment vertical="center"/>
    </xf>
    <xf numFmtId="0" fontId="24" fillId="6" borderId="1" xfId="3" applyFont="1" applyFill="1" applyBorder="1" applyAlignment="1">
      <alignment vertical="center" shrinkToFit="1"/>
    </xf>
    <xf numFmtId="0" fontId="49" fillId="0" borderId="0" xfId="8" applyFont="1"/>
    <xf numFmtId="0" fontId="49" fillId="0" borderId="0" xfId="8" applyFont="1" applyAlignment="1">
      <alignment vertical="center" wrapText="1"/>
    </xf>
    <xf numFmtId="0" fontId="61" fillId="6" borderId="0" xfId="9" applyFont="1" applyFill="1">
      <alignment vertical="center"/>
    </xf>
    <xf numFmtId="0" fontId="61" fillId="6" borderId="0" xfId="9" applyFont="1" applyFill="1" applyAlignment="1">
      <alignment horizontal="center" vertical="center"/>
    </xf>
    <xf numFmtId="178" fontId="70" fillId="6" borderId="0" xfId="9" applyNumberFormat="1" applyFont="1" applyFill="1" applyAlignment="1">
      <alignment horizontal="center" vertical="center"/>
    </xf>
    <xf numFmtId="0" fontId="49" fillId="6" borderId="0" xfId="9" applyFont="1" applyFill="1">
      <alignment vertical="center"/>
    </xf>
    <xf numFmtId="0" fontId="71" fillId="6" borderId="0" xfId="9" applyFont="1" applyFill="1">
      <alignment vertical="center"/>
    </xf>
    <xf numFmtId="0" fontId="71" fillId="6" borderId="0" xfId="9" applyFont="1" applyFill="1" applyAlignment="1">
      <alignment horizontal="left" vertical="center"/>
    </xf>
    <xf numFmtId="0" fontId="61" fillId="6" borderId="0" xfId="9" applyFont="1" applyFill="1" applyAlignment="1">
      <alignment horizontal="left" vertical="center"/>
    </xf>
    <xf numFmtId="0" fontId="61" fillId="6" borderId="1" xfId="9" applyFont="1" applyFill="1" applyBorder="1">
      <alignment vertical="center"/>
    </xf>
    <xf numFmtId="0" fontId="61" fillId="6" borderId="4" xfId="9" applyFont="1" applyFill="1" applyBorder="1">
      <alignment vertical="center"/>
    </xf>
    <xf numFmtId="0" fontId="61" fillId="6" borderId="3" xfId="9" applyFont="1" applyFill="1" applyBorder="1">
      <alignment vertical="center"/>
    </xf>
    <xf numFmtId="0" fontId="61" fillId="6" borderId="5" xfId="9" applyFont="1" applyFill="1" applyBorder="1">
      <alignment vertical="center"/>
    </xf>
    <xf numFmtId="0" fontId="71" fillId="6" borderId="0" xfId="10" applyFont="1" applyFill="1">
      <alignment vertical="center"/>
    </xf>
    <xf numFmtId="0" fontId="61" fillId="6" borderId="1" xfId="9" applyFont="1" applyFill="1" applyBorder="1" applyAlignment="1">
      <alignment horizontal="center" vertical="center" wrapText="1"/>
    </xf>
    <xf numFmtId="0" fontId="61" fillId="6" borderId="1" xfId="9" applyFont="1" applyFill="1" applyBorder="1" applyAlignment="1">
      <alignment vertical="center" wrapText="1"/>
    </xf>
    <xf numFmtId="0" fontId="72" fillId="6" borderId="1" xfId="9" applyFont="1" applyFill="1" applyBorder="1" applyAlignment="1">
      <alignment horizontal="center" vertical="center"/>
    </xf>
    <xf numFmtId="0" fontId="61" fillId="6" borderId="7" xfId="9" applyFont="1" applyFill="1" applyBorder="1">
      <alignment vertical="center"/>
    </xf>
    <xf numFmtId="0" fontId="49" fillId="6" borderId="0" xfId="0" applyFont="1" applyFill="1">
      <alignment vertical="center"/>
    </xf>
    <xf numFmtId="0" fontId="61" fillId="6" borderId="1" xfId="9" applyFont="1" applyFill="1" applyBorder="1" applyAlignment="1">
      <alignment horizontal="center" vertical="center"/>
    </xf>
    <xf numFmtId="0" fontId="71" fillId="6" borderId="48" xfId="10" applyFont="1" applyFill="1" applyBorder="1">
      <alignment vertical="center"/>
    </xf>
    <xf numFmtId="0" fontId="49" fillId="6" borderId="1" xfId="0" applyFont="1" applyFill="1" applyBorder="1">
      <alignment vertical="center"/>
    </xf>
    <xf numFmtId="0" fontId="49" fillId="6" borderId="0" xfId="9" applyFont="1" applyFill="1" applyAlignment="1">
      <alignment horizontal="center" vertical="center"/>
    </xf>
    <xf numFmtId="0" fontId="49" fillId="6" borderId="0" xfId="9" applyFont="1" applyFill="1" applyAlignment="1">
      <alignment horizontal="left" vertical="center"/>
    </xf>
    <xf numFmtId="0" fontId="46" fillId="6" borderId="0" xfId="0" applyFont="1" applyFill="1">
      <alignment vertical="center"/>
    </xf>
    <xf numFmtId="0" fontId="46" fillId="6" borderId="0" xfId="0" applyFont="1" applyFill="1" applyAlignment="1">
      <alignment vertical="center" wrapText="1"/>
    </xf>
    <xf numFmtId="0" fontId="46" fillId="6" borderId="1" xfId="0" applyFont="1" applyFill="1" applyBorder="1" applyAlignment="1">
      <alignment vertical="center" wrapText="1"/>
    </xf>
    <xf numFmtId="0" fontId="49" fillId="6" borderId="1" xfId="9" applyFont="1" applyFill="1" applyBorder="1" applyAlignment="1">
      <alignment horizontal="center" vertical="center"/>
    </xf>
    <xf numFmtId="0" fontId="49" fillId="6" borderId="1" xfId="9" applyFont="1" applyFill="1" applyBorder="1" applyAlignment="1">
      <alignment horizontal="center" vertical="center" shrinkToFit="1"/>
    </xf>
    <xf numFmtId="0" fontId="61" fillId="6" borderId="1" xfId="9" applyFont="1" applyFill="1" applyBorder="1" applyAlignment="1">
      <alignment horizontal="center" vertical="center" shrinkToFit="1"/>
    </xf>
    <xf numFmtId="0" fontId="10" fillId="0" borderId="22" xfId="3" applyBorder="1" applyAlignment="1">
      <alignment horizontal="center" vertical="center" wrapText="1"/>
    </xf>
    <xf numFmtId="0" fontId="10" fillId="0" borderId="1" xfId="1" applyFont="1" applyBorder="1" applyAlignment="1">
      <alignment vertical="center" textRotation="255" shrinkToFit="1"/>
    </xf>
    <xf numFmtId="0" fontId="8" fillId="6" borderId="30" xfId="1" applyFont="1" applyFill="1" applyBorder="1" applyProtection="1">
      <protection locked="0"/>
    </xf>
    <xf numFmtId="0" fontId="8" fillId="6" borderId="0" xfId="1" applyFont="1" applyFill="1" applyAlignment="1" applyProtection="1">
      <alignment horizontal="left" vertical="center"/>
      <protection locked="0"/>
    </xf>
    <xf numFmtId="0" fontId="8" fillId="6" borderId="0" xfId="1" applyFont="1" applyFill="1" applyAlignment="1" applyProtection="1">
      <alignment vertical="center"/>
      <protection locked="0"/>
    </xf>
    <xf numFmtId="0" fontId="25" fillId="0" borderId="22" xfId="3" applyFont="1" applyBorder="1" applyAlignment="1">
      <alignment vertical="center" wrapText="1"/>
    </xf>
    <xf numFmtId="194" fontId="24" fillId="7" borderId="1" xfId="3" applyNumberFormat="1" applyFont="1" applyFill="1" applyBorder="1" applyAlignment="1">
      <alignment vertical="center" shrinkToFit="1"/>
    </xf>
    <xf numFmtId="194" fontId="24" fillId="0" borderId="0" xfId="3" applyNumberFormat="1" applyFont="1" applyAlignment="1">
      <alignment vertical="center" shrinkToFit="1"/>
    </xf>
    <xf numFmtId="0" fontId="48" fillId="6" borderId="0" xfId="0" applyFont="1" applyFill="1">
      <alignment vertical="center"/>
    </xf>
    <xf numFmtId="1" fontId="48" fillId="6" borderId="0" xfId="0" applyNumberFormat="1" applyFont="1" applyFill="1">
      <alignment vertical="center"/>
    </xf>
    <xf numFmtId="0" fontId="48" fillId="13" borderId="0" xfId="0" applyFont="1" applyFill="1">
      <alignment vertical="center"/>
    </xf>
    <xf numFmtId="58" fontId="10" fillId="0" borderId="0" xfId="3" applyNumberFormat="1"/>
    <xf numFmtId="0" fontId="10" fillId="0" borderId="40" xfId="3" applyBorder="1" applyAlignment="1">
      <alignment horizontal="distributed" vertical="center"/>
    </xf>
    <xf numFmtId="0" fontId="10" fillId="0" borderId="10" xfId="3" applyBorder="1"/>
    <xf numFmtId="0" fontId="10" fillId="0" borderId="11" xfId="3" applyBorder="1"/>
    <xf numFmtId="0" fontId="28" fillId="0" borderId="11" xfId="3" applyFont="1" applyBorder="1" applyAlignment="1">
      <alignment horizontal="left" vertical="top"/>
    </xf>
    <xf numFmtId="0" fontId="10" fillId="0" borderId="6" xfId="3" applyBorder="1"/>
    <xf numFmtId="0" fontId="10" fillId="0" borderId="43" xfId="3" applyBorder="1"/>
    <xf numFmtId="183" fontId="30" fillId="0" borderId="9" xfId="3" applyNumberFormat="1" applyFont="1" applyBorder="1"/>
    <xf numFmtId="0" fontId="10" fillId="0" borderId="2" xfId="3" applyBorder="1" applyAlignment="1">
      <alignment horizontal="center"/>
    </xf>
    <xf numFmtId="180" fontId="30" fillId="0" borderId="9" xfId="3" applyNumberFormat="1" applyFont="1" applyBorder="1"/>
    <xf numFmtId="0" fontId="10" fillId="0" borderId="44" xfId="3" applyBorder="1" applyAlignment="1">
      <alignment horizontal="center"/>
    </xf>
    <xf numFmtId="183" fontId="10" fillId="0" borderId="10" xfId="3" applyNumberFormat="1" applyBorder="1"/>
    <xf numFmtId="0" fontId="10" fillId="0" borderId="45" xfId="3" applyBorder="1"/>
    <xf numFmtId="183" fontId="30" fillId="0" borderId="47" xfId="3" applyNumberFormat="1" applyFont="1" applyBorder="1"/>
    <xf numFmtId="0" fontId="10" fillId="0" borderId="48" xfId="3" applyBorder="1" applyAlignment="1">
      <alignment horizontal="center"/>
    </xf>
    <xf numFmtId="180" fontId="30" fillId="0" borderId="47" xfId="3" applyNumberFormat="1" applyFont="1" applyBorder="1"/>
    <xf numFmtId="0" fontId="10" fillId="0" borderId="49" xfId="3" applyBorder="1" applyAlignment="1">
      <alignment horizontal="center"/>
    </xf>
    <xf numFmtId="0" fontId="28" fillId="0" borderId="30" xfId="4" applyBorder="1" applyAlignment="1">
      <alignment vertical="center"/>
    </xf>
    <xf numFmtId="0" fontId="10" fillId="0" borderId="48" xfId="3" applyBorder="1" applyAlignment="1">
      <alignment vertical="center" wrapText="1"/>
    </xf>
    <xf numFmtId="0" fontId="10" fillId="0" borderId="50" xfId="3" applyBorder="1" applyAlignment="1">
      <alignment horizontal="center"/>
    </xf>
    <xf numFmtId="0" fontId="28" fillId="0" borderId="51" xfId="3" applyFont="1" applyBorder="1" applyAlignment="1">
      <alignment horizontal="center" vertical="center"/>
    </xf>
    <xf numFmtId="0" fontId="33" fillId="0" borderId="30" xfId="3" applyFont="1" applyBorder="1" applyAlignment="1">
      <alignment horizontal="center" vertical="center"/>
    </xf>
    <xf numFmtId="0" fontId="28" fillId="0" borderId="16" xfId="3" applyFont="1" applyBorder="1" applyAlignment="1">
      <alignment horizontal="center" vertical="center"/>
    </xf>
    <xf numFmtId="0" fontId="10" fillId="0" borderId="16" xfId="3" applyBorder="1" applyAlignment="1">
      <alignment horizontal="center" vertical="center"/>
    </xf>
    <xf numFmtId="0" fontId="10" fillId="0" borderId="41" xfId="3" applyBorder="1" applyAlignment="1">
      <alignment horizontal="center" vertical="center"/>
    </xf>
    <xf numFmtId="0" fontId="28" fillId="0" borderId="10" xfId="3" applyFont="1" applyBorder="1" applyAlignment="1">
      <alignment horizontal="center" vertical="center"/>
    </xf>
    <xf numFmtId="0" fontId="33" fillId="0" borderId="11" xfId="3" applyFont="1" applyBorder="1" applyAlignment="1">
      <alignment horizontal="center" vertical="center"/>
    </xf>
    <xf numFmtId="0" fontId="33" fillId="0" borderId="12" xfId="3" applyFont="1" applyBorder="1" applyAlignment="1">
      <alignment horizontal="center" vertical="center"/>
    </xf>
    <xf numFmtId="0" fontId="10" fillId="0" borderId="43" xfId="3" applyBorder="1" applyAlignment="1">
      <alignment horizontal="center" vertical="center"/>
    </xf>
    <xf numFmtId="0" fontId="28" fillId="0" borderId="6" xfId="3" applyFont="1" applyBorder="1" applyAlignment="1">
      <alignment horizontal="center" vertical="center"/>
    </xf>
    <xf numFmtId="0" fontId="33" fillId="0" borderId="0" xfId="3" applyFont="1" applyAlignment="1">
      <alignment horizontal="center" vertical="center"/>
    </xf>
    <xf numFmtId="0" fontId="33" fillId="0" borderId="7" xfId="3" applyFont="1" applyBorder="1" applyAlignment="1">
      <alignment horizontal="center" vertical="center"/>
    </xf>
    <xf numFmtId="0" fontId="28" fillId="0" borderId="7" xfId="3" applyFont="1" applyBorder="1" applyAlignment="1">
      <alignment horizontal="left" vertical="top"/>
    </xf>
    <xf numFmtId="0" fontId="10" fillId="0" borderId="13" xfId="3" applyBorder="1" applyAlignment="1">
      <alignment horizontal="center"/>
    </xf>
    <xf numFmtId="180" fontId="30" fillId="0" borderId="2" xfId="3" applyNumberFormat="1" applyFont="1" applyBorder="1"/>
    <xf numFmtId="0" fontId="10" fillId="0" borderId="11" xfId="3" applyBorder="1" applyAlignment="1">
      <alignment horizontal="center"/>
    </xf>
    <xf numFmtId="0" fontId="10" fillId="0" borderId="12" xfId="3" applyBorder="1" applyAlignment="1">
      <alignment horizontal="center"/>
    </xf>
    <xf numFmtId="0" fontId="10" fillId="0" borderId="43" xfId="3" applyBorder="1" applyAlignment="1">
      <alignment horizontal="center"/>
    </xf>
    <xf numFmtId="0" fontId="10" fillId="0" borderId="7" xfId="3" applyBorder="1" applyAlignment="1">
      <alignment horizontal="center"/>
    </xf>
    <xf numFmtId="0" fontId="10" fillId="0" borderId="7" xfId="3" applyBorder="1"/>
    <xf numFmtId="180" fontId="30" fillId="0" borderId="6" xfId="3" applyNumberFormat="1" applyFont="1" applyBorder="1" applyAlignment="1">
      <alignment horizontal="right"/>
    </xf>
    <xf numFmtId="180" fontId="30" fillId="0" borderId="48" xfId="3" applyNumberFormat="1" applyFont="1" applyBorder="1"/>
    <xf numFmtId="0" fontId="74" fillId="0" borderId="0" xfId="5" applyFont="1" applyAlignment="1">
      <alignment vertical="center"/>
    </xf>
    <xf numFmtId="58" fontId="74" fillId="0" borderId="0" xfId="5" quotePrefix="1" applyNumberFormat="1" applyFont="1" applyAlignment="1">
      <alignment horizontal="right" vertical="center"/>
    </xf>
    <xf numFmtId="0" fontId="77" fillId="0" borderId="0" xfId="5" applyFont="1" applyAlignment="1">
      <alignment vertical="center"/>
    </xf>
    <xf numFmtId="0" fontId="74" fillId="0" borderId="0" xfId="5" applyFont="1" applyAlignment="1">
      <alignment horizontal="right" vertical="center"/>
    </xf>
    <xf numFmtId="0" fontId="78" fillId="0" borderId="0" xfId="5" applyFont="1" applyAlignment="1">
      <alignment vertical="center"/>
    </xf>
    <xf numFmtId="0" fontId="74" fillId="0" borderId="0" xfId="5" applyFont="1" applyAlignment="1">
      <alignment horizontal="distributed" vertical="center"/>
    </xf>
    <xf numFmtId="0" fontId="74" fillId="0" borderId="0" xfId="5" applyFont="1" applyAlignment="1">
      <alignment horizontal="center" vertical="center"/>
    </xf>
    <xf numFmtId="0" fontId="74" fillId="0" borderId="0" xfId="5" applyFont="1" applyAlignment="1">
      <alignment vertical="center" shrinkToFit="1"/>
    </xf>
    <xf numFmtId="0" fontId="74" fillId="0" borderId="0" xfId="5" applyFont="1" applyAlignment="1">
      <alignment vertical="top"/>
    </xf>
    <xf numFmtId="0" fontId="79" fillId="0" borderId="0" xfId="5" applyFont="1" applyAlignment="1">
      <alignment horizontal="center" vertical="center"/>
    </xf>
    <xf numFmtId="0" fontId="74" fillId="0" borderId="0" xfId="5" applyFont="1" applyAlignment="1">
      <alignment horizontal="left" vertical="center"/>
    </xf>
    <xf numFmtId="0" fontId="74" fillId="0" borderId="0" xfId="5" applyFont="1" applyAlignment="1">
      <alignment horizontal="right"/>
    </xf>
    <xf numFmtId="0" fontId="74" fillId="0" borderId="4" xfId="5" applyFont="1" applyBorder="1" applyAlignment="1">
      <alignment horizontal="center" vertical="center"/>
    </xf>
    <xf numFmtId="0" fontId="74" fillId="0" borderId="1" xfId="5" applyFont="1" applyBorder="1" applyAlignment="1">
      <alignment horizontal="center" vertical="center"/>
    </xf>
    <xf numFmtId="0" fontId="74" fillId="0" borderId="1" xfId="5" applyFont="1" applyBorder="1" applyAlignment="1">
      <alignment horizontal="center" vertical="center" wrapText="1"/>
    </xf>
    <xf numFmtId="195" fontId="82" fillId="0" borderId="0" xfId="6" applyNumberFormat="1" applyFont="1" applyAlignment="1">
      <alignment horizontal="center" vertical="center"/>
    </xf>
    <xf numFmtId="0" fontId="82" fillId="0" borderId="0" xfId="5" applyFont="1" applyAlignment="1">
      <alignment vertical="center"/>
    </xf>
    <xf numFmtId="186" fontId="82" fillId="0" borderId="0" xfId="6" applyFont="1" applyAlignment="1">
      <alignment vertical="center"/>
    </xf>
    <xf numFmtId="186" fontId="74" fillId="0" borderId="0" xfId="5" applyNumberFormat="1" applyFont="1" applyAlignment="1">
      <alignment vertical="center"/>
    </xf>
    <xf numFmtId="0" fontId="10" fillId="18" borderId="8" xfId="3" applyFill="1" applyBorder="1" applyAlignment="1" applyProtection="1">
      <alignment vertical="center"/>
      <protection locked="0"/>
    </xf>
    <xf numFmtId="177" fontId="0" fillId="0" borderId="22" xfId="0" applyNumberFormat="1" applyBorder="1" applyAlignment="1">
      <alignment horizontal="center" vertical="center"/>
    </xf>
    <xf numFmtId="176" fontId="0" fillId="6" borderId="2" xfId="0" applyNumberFormat="1" applyFill="1" applyBorder="1" applyAlignment="1">
      <alignment horizontal="center" vertical="center"/>
    </xf>
    <xf numFmtId="0" fontId="0" fillId="6" borderId="1" xfId="0" applyFill="1" applyBorder="1" applyAlignment="1">
      <alignment horizontal="center" vertical="center"/>
    </xf>
    <xf numFmtId="180" fontId="10" fillId="0" borderId="1" xfId="3" applyNumberFormat="1" applyBorder="1" applyAlignment="1">
      <alignment horizontal="center" vertical="center" shrinkToFit="1"/>
    </xf>
    <xf numFmtId="185" fontId="0" fillId="0" borderId="1" xfId="0" applyNumberFormat="1" applyBorder="1" applyAlignment="1">
      <alignment vertical="center" shrinkToFit="1"/>
    </xf>
    <xf numFmtId="177" fontId="0" fillId="0" borderId="8" xfId="0" applyNumberFormat="1" applyBorder="1" applyAlignment="1">
      <alignment horizontal="center" vertical="center"/>
    </xf>
    <xf numFmtId="0" fontId="10" fillId="0" borderId="10" xfId="3" applyBorder="1" applyAlignment="1">
      <alignment horizontal="left" vertical="top"/>
    </xf>
    <xf numFmtId="180" fontId="30" fillId="0" borderId="9" xfId="3" applyNumberFormat="1" applyFont="1" applyBorder="1" applyAlignment="1">
      <alignment horizontal="right"/>
    </xf>
    <xf numFmtId="180" fontId="30" fillId="0" borderId="47" xfId="3" applyNumberFormat="1" applyFont="1" applyBorder="1" applyAlignment="1">
      <alignment horizontal="right"/>
    </xf>
    <xf numFmtId="0" fontId="32" fillId="0" borderId="10" xfId="3" applyFont="1" applyBorder="1" applyAlignment="1">
      <alignment horizontal="distributed" vertical="center" wrapText="1"/>
    </xf>
    <xf numFmtId="0" fontId="81" fillId="0" borderId="1" xfId="5" applyFont="1" applyBorder="1" applyAlignment="1">
      <alignment horizontal="distributed" vertical="center" wrapText="1"/>
    </xf>
    <xf numFmtId="195" fontId="74" fillId="0" borderId="9" xfId="6" applyNumberFormat="1" applyFont="1" applyBorder="1" applyAlignment="1" applyProtection="1">
      <alignment horizontal="center" vertical="center"/>
    </xf>
    <xf numFmtId="195" fontId="74" fillId="0" borderId="22" xfId="5" applyNumberFormat="1" applyFont="1" applyBorder="1" applyAlignment="1">
      <alignment horizontal="center" vertical="center"/>
    </xf>
    <xf numFmtId="184" fontId="0" fillId="0" borderId="1" xfId="0" applyNumberFormat="1" applyBorder="1" applyAlignment="1" applyProtection="1">
      <alignment horizontal="center" vertical="center"/>
      <protection locked="0"/>
    </xf>
    <xf numFmtId="0" fontId="28" fillId="0" borderId="10" xfId="3" applyFont="1" applyBorder="1" applyAlignment="1">
      <alignment vertical="center"/>
    </xf>
    <xf numFmtId="0" fontId="28" fillId="0" borderId="11" xfId="3" applyFont="1" applyBorder="1" applyAlignment="1">
      <alignment vertical="center"/>
    </xf>
    <xf numFmtId="0" fontId="28" fillId="0" borderId="0" xfId="3" applyFont="1" applyAlignment="1">
      <alignment vertical="center" wrapText="1"/>
    </xf>
    <xf numFmtId="180" fontId="55" fillId="0" borderId="47" xfId="3" applyNumberFormat="1" applyFont="1" applyBorder="1" applyAlignment="1">
      <alignment horizontal="right"/>
    </xf>
    <xf numFmtId="0" fontId="45" fillId="0" borderId="0" xfId="8" applyAlignment="1">
      <alignment horizontal="center" vertical="center"/>
    </xf>
    <xf numFmtId="0" fontId="45" fillId="0" borderId="0" xfId="8"/>
    <xf numFmtId="0" fontId="40" fillId="6" borderId="0" xfId="3" applyFont="1" applyFill="1" applyAlignment="1">
      <alignment horizontal="center"/>
    </xf>
    <xf numFmtId="0" fontId="85" fillId="19" borderId="4" xfId="8" applyFont="1" applyFill="1" applyBorder="1" applyAlignment="1">
      <alignment vertical="center" wrapText="1"/>
    </xf>
    <xf numFmtId="0" fontId="85" fillId="19" borderId="3" xfId="8" applyFont="1" applyFill="1" applyBorder="1" applyAlignment="1">
      <alignment vertical="center" wrapText="1"/>
    </xf>
    <xf numFmtId="0" fontId="85" fillId="19" borderId="11" xfId="8" applyFont="1" applyFill="1" applyBorder="1" applyAlignment="1">
      <alignment horizontal="center" vertical="center"/>
    </xf>
    <xf numFmtId="0" fontId="85" fillId="19" borderId="5" xfId="8" applyFont="1" applyFill="1" applyBorder="1" applyAlignment="1">
      <alignment horizontal="center" vertical="center"/>
    </xf>
    <xf numFmtId="0" fontId="85" fillId="19" borderId="1" xfId="8" applyFont="1" applyFill="1" applyBorder="1" applyAlignment="1">
      <alignment horizontal="center" vertical="center"/>
    </xf>
    <xf numFmtId="0" fontId="59" fillId="0" borderId="1" xfId="8" applyFont="1" applyBorder="1" applyAlignment="1">
      <alignment horizontal="center" vertical="center" shrinkToFit="1"/>
    </xf>
    <xf numFmtId="0" fontId="59" fillId="19" borderId="76" xfId="8" applyFont="1" applyFill="1" applyBorder="1" applyAlignment="1">
      <alignment horizontal="center" vertical="center" shrinkToFit="1"/>
    </xf>
    <xf numFmtId="0" fontId="59" fillId="0" borderId="77" xfId="8" applyFont="1" applyBorder="1" applyAlignment="1">
      <alignment horizontal="center" vertical="center" shrinkToFit="1"/>
    </xf>
    <xf numFmtId="0" fontId="59" fillId="0" borderId="78" xfId="8" applyFont="1" applyBorder="1" applyAlignment="1">
      <alignment horizontal="center" vertical="center" shrinkToFit="1"/>
    </xf>
    <xf numFmtId="0" fontId="59" fillId="0" borderId="5" xfId="8" applyFont="1" applyBorder="1" applyAlignment="1">
      <alignment horizontal="center" vertical="center" shrinkToFit="1"/>
    </xf>
    <xf numFmtId="1" fontId="59" fillId="0" borderId="4" xfId="8" applyNumberFormat="1" applyFont="1" applyBorder="1" applyAlignment="1">
      <alignment horizontal="center" vertical="center" shrinkToFit="1"/>
    </xf>
    <xf numFmtId="0" fontId="59" fillId="19" borderId="5" xfId="8" applyFont="1" applyFill="1" applyBorder="1" applyAlignment="1">
      <alignment horizontal="center" vertical="center" shrinkToFit="1"/>
    </xf>
    <xf numFmtId="0" fontId="59" fillId="19" borderId="4" xfId="8" applyFont="1" applyFill="1" applyBorder="1" applyAlignment="1">
      <alignment horizontal="center" vertical="center" shrinkToFit="1"/>
    </xf>
    <xf numFmtId="0" fontId="59" fillId="19" borderId="79" xfId="8" applyFont="1" applyFill="1" applyBorder="1" applyAlignment="1">
      <alignment horizontal="center" vertical="center" shrinkToFit="1"/>
    </xf>
    <xf numFmtId="0" fontId="59" fillId="4" borderId="5" xfId="8" applyFont="1" applyFill="1" applyBorder="1" applyAlignment="1">
      <alignment horizontal="center" vertical="center" shrinkToFit="1"/>
    </xf>
    <xf numFmtId="0" fontId="59" fillId="4" borderId="1" xfId="8" applyFont="1" applyFill="1" applyBorder="1" applyAlignment="1">
      <alignment horizontal="center" vertical="center" shrinkToFit="1"/>
    </xf>
    <xf numFmtId="0" fontId="59" fillId="19" borderId="1" xfId="8" applyFont="1" applyFill="1" applyBorder="1" applyAlignment="1">
      <alignment horizontal="center" vertical="center" shrinkToFit="1"/>
    </xf>
    <xf numFmtId="0" fontId="59" fillId="19" borderId="80" xfId="8" applyFont="1" applyFill="1" applyBorder="1" applyAlignment="1">
      <alignment horizontal="center" vertical="center" shrinkToFit="1"/>
    </xf>
    <xf numFmtId="0" fontId="59" fillId="0" borderId="13" xfId="8" applyFont="1" applyBorder="1" applyAlignment="1">
      <alignment horizontal="center" vertical="center" shrinkToFit="1"/>
    </xf>
    <xf numFmtId="0" fontId="59" fillId="0" borderId="81" xfId="8" applyFont="1" applyBorder="1" applyAlignment="1">
      <alignment horizontal="center" vertical="center" shrinkToFit="1"/>
    </xf>
    <xf numFmtId="0" fontId="59" fillId="19" borderId="82" xfId="8" applyFont="1" applyFill="1" applyBorder="1" applyAlignment="1">
      <alignment horizontal="center" vertical="center" shrinkToFit="1"/>
    </xf>
    <xf numFmtId="0" fontId="59" fillId="19" borderId="83" xfId="8" applyFont="1" applyFill="1" applyBorder="1" applyAlignment="1">
      <alignment horizontal="center" vertical="center" shrinkToFit="1"/>
    </xf>
    <xf numFmtId="0" fontId="59" fillId="19" borderId="84" xfId="8" applyFont="1" applyFill="1" applyBorder="1" applyAlignment="1">
      <alignment horizontal="center" vertical="center" shrinkToFit="1"/>
    </xf>
    <xf numFmtId="0" fontId="59" fillId="0" borderId="85" xfId="8" applyFont="1" applyBorder="1" applyAlignment="1">
      <alignment horizontal="center" vertical="center" shrinkToFit="1"/>
    </xf>
    <xf numFmtId="0" fontId="59" fillId="0" borderId="86" xfId="8" applyFont="1" applyBorder="1" applyAlignment="1">
      <alignment horizontal="center" vertical="center" shrinkToFit="1"/>
    </xf>
    <xf numFmtId="0" fontId="59" fillId="19" borderId="87" xfId="8" applyFont="1" applyFill="1" applyBorder="1" applyAlignment="1">
      <alignment horizontal="center" vertical="center" shrinkToFit="1"/>
    </xf>
    <xf numFmtId="0" fontId="59" fillId="19" borderId="88" xfId="8" applyFont="1" applyFill="1" applyBorder="1" applyAlignment="1">
      <alignment horizontal="center" vertical="center" shrinkToFit="1"/>
    </xf>
    <xf numFmtId="0" fontId="87" fillId="0" borderId="0" xfId="0" applyFont="1">
      <alignment vertical="center"/>
    </xf>
    <xf numFmtId="0" fontId="88" fillId="0" borderId="0" xfId="0" applyFont="1">
      <alignment vertical="center"/>
    </xf>
    <xf numFmtId="0" fontId="89" fillId="0" borderId="0" xfId="0" applyFont="1">
      <alignment vertical="center"/>
    </xf>
    <xf numFmtId="0" fontId="90" fillId="0" borderId="30" xfId="0" applyFont="1" applyBorder="1" applyAlignment="1">
      <alignment horizontal="left" vertical="center"/>
    </xf>
    <xf numFmtId="0" fontId="90" fillId="0" borderId="63" xfId="0" applyFont="1" applyBorder="1" applyAlignment="1">
      <alignment horizontal="left" vertical="center"/>
    </xf>
    <xf numFmtId="0" fontId="90" fillId="0" borderId="75" xfId="0" applyFont="1" applyBorder="1" applyAlignment="1">
      <alignment horizontal="left" vertical="center"/>
    </xf>
    <xf numFmtId="0" fontId="90" fillId="0" borderId="0" xfId="0" applyFont="1" applyAlignment="1">
      <alignment horizontal="left" vertical="center"/>
    </xf>
    <xf numFmtId="0" fontId="90" fillId="0" borderId="43" xfId="0" applyFont="1" applyBorder="1" applyAlignment="1">
      <alignment horizontal="left" vertical="center"/>
    </xf>
    <xf numFmtId="0" fontId="90" fillId="0" borderId="90" xfId="0" applyFont="1" applyBorder="1" applyAlignment="1">
      <alignment horizontal="left" vertical="center"/>
    </xf>
    <xf numFmtId="0" fontId="90" fillId="0" borderId="48" xfId="0" applyFont="1" applyBorder="1" applyAlignment="1">
      <alignment horizontal="left" vertical="center" wrapText="1"/>
    </xf>
    <xf numFmtId="0" fontId="90" fillId="0" borderId="49" xfId="0" applyFont="1" applyBorder="1" applyAlignment="1">
      <alignment horizontal="left" vertical="center" wrapText="1"/>
    </xf>
    <xf numFmtId="0" fontId="88" fillId="0" borderId="0" xfId="0" applyFont="1" applyAlignment="1">
      <alignment horizontal="left" vertical="center"/>
    </xf>
    <xf numFmtId="0" fontId="88" fillId="0" borderId="0" xfId="0" applyFont="1" applyAlignment="1">
      <alignment horizontal="left" vertical="center" wrapText="1"/>
    </xf>
    <xf numFmtId="0" fontId="88" fillId="19" borderId="10" xfId="0" applyFont="1" applyFill="1" applyBorder="1">
      <alignment vertical="center"/>
    </xf>
    <xf numFmtId="0" fontId="88" fillId="19" borderId="12" xfId="0" applyFont="1" applyFill="1" applyBorder="1">
      <alignment vertical="center"/>
    </xf>
    <xf numFmtId="0" fontId="88" fillId="0" borderId="11" xfId="0" applyFont="1" applyBorder="1">
      <alignment vertical="center"/>
    </xf>
    <xf numFmtId="0" fontId="88" fillId="0" borderId="12" xfId="0" applyFont="1" applyBorder="1">
      <alignment vertical="center"/>
    </xf>
    <xf numFmtId="0" fontId="88" fillId="0" borderId="7" xfId="0" applyFont="1" applyBorder="1">
      <alignment vertical="center"/>
    </xf>
    <xf numFmtId="0" fontId="88" fillId="19" borderId="6" xfId="0" applyFont="1" applyFill="1" applyBorder="1" applyAlignment="1">
      <alignment horizontal="left" vertical="center" wrapText="1"/>
    </xf>
    <xf numFmtId="0" fontId="88" fillId="19" borderId="9" xfId="0" applyFont="1" applyFill="1" applyBorder="1">
      <alignment vertical="center"/>
    </xf>
    <xf numFmtId="0" fontId="88" fillId="0" borderId="2" xfId="0" applyFont="1" applyBorder="1">
      <alignment vertical="center"/>
    </xf>
    <xf numFmtId="0" fontId="88" fillId="0" borderId="13" xfId="0" applyFont="1" applyBorder="1">
      <alignment vertical="center"/>
    </xf>
    <xf numFmtId="0" fontId="88" fillId="19" borderId="6" xfId="0" applyFont="1" applyFill="1" applyBorder="1">
      <alignment vertical="center"/>
    </xf>
    <xf numFmtId="0" fontId="40" fillId="4" borderId="4" xfId="3" applyFont="1" applyFill="1" applyBorder="1"/>
    <xf numFmtId="0" fontId="40" fillId="4" borderId="5" xfId="3" applyFont="1" applyFill="1" applyBorder="1"/>
    <xf numFmtId="0" fontId="40" fillId="9" borderId="4" xfId="3" applyFont="1" applyFill="1" applyBorder="1"/>
    <xf numFmtId="0" fontId="40" fillId="9" borderId="5" xfId="3" applyFont="1" applyFill="1" applyBorder="1"/>
    <xf numFmtId="0" fontId="49" fillId="6" borderId="0" xfId="8" applyFont="1" applyFill="1"/>
    <xf numFmtId="0" fontId="49" fillId="17" borderId="1" xfId="0" applyFont="1" applyFill="1" applyBorder="1" applyAlignment="1">
      <alignment vertical="center" shrinkToFit="1"/>
    </xf>
    <xf numFmtId="0" fontId="61" fillId="17" borderId="1" xfId="9" applyFont="1" applyFill="1" applyBorder="1" applyAlignment="1">
      <alignment horizontal="center" vertical="center"/>
    </xf>
    <xf numFmtId="0" fontId="61" fillId="17" borderId="1" xfId="9" applyFont="1" applyFill="1" applyBorder="1">
      <alignment vertical="center"/>
    </xf>
    <xf numFmtId="0" fontId="61" fillId="17" borderId="7" xfId="9" applyFont="1" applyFill="1" applyBorder="1">
      <alignment vertical="center"/>
    </xf>
    <xf numFmtId="0" fontId="61" fillId="17" borderId="5" xfId="9" applyFont="1" applyFill="1" applyBorder="1">
      <alignment vertical="center"/>
    </xf>
    <xf numFmtId="0" fontId="61" fillId="17" borderId="1" xfId="9" applyFont="1" applyFill="1" applyBorder="1" applyAlignment="1">
      <alignment vertical="center" shrinkToFit="1"/>
    </xf>
    <xf numFmtId="0" fontId="94" fillId="0" borderId="0" xfId="3" applyFont="1" applyAlignment="1">
      <alignment horizontal="center" vertical="center"/>
    </xf>
    <xf numFmtId="0" fontId="40" fillId="6" borderId="0" xfId="3" quotePrefix="1" applyFont="1" applyFill="1" applyAlignment="1">
      <alignment horizontal="right" vertical="top"/>
    </xf>
    <xf numFmtId="0" fontId="42" fillId="6" borderId="0" xfId="3" applyFont="1" applyFill="1"/>
    <xf numFmtId="187" fontId="24" fillId="15" borderId="1" xfId="3" applyNumberFormat="1" applyFont="1" applyFill="1" applyBorder="1" applyAlignment="1">
      <alignment vertical="center" shrinkToFit="1"/>
    </xf>
    <xf numFmtId="0" fontId="85" fillId="19" borderId="22" xfId="8" applyFont="1" applyFill="1" applyBorder="1" applyAlignment="1">
      <alignment horizontal="center" vertical="center"/>
    </xf>
    <xf numFmtId="0" fontId="85" fillId="19" borderId="13" xfId="8" applyFont="1" applyFill="1" applyBorder="1" applyAlignment="1">
      <alignment horizontal="center" vertical="center"/>
    </xf>
    <xf numFmtId="0" fontId="45" fillId="0" borderId="4" xfId="8" applyBorder="1" applyAlignment="1">
      <alignment shrinkToFit="1"/>
    </xf>
    <xf numFmtId="0" fontId="45" fillId="0" borderId="3" xfId="8" applyBorder="1" applyAlignment="1">
      <alignment shrinkToFit="1"/>
    </xf>
    <xf numFmtId="0" fontId="45" fillId="0" borderId="1" xfId="8" applyBorder="1" applyAlignment="1">
      <alignment horizontal="center" vertical="center" shrinkToFit="1"/>
    </xf>
    <xf numFmtId="0" fontId="59" fillId="0" borderId="0" xfId="8" applyFont="1" applyAlignment="1">
      <alignment horizontal="center" vertical="center" shrinkToFit="1"/>
    </xf>
    <xf numFmtId="0" fontId="59" fillId="19" borderId="0" xfId="8" applyFont="1" applyFill="1" applyAlignment="1">
      <alignment horizontal="center" vertical="center" shrinkToFit="1"/>
    </xf>
    <xf numFmtId="1" fontId="59" fillId="0" borderId="0" xfId="8" applyNumberFormat="1" applyFont="1" applyAlignment="1">
      <alignment horizontal="center" vertical="center" shrinkToFit="1"/>
    </xf>
    <xf numFmtId="0" fontId="59" fillId="6" borderId="0" xfId="8" applyFont="1" applyFill="1" applyAlignment="1">
      <alignment horizontal="center" vertical="center" shrinkToFit="1"/>
    </xf>
    <xf numFmtId="0" fontId="45" fillId="0" borderId="0" xfId="8" applyAlignment="1">
      <alignment horizontal="center" vertical="center" shrinkToFit="1"/>
    </xf>
    <xf numFmtId="0" fontId="40" fillId="6" borderId="0" xfId="3" applyFont="1" applyFill="1" applyAlignment="1">
      <alignment horizontal="right" vertical="top"/>
    </xf>
    <xf numFmtId="0" fontId="61" fillId="9" borderId="1" xfId="9" applyFont="1" applyFill="1" applyBorder="1">
      <alignment vertical="center"/>
    </xf>
    <xf numFmtId="0" fontId="46" fillId="9" borderId="1" xfId="0" applyFont="1" applyFill="1" applyBorder="1">
      <alignment vertical="center"/>
    </xf>
    <xf numFmtId="0" fontId="28" fillId="0" borderId="12" xfId="14" applyBorder="1" applyAlignment="1">
      <alignment horizontal="center" vertical="center"/>
    </xf>
    <xf numFmtId="0" fontId="23" fillId="6" borderId="0" xfId="3" applyFont="1" applyFill="1"/>
    <xf numFmtId="0" fontId="23" fillId="6" borderId="0" xfId="3" applyFont="1" applyFill="1" applyAlignment="1">
      <alignment horizontal="center"/>
    </xf>
    <xf numFmtId="58" fontId="40" fillId="6" borderId="0" xfId="3" applyNumberFormat="1" applyFont="1" applyFill="1" applyAlignment="1">
      <alignment horizontal="center"/>
    </xf>
    <xf numFmtId="178" fontId="45" fillId="4" borderId="0" xfId="8" applyNumberFormat="1" applyFill="1"/>
    <xf numFmtId="0" fontId="45" fillId="0" borderId="0" xfId="8" applyAlignment="1">
      <alignment vertical="center" wrapText="1"/>
    </xf>
    <xf numFmtId="0" fontId="45" fillId="4" borderId="0" xfId="8" applyFill="1"/>
    <xf numFmtId="0" fontId="106" fillId="13" borderId="0" xfId="9" applyFont="1" applyFill="1">
      <alignment vertical="center"/>
    </xf>
    <xf numFmtId="0" fontId="49" fillId="13" borderId="0" xfId="9" applyFont="1" applyFill="1">
      <alignment vertical="center"/>
    </xf>
    <xf numFmtId="0" fontId="49" fillId="13" borderId="0" xfId="9" applyFont="1" applyFill="1" applyAlignment="1">
      <alignment horizontal="left" vertical="center"/>
    </xf>
    <xf numFmtId="0" fontId="49" fillId="13" borderId="0" xfId="9" applyFont="1" applyFill="1" applyAlignment="1">
      <alignment horizontal="center" vertical="center"/>
    </xf>
    <xf numFmtId="0" fontId="49" fillId="13" borderId="0" xfId="0" applyFont="1" applyFill="1">
      <alignment vertical="center"/>
    </xf>
    <xf numFmtId="0" fontId="49" fillId="13" borderId="0" xfId="9" applyFont="1" applyFill="1" applyAlignment="1">
      <alignment vertical="center" shrinkToFit="1"/>
    </xf>
    <xf numFmtId="0" fontId="48" fillId="13" borderId="0" xfId="9" applyFont="1" applyFill="1" applyAlignment="1">
      <alignment horizontal="center" vertical="center"/>
    </xf>
    <xf numFmtId="0" fontId="61" fillId="17" borderId="1" xfId="9" applyFont="1" applyFill="1" applyBorder="1" applyAlignment="1">
      <alignment horizontal="left" vertical="center"/>
    </xf>
    <xf numFmtId="0" fontId="51" fillId="6" borderId="1" xfId="0" applyFont="1" applyFill="1" applyBorder="1" applyAlignment="1">
      <alignment vertical="center" wrapText="1"/>
    </xf>
    <xf numFmtId="0" fontId="28" fillId="0" borderId="0" xfId="14" applyAlignment="1">
      <alignment horizontal="center" vertical="center"/>
    </xf>
    <xf numFmtId="0" fontId="28" fillId="0" borderId="0" xfId="14" applyAlignment="1">
      <alignment horizontal="distributed" vertical="center"/>
    </xf>
    <xf numFmtId="192" fontId="63" fillId="5" borderId="0" xfId="14" applyNumberFormat="1" applyFont="1" applyFill="1" applyAlignment="1">
      <alignment horizontal="right" vertical="center"/>
    </xf>
    <xf numFmtId="0" fontId="28" fillId="0" borderId="85" xfId="14" applyBorder="1" applyAlignment="1">
      <alignment horizontal="center" vertical="center"/>
    </xf>
    <xf numFmtId="180" fontId="30" fillId="0" borderId="6" xfId="14" applyNumberFormat="1" applyFont="1" applyBorder="1" applyAlignment="1">
      <alignment vertical="center"/>
    </xf>
    <xf numFmtId="180" fontId="30" fillId="0" borderId="0" xfId="14" applyNumberFormat="1" applyFont="1" applyAlignment="1">
      <alignment vertical="center"/>
    </xf>
    <xf numFmtId="0" fontId="49" fillId="0" borderId="1" xfId="9" applyFont="1" applyBorder="1" applyAlignment="1">
      <alignment horizontal="center" vertical="center"/>
    </xf>
    <xf numFmtId="0" fontId="49" fillId="0" borderId="1" xfId="0" applyFont="1" applyBorder="1">
      <alignment vertical="center"/>
    </xf>
    <xf numFmtId="0" fontId="46" fillId="8" borderId="1" xfId="0" applyFont="1" applyFill="1" applyBorder="1">
      <alignment vertical="center"/>
    </xf>
    <xf numFmtId="49" fontId="0" fillId="8" borderId="1" xfId="0" applyNumberFormat="1" applyFill="1" applyBorder="1" applyAlignment="1">
      <alignment vertical="center" shrinkToFit="1"/>
    </xf>
    <xf numFmtId="49" fontId="46" fillId="8" borderId="1" xfId="0" applyNumberFormat="1" applyFont="1" applyFill="1" applyBorder="1" applyAlignment="1">
      <alignment vertical="center" shrinkToFit="1"/>
    </xf>
    <xf numFmtId="0" fontId="46" fillId="8" borderId="1" xfId="0" applyFont="1" applyFill="1" applyBorder="1" applyAlignment="1">
      <alignment vertical="center" shrinkToFit="1"/>
    </xf>
    <xf numFmtId="0" fontId="51" fillId="8" borderId="1" xfId="0" applyFont="1" applyFill="1" applyBorder="1">
      <alignment vertical="center"/>
    </xf>
    <xf numFmtId="49" fontId="46" fillId="8" borderId="1" xfId="0" applyNumberFormat="1" applyFont="1" applyFill="1" applyBorder="1">
      <alignment vertical="center"/>
    </xf>
    <xf numFmtId="0" fontId="49" fillId="8" borderId="1" xfId="0" applyFont="1" applyFill="1" applyBorder="1">
      <alignment vertical="center"/>
    </xf>
    <xf numFmtId="0" fontId="51" fillId="9" borderId="1" xfId="0" applyFont="1" applyFill="1" applyBorder="1">
      <alignment vertical="center"/>
    </xf>
    <xf numFmtId="0" fontId="51" fillId="21" borderId="1" xfId="0" applyFont="1" applyFill="1" applyBorder="1">
      <alignment vertical="center"/>
    </xf>
    <xf numFmtId="0" fontId="46" fillId="21" borderId="1" xfId="0" applyFont="1" applyFill="1" applyBorder="1">
      <alignment vertical="center"/>
    </xf>
    <xf numFmtId="0" fontId="51" fillId="21" borderId="0" xfId="0" applyFont="1" applyFill="1">
      <alignment vertical="center"/>
    </xf>
    <xf numFmtId="0" fontId="51" fillId="0" borderId="1" xfId="0" applyFont="1" applyBorder="1">
      <alignment vertical="center"/>
    </xf>
    <xf numFmtId="0" fontId="48" fillId="8" borderId="15" xfId="0" applyFont="1" applyFill="1" applyBorder="1" applyAlignment="1">
      <alignment horizontal="center" vertical="center" shrinkToFit="1"/>
    </xf>
    <xf numFmtId="0" fontId="48" fillId="8" borderId="1" xfId="0" applyFont="1" applyFill="1" applyBorder="1" applyAlignment="1">
      <alignment horizontal="center" vertical="center" shrinkToFit="1"/>
    </xf>
    <xf numFmtId="0" fontId="10" fillId="8" borderId="22" xfId="9" applyFill="1" applyBorder="1" applyAlignment="1">
      <alignment horizontal="center" vertical="center" shrinkToFit="1"/>
    </xf>
    <xf numFmtId="0" fontId="10" fillId="8" borderId="1" xfId="9" applyFill="1" applyBorder="1" applyAlignment="1">
      <alignment horizontal="center" vertical="center" shrinkToFit="1"/>
    </xf>
    <xf numFmtId="0" fontId="10" fillId="8" borderId="35" xfId="9" applyFill="1" applyBorder="1" applyAlignment="1">
      <alignment horizontal="center" vertical="center" shrinkToFit="1"/>
    </xf>
    <xf numFmtId="0" fontId="48" fillId="8" borderId="35" xfId="0" applyFont="1" applyFill="1" applyBorder="1" applyAlignment="1">
      <alignment horizontal="center" vertical="center" shrinkToFit="1"/>
    </xf>
    <xf numFmtId="0" fontId="46" fillId="8" borderId="0" xfId="0" applyFont="1" applyFill="1">
      <alignment vertical="center"/>
    </xf>
    <xf numFmtId="0" fontId="46" fillId="6" borderId="2" xfId="0" applyFont="1" applyFill="1" applyBorder="1" applyAlignment="1">
      <alignment vertical="center" wrapText="1"/>
    </xf>
    <xf numFmtId="0" fontId="46" fillId="8" borderId="1" xfId="0" applyFont="1" applyFill="1" applyBorder="1" applyAlignment="1">
      <alignment vertical="center" wrapText="1"/>
    </xf>
    <xf numFmtId="0" fontId="107" fillId="0" borderId="0" xfId="0" applyFont="1">
      <alignment vertical="center"/>
    </xf>
    <xf numFmtId="0" fontId="10" fillId="0" borderId="0" xfId="3" applyAlignment="1" applyProtection="1">
      <alignment horizontal="left" shrinkToFit="1"/>
      <protection locked="0"/>
    </xf>
    <xf numFmtId="0" fontId="61" fillId="0" borderId="0" xfId="0" applyFont="1">
      <alignment vertical="center"/>
    </xf>
    <xf numFmtId="0" fontId="61" fillId="0" borderId="1" xfId="0" applyFont="1" applyBorder="1" applyAlignment="1">
      <alignment horizontal="center" vertical="center"/>
    </xf>
    <xf numFmtId="0" fontId="61" fillId="0" borderId="1" xfId="0" applyFont="1" applyBorder="1">
      <alignment vertical="center"/>
    </xf>
    <xf numFmtId="38" fontId="61" fillId="0" borderId="1" xfId="17" applyFont="1" applyBorder="1">
      <alignment vertical="center"/>
    </xf>
    <xf numFmtId="0" fontId="25" fillId="0" borderId="0" xfId="0" applyFont="1">
      <alignment vertical="center"/>
    </xf>
    <xf numFmtId="0" fontId="61" fillId="0" borderId="35" xfId="0" applyFont="1" applyBorder="1" applyAlignment="1">
      <alignment horizontal="center" vertical="center"/>
    </xf>
    <xf numFmtId="38" fontId="61" fillId="0" borderId="35" xfId="17" applyFont="1" applyBorder="1">
      <alignment vertical="center"/>
    </xf>
    <xf numFmtId="0" fontId="61" fillId="0" borderId="0" xfId="0" applyFont="1" applyAlignment="1">
      <alignment horizontal="center" vertical="center"/>
    </xf>
    <xf numFmtId="0" fontId="28" fillId="0" borderId="0" xfId="4" applyAlignment="1">
      <alignment horizontal="right"/>
    </xf>
    <xf numFmtId="38" fontId="61" fillId="0" borderId="22" xfId="17" applyFont="1" applyBorder="1">
      <alignment vertical="center"/>
    </xf>
    <xf numFmtId="38" fontId="61" fillId="0" borderId="5" xfId="17" applyFont="1" applyBorder="1">
      <alignment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38" fontId="61" fillId="0" borderId="13" xfId="17" applyFont="1" applyBorder="1">
      <alignment vertical="center"/>
    </xf>
    <xf numFmtId="0" fontId="61" fillId="0" borderId="98" xfId="0" applyFont="1" applyBorder="1" applyAlignment="1">
      <alignment horizontal="center" vertical="center"/>
    </xf>
    <xf numFmtId="0" fontId="61" fillId="0" borderId="99" xfId="0" applyFont="1" applyBorder="1" applyAlignment="1">
      <alignment horizontal="center" vertical="center"/>
    </xf>
    <xf numFmtId="0" fontId="61" fillId="0" borderId="100" xfId="0" applyFont="1" applyBorder="1">
      <alignment vertical="center"/>
    </xf>
    <xf numFmtId="38" fontId="72" fillId="0" borderId="101" xfId="17" applyFont="1" applyFill="1" applyBorder="1">
      <alignment vertical="center"/>
    </xf>
    <xf numFmtId="38" fontId="61" fillId="0" borderId="98" xfId="0" applyNumberFormat="1" applyFont="1" applyBorder="1">
      <alignment vertical="center"/>
    </xf>
    <xf numFmtId="38" fontId="61" fillId="0" borderId="99" xfId="0" applyNumberFormat="1" applyFont="1" applyBorder="1">
      <alignment vertical="center"/>
    </xf>
    <xf numFmtId="0" fontId="108" fillId="0" borderId="0" xfId="3" applyFont="1" applyAlignment="1">
      <alignment horizontal="left" vertical="center" wrapText="1"/>
    </xf>
    <xf numFmtId="0" fontId="7" fillId="0" borderId="2" xfId="3" applyFont="1" applyBorder="1" applyAlignment="1">
      <alignment horizontal="center"/>
    </xf>
    <xf numFmtId="0" fontId="10" fillId="0" borderId="0" xfId="1" applyFont="1" applyAlignment="1">
      <alignment horizontal="center" vertical="center" shrinkToFit="1"/>
    </xf>
    <xf numFmtId="196" fontId="26" fillId="7" borderId="1" xfId="3" applyNumberFormat="1" applyFont="1" applyFill="1" applyBorder="1" applyAlignment="1">
      <alignment vertical="center" shrinkToFit="1"/>
    </xf>
    <xf numFmtId="196" fontId="24" fillId="7" borderId="1" xfId="3" applyNumberFormat="1" applyFont="1" applyFill="1" applyBorder="1" applyAlignment="1">
      <alignment vertical="center" shrinkToFit="1"/>
    </xf>
    <xf numFmtId="0" fontId="111" fillId="4" borderId="0" xfId="0" applyFont="1" applyFill="1">
      <alignment vertical="center"/>
    </xf>
    <xf numFmtId="0" fontId="111" fillId="4" borderId="1" xfId="0" applyFont="1" applyFill="1" applyBorder="1" applyAlignment="1">
      <alignment horizontal="left" vertical="center" wrapText="1"/>
    </xf>
    <xf numFmtId="0" fontId="111" fillId="4" borderId="1" xfId="0" applyFont="1" applyFill="1" applyBorder="1" applyAlignment="1">
      <alignment horizontal="left" vertical="center" shrinkToFit="1"/>
    </xf>
    <xf numFmtId="0" fontId="111" fillId="4" borderId="1" xfId="0" applyFont="1" applyFill="1" applyBorder="1" applyAlignment="1">
      <alignment vertical="center" wrapText="1"/>
    </xf>
    <xf numFmtId="0" fontId="112" fillId="4" borderId="0" xfId="1" applyFont="1" applyFill="1" applyAlignment="1">
      <alignment vertical="center"/>
    </xf>
    <xf numFmtId="0" fontId="112" fillId="4" borderId="1" xfId="1" applyFont="1" applyFill="1" applyBorder="1" applyAlignment="1">
      <alignment vertical="center"/>
    </xf>
    <xf numFmtId="0" fontId="112" fillId="4" borderId="1" xfId="1" applyFont="1" applyFill="1" applyBorder="1" applyAlignment="1">
      <alignment vertical="center" wrapText="1"/>
    </xf>
    <xf numFmtId="0" fontId="113" fillId="4" borderId="1" xfId="1" applyFont="1" applyFill="1" applyBorder="1" applyAlignment="1">
      <alignment horizontal="center" vertical="center"/>
    </xf>
    <xf numFmtId="0" fontId="114" fillId="4" borderId="1" xfId="0" applyFont="1" applyFill="1" applyBorder="1" applyAlignment="1">
      <alignment horizontal="center" vertical="center" wrapText="1"/>
    </xf>
    <xf numFmtId="0" fontId="115" fillId="0" borderId="0" xfId="0" applyFont="1">
      <alignment vertical="center"/>
    </xf>
    <xf numFmtId="0" fontId="117" fillId="0" borderId="0" xfId="0" applyFont="1">
      <alignment vertical="center"/>
    </xf>
    <xf numFmtId="0" fontId="117" fillId="4" borderId="0" xfId="0" applyFont="1" applyFill="1">
      <alignment vertical="center"/>
    </xf>
    <xf numFmtId="0" fontId="118" fillId="4" borderId="0" xfId="0" applyFont="1" applyFill="1" applyAlignment="1">
      <alignment vertical="center" wrapText="1"/>
    </xf>
    <xf numFmtId="0" fontId="117" fillId="4" borderId="1" xfId="0" applyFont="1" applyFill="1" applyBorder="1">
      <alignment vertical="center"/>
    </xf>
    <xf numFmtId="0" fontId="117" fillId="4" borderId="1" xfId="0" applyFont="1" applyFill="1" applyBorder="1" applyAlignment="1">
      <alignment horizontal="left" vertical="center" wrapText="1"/>
    </xf>
    <xf numFmtId="38" fontId="61" fillId="4" borderId="13" xfId="17" applyFont="1" applyFill="1" applyBorder="1">
      <alignment vertical="center"/>
    </xf>
    <xf numFmtId="0" fontId="59" fillId="17" borderId="79" xfId="8" applyFont="1" applyFill="1" applyBorder="1" applyAlignment="1">
      <alignment horizontal="center" vertical="center" shrinkToFit="1"/>
    </xf>
    <xf numFmtId="0" fontId="59" fillId="22" borderId="82" xfId="8" applyFont="1" applyFill="1" applyBorder="1" applyAlignment="1">
      <alignment horizontal="center" vertical="center" shrinkToFit="1"/>
    </xf>
    <xf numFmtId="0" fontId="59" fillId="10" borderId="77" xfId="8" applyFont="1" applyFill="1" applyBorder="1" applyAlignment="1">
      <alignment horizontal="center" vertical="center" shrinkToFit="1"/>
    </xf>
    <xf numFmtId="0" fontId="59" fillId="10" borderId="78" xfId="8" applyFont="1" applyFill="1" applyBorder="1" applyAlignment="1">
      <alignment horizontal="center" vertical="center" shrinkToFit="1"/>
    </xf>
    <xf numFmtId="0" fontId="59" fillId="10" borderId="76" xfId="8" applyFont="1" applyFill="1" applyBorder="1" applyAlignment="1">
      <alignment horizontal="center" vertical="center" shrinkToFit="1"/>
    </xf>
    <xf numFmtId="0" fontId="59" fillId="0" borderId="80" xfId="8" applyFont="1" applyBorder="1" applyAlignment="1">
      <alignment horizontal="center" vertical="center" shrinkToFit="1"/>
    </xf>
    <xf numFmtId="0" fontId="59" fillId="0" borderId="2" xfId="8" applyFont="1" applyBorder="1" applyAlignment="1">
      <alignment horizontal="center" vertical="center" shrinkToFit="1"/>
    </xf>
    <xf numFmtId="0" fontId="59" fillId="0" borderId="84" xfId="8" applyFont="1" applyBorder="1" applyAlignment="1">
      <alignment horizontal="center" vertical="center" shrinkToFit="1"/>
    </xf>
    <xf numFmtId="0" fontId="59" fillId="0" borderId="82" xfId="8" applyFont="1" applyBorder="1" applyAlignment="1">
      <alignment horizontal="center" vertical="center" shrinkToFit="1"/>
    </xf>
    <xf numFmtId="0" fontId="59" fillId="0" borderId="4" xfId="8" applyFont="1" applyBorder="1" applyAlignment="1">
      <alignment horizontal="center" vertical="center" shrinkToFit="1"/>
    </xf>
    <xf numFmtId="0" fontId="59" fillId="0" borderId="83" xfId="8" applyFont="1" applyBorder="1" applyAlignment="1">
      <alignment horizontal="center" vertical="center" shrinkToFit="1"/>
    </xf>
    <xf numFmtId="0" fontId="59" fillId="0" borderId="87" xfId="8" applyFont="1" applyBorder="1" applyAlignment="1">
      <alignment horizontal="center" vertical="center" shrinkToFit="1"/>
    </xf>
    <xf numFmtId="0" fontId="59" fillId="0" borderId="88" xfId="8" applyFont="1" applyBorder="1" applyAlignment="1">
      <alignment horizontal="center" vertical="center" shrinkToFit="1"/>
    </xf>
    <xf numFmtId="0" fontId="59" fillId="15" borderId="4" xfId="8" applyFont="1" applyFill="1" applyBorder="1" applyAlignment="1">
      <alignment horizontal="center" vertical="center" shrinkToFit="1"/>
    </xf>
    <xf numFmtId="0" fontId="49" fillId="17" borderId="1" xfId="0" applyFont="1" applyFill="1" applyBorder="1" applyAlignment="1">
      <alignment vertical="center" wrapText="1" shrinkToFit="1"/>
    </xf>
    <xf numFmtId="0" fontId="45" fillId="4" borderId="0" xfId="8" applyFill="1" applyAlignment="1">
      <alignment wrapText="1"/>
    </xf>
    <xf numFmtId="0" fontId="59" fillId="23" borderId="76" xfId="8" applyFont="1" applyFill="1" applyBorder="1" applyAlignment="1">
      <alignment horizontal="center" vertical="center" shrinkToFit="1"/>
    </xf>
    <xf numFmtId="196" fontId="59" fillId="24" borderId="4" xfId="8" applyNumberFormat="1" applyFont="1" applyFill="1" applyBorder="1" applyAlignment="1">
      <alignment horizontal="center" vertical="center" shrinkToFit="1"/>
    </xf>
    <xf numFmtId="196" fontId="59" fillId="0" borderId="4" xfId="8" applyNumberFormat="1" applyFont="1" applyBorder="1" applyAlignment="1">
      <alignment horizontal="center" vertical="center" shrinkToFit="1"/>
    </xf>
    <xf numFmtId="0" fontId="33" fillId="0" borderId="0" xfId="3" applyFont="1" applyAlignment="1">
      <alignment vertical="center" wrapText="1"/>
    </xf>
    <xf numFmtId="0" fontId="111" fillId="4" borderId="0" xfId="0" applyFont="1" applyFill="1" applyAlignment="1">
      <alignment horizontal="left" vertical="center" wrapText="1"/>
    </xf>
    <xf numFmtId="0" fontId="49" fillId="17" borderId="0" xfId="8" applyFont="1" applyFill="1" applyAlignment="1">
      <alignment horizontal="center"/>
    </xf>
    <xf numFmtId="0" fontId="49" fillId="13" borderId="0" xfId="8" applyFont="1" applyFill="1" applyAlignment="1">
      <alignment horizontal="center"/>
    </xf>
    <xf numFmtId="0" fontId="49" fillId="14" borderId="0" xfId="8" applyFont="1" applyFill="1" applyAlignment="1">
      <alignment horizontal="center"/>
    </xf>
    <xf numFmtId="0" fontId="49" fillId="4" borderId="0" xfId="8" applyFont="1" applyFill="1" applyAlignment="1">
      <alignment horizontal="center"/>
    </xf>
    <xf numFmtId="0" fontId="49" fillId="15" borderId="0" xfId="8" applyFont="1" applyFill="1" applyAlignment="1">
      <alignment horizontal="center"/>
    </xf>
    <xf numFmtId="0" fontId="49" fillId="16" borderId="0" xfId="8" applyFont="1" applyFill="1" applyAlignment="1">
      <alignment horizontal="center"/>
    </xf>
    <xf numFmtId="0" fontId="0" fillId="6" borderId="9" xfId="0" applyFill="1" applyBorder="1" applyAlignment="1">
      <alignment horizontal="left" vertical="center" wrapText="1"/>
    </xf>
    <xf numFmtId="0" fontId="0" fillId="6" borderId="2" xfId="0" applyFill="1" applyBorder="1" applyAlignment="1">
      <alignment horizontal="left" vertical="center" wrapText="1"/>
    </xf>
    <xf numFmtId="0" fontId="88" fillId="0" borderId="0" xfId="0" applyFont="1" applyAlignment="1">
      <alignment vertical="top" wrapText="1"/>
    </xf>
    <xf numFmtId="0" fontId="88" fillId="0" borderId="6" xfId="0" applyFont="1" applyBorder="1" applyAlignment="1">
      <alignment horizontal="center" vertical="center" shrinkToFit="1"/>
    </xf>
    <xf numFmtId="0" fontId="88" fillId="0" borderId="0" xfId="0" applyFont="1" applyAlignment="1">
      <alignment horizontal="center" vertical="center" shrinkToFit="1"/>
    </xf>
    <xf numFmtId="0" fontId="88" fillId="0" borderId="58" xfId="0" applyFont="1" applyBorder="1">
      <alignment vertical="center"/>
    </xf>
    <xf numFmtId="0" fontId="88" fillId="0" borderId="7" xfId="0" applyFont="1" applyBorder="1">
      <alignment vertical="center"/>
    </xf>
    <xf numFmtId="0" fontId="88" fillId="0" borderId="9" xfId="0" applyFont="1" applyBorder="1" applyAlignment="1">
      <alignment horizontal="center" vertical="center" shrinkToFit="1"/>
    </xf>
    <xf numFmtId="0" fontId="88" fillId="0" borderId="2" xfId="0" applyFont="1" applyBorder="1" applyAlignment="1">
      <alignment horizontal="center" vertical="center" shrinkToFit="1"/>
    </xf>
    <xf numFmtId="0" fontId="88" fillId="0" borderId="59" xfId="0" applyFont="1" applyBorder="1">
      <alignment vertical="center"/>
    </xf>
    <xf numFmtId="0" fontId="88" fillId="0" borderId="13" xfId="0" applyFont="1" applyBorder="1">
      <alignment vertical="center"/>
    </xf>
    <xf numFmtId="0" fontId="88" fillId="19" borderId="6" xfId="0" applyFont="1" applyFill="1" applyBorder="1" applyAlignment="1">
      <alignment horizontal="left" vertical="center" wrapText="1"/>
    </xf>
    <xf numFmtId="0" fontId="88" fillId="0" borderId="10" xfId="0" applyFont="1" applyBorder="1" applyAlignment="1">
      <alignment horizontal="center" vertical="center" shrinkToFit="1"/>
    </xf>
    <xf numFmtId="0" fontId="88" fillId="0" borderId="11" xfId="0" applyFont="1" applyBorder="1" applyAlignment="1">
      <alignment horizontal="center" vertical="center" shrinkToFit="1"/>
    </xf>
    <xf numFmtId="0" fontId="88" fillId="0" borderId="57" xfId="0" applyFont="1" applyBorder="1">
      <alignment vertical="center"/>
    </xf>
    <xf numFmtId="0" fontId="88" fillId="0" borderId="12" xfId="0" applyFont="1" applyBorder="1">
      <alignment vertical="center"/>
    </xf>
    <xf numFmtId="0" fontId="88" fillId="19" borderId="39" xfId="0" applyFont="1" applyFill="1" applyBorder="1" applyAlignment="1">
      <alignment horizontal="left" vertical="center" wrapText="1"/>
    </xf>
    <xf numFmtId="0" fontId="88" fillId="0" borderId="57" xfId="0" applyFont="1" applyBorder="1" applyAlignment="1">
      <alignment horizontal="center" vertical="center"/>
    </xf>
    <xf numFmtId="0" fontId="88" fillId="0" borderId="12" xfId="0" applyFont="1" applyBorder="1" applyAlignment="1">
      <alignment horizontal="center" vertical="center"/>
    </xf>
    <xf numFmtId="0" fontId="90" fillId="0" borderId="89" xfId="0" applyFont="1" applyBorder="1" applyAlignment="1">
      <alignment horizontal="left" vertical="center" shrinkToFit="1"/>
    </xf>
    <xf numFmtId="0" fontId="90" fillId="0" borderId="30" xfId="0" applyFont="1" applyBorder="1" applyAlignment="1">
      <alignment horizontal="left" vertical="center" shrinkToFit="1"/>
    </xf>
    <xf numFmtId="0" fontId="88" fillId="19" borderId="3" xfId="0" applyFont="1" applyFill="1" applyBorder="1" applyAlignment="1">
      <alignment horizontal="center" vertical="center"/>
    </xf>
    <xf numFmtId="0" fontId="88" fillId="19" borderId="10" xfId="0" applyFont="1" applyFill="1" applyBorder="1" applyAlignment="1">
      <alignment horizontal="center" vertical="center"/>
    </xf>
    <xf numFmtId="0" fontId="88" fillId="19" borderId="11" xfId="0" applyFont="1" applyFill="1" applyBorder="1" applyAlignment="1">
      <alignment horizontal="center" vertical="center"/>
    </xf>
    <xf numFmtId="0" fontId="88" fillId="19" borderId="12" xfId="0" applyFont="1" applyFill="1" applyBorder="1" applyAlignment="1">
      <alignment horizontal="center" vertical="center"/>
    </xf>
    <xf numFmtId="0" fontId="88" fillId="19" borderId="9" xfId="0" applyFont="1" applyFill="1" applyBorder="1" applyAlignment="1">
      <alignment horizontal="center" vertical="center"/>
    </xf>
    <xf numFmtId="0" fontId="88" fillId="19" borderId="2" xfId="0" applyFont="1" applyFill="1" applyBorder="1" applyAlignment="1">
      <alignment horizontal="center" vertical="center"/>
    </xf>
    <xf numFmtId="0" fontId="88" fillId="19" borderId="13" xfId="0" applyFont="1" applyFill="1" applyBorder="1" applyAlignment="1">
      <alignment horizontal="center" vertical="center"/>
    </xf>
    <xf numFmtId="0" fontId="88" fillId="19" borderId="1" xfId="0" applyFont="1" applyFill="1" applyBorder="1" applyAlignment="1">
      <alignment horizontal="center" vertical="center"/>
    </xf>
    <xf numFmtId="0" fontId="88" fillId="19" borderId="4" xfId="0" applyFont="1" applyFill="1" applyBorder="1" applyAlignment="1">
      <alignment horizontal="center" vertical="center"/>
    </xf>
    <xf numFmtId="0" fontId="88" fillId="19" borderId="56" xfId="0" applyFont="1" applyFill="1" applyBorder="1" applyAlignment="1">
      <alignment horizontal="center" vertical="center"/>
    </xf>
    <xf numFmtId="0" fontId="88" fillId="19" borderId="5" xfId="0" applyFont="1" applyFill="1" applyBorder="1" applyAlignment="1">
      <alignment horizontal="center" vertical="center"/>
    </xf>
    <xf numFmtId="0" fontId="85" fillId="19" borderId="12" xfId="8" applyFont="1" applyFill="1" applyBorder="1" applyAlignment="1">
      <alignment horizontal="center" vertical="center"/>
    </xf>
    <xf numFmtId="0" fontId="85" fillId="19" borderId="7" xfId="8" applyFont="1" applyFill="1" applyBorder="1" applyAlignment="1">
      <alignment horizontal="center" vertical="center"/>
    </xf>
    <xf numFmtId="0" fontId="85" fillId="19" borderId="13" xfId="8" applyFont="1" applyFill="1" applyBorder="1" applyAlignment="1">
      <alignment horizontal="center" vertical="center"/>
    </xf>
    <xf numFmtId="0" fontId="85" fillId="19" borderId="35" xfId="8" applyFont="1" applyFill="1" applyBorder="1" applyAlignment="1">
      <alignment horizontal="center" vertical="center"/>
    </xf>
    <xf numFmtId="0" fontId="85" fillId="19" borderId="39" xfId="8" applyFont="1" applyFill="1" applyBorder="1" applyAlignment="1">
      <alignment horizontal="center" vertical="center"/>
    </xf>
    <xf numFmtId="0" fontId="85" fillId="19" borderId="91" xfId="8" applyFont="1" applyFill="1" applyBorder="1" applyAlignment="1">
      <alignment horizontal="center" vertical="center"/>
    </xf>
    <xf numFmtId="0" fontId="85" fillId="19" borderId="10" xfId="8" applyFont="1" applyFill="1" applyBorder="1" applyAlignment="1">
      <alignment horizontal="center" vertical="center" wrapText="1"/>
    </xf>
    <xf numFmtId="0" fontId="85" fillId="19" borderId="22" xfId="8" applyFont="1" applyFill="1" applyBorder="1" applyAlignment="1">
      <alignment horizontal="center" vertical="center"/>
    </xf>
    <xf numFmtId="0" fontId="85" fillId="19" borderId="10" xfId="8" applyFont="1" applyFill="1" applyBorder="1" applyAlignment="1">
      <alignment horizontal="center" vertical="center"/>
    </xf>
    <xf numFmtId="0" fontId="85" fillId="19" borderId="12" xfId="8" applyFont="1" applyFill="1" applyBorder="1" applyAlignment="1">
      <alignment horizontal="center" vertical="center" wrapText="1"/>
    </xf>
    <xf numFmtId="0" fontId="85" fillId="19" borderId="35" xfId="8" applyFont="1" applyFill="1" applyBorder="1" applyAlignment="1">
      <alignment horizontal="center" vertical="center" wrapText="1"/>
    </xf>
    <xf numFmtId="0" fontId="85" fillId="19" borderId="22" xfId="8" applyFont="1" applyFill="1" applyBorder="1" applyAlignment="1">
      <alignment horizontal="center" vertical="center" wrapText="1"/>
    </xf>
    <xf numFmtId="0" fontId="85" fillId="22" borderId="35" xfId="8" applyFont="1" applyFill="1" applyBorder="1" applyAlignment="1">
      <alignment horizontal="center" vertical="center" wrapText="1"/>
    </xf>
    <xf numFmtId="0" fontId="85" fillId="22" borderId="39" xfId="8" applyFont="1" applyFill="1" applyBorder="1" applyAlignment="1">
      <alignment horizontal="center" vertical="center" wrapText="1"/>
    </xf>
    <xf numFmtId="0" fontId="85" fillId="22" borderId="22" xfId="8" applyFont="1" applyFill="1" applyBorder="1" applyAlignment="1">
      <alignment horizontal="center" vertical="center" wrapText="1"/>
    </xf>
    <xf numFmtId="0" fontId="85" fillId="15" borderId="35" xfId="8" applyFont="1" applyFill="1" applyBorder="1" applyAlignment="1">
      <alignment horizontal="center" vertical="center" wrapText="1"/>
    </xf>
    <xf numFmtId="0" fontId="85" fillId="15" borderId="22" xfId="8" applyFont="1" applyFill="1" applyBorder="1" applyAlignment="1">
      <alignment horizontal="center" vertical="center" wrapText="1"/>
    </xf>
    <xf numFmtId="0" fontId="85" fillId="19" borderId="4" xfId="8" applyFont="1" applyFill="1" applyBorder="1" applyAlignment="1">
      <alignment horizontal="right" vertical="center"/>
    </xf>
    <xf numFmtId="0" fontId="85" fillId="19" borderId="3" xfId="8" applyFont="1" applyFill="1" applyBorder="1" applyAlignment="1">
      <alignment horizontal="right" vertical="center"/>
    </xf>
    <xf numFmtId="0" fontId="85" fillId="19" borderId="5" xfId="8" applyFont="1" applyFill="1" applyBorder="1" applyAlignment="1">
      <alignment horizontal="right" vertical="center"/>
    </xf>
    <xf numFmtId="0" fontId="85" fillId="19" borderId="10" xfId="8" applyFont="1" applyFill="1" applyBorder="1" applyAlignment="1">
      <alignment horizontal="right" vertical="center"/>
    </xf>
    <xf numFmtId="0" fontId="85" fillId="19" borderId="11" xfId="8" applyFont="1" applyFill="1" applyBorder="1" applyAlignment="1">
      <alignment horizontal="right" vertical="center"/>
    </xf>
    <xf numFmtId="0" fontId="85" fillId="19" borderId="12" xfId="8" applyFont="1" applyFill="1" applyBorder="1" applyAlignment="1">
      <alignment horizontal="right" vertical="center"/>
    </xf>
    <xf numFmtId="0" fontId="45" fillId="0" borderId="12" xfId="8" applyBorder="1" applyAlignment="1">
      <alignment horizontal="center" shrinkToFit="1"/>
    </xf>
    <xf numFmtId="0" fontId="45" fillId="0" borderId="39" xfId="8" applyBorder="1" applyAlignment="1">
      <alignment horizontal="center" shrinkToFit="1"/>
    </xf>
    <xf numFmtId="0" fontId="45" fillId="0" borderId="22" xfId="8" applyBorder="1" applyAlignment="1">
      <alignment horizontal="center" shrinkToFit="1"/>
    </xf>
    <xf numFmtId="0" fontId="45" fillId="0" borderId="35" xfId="8" applyBorder="1" applyAlignment="1">
      <alignment horizontal="center" shrinkToFit="1"/>
    </xf>
    <xf numFmtId="0" fontId="85" fillId="19" borderId="11" xfId="8" applyFont="1" applyFill="1" applyBorder="1" applyAlignment="1">
      <alignment horizontal="center" vertical="center"/>
    </xf>
    <xf numFmtId="0" fontId="85" fillId="19" borderId="4" xfId="8" applyFont="1" applyFill="1" applyBorder="1" applyAlignment="1">
      <alignment horizontal="center" vertical="center"/>
    </xf>
    <xf numFmtId="0" fontId="85" fillId="19" borderId="5" xfId="8" applyFont="1" applyFill="1" applyBorder="1" applyAlignment="1">
      <alignment horizontal="center" vertical="center"/>
    </xf>
    <xf numFmtId="0" fontId="85" fillId="19" borderId="35" xfId="8" applyFont="1" applyFill="1" applyBorder="1" applyAlignment="1">
      <alignment horizontal="center" vertical="center" shrinkToFit="1"/>
    </xf>
    <xf numFmtId="0" fontId="85" fillId="19" borderId="39" xfId="8" applyFont="1" applyFill="1" applyBorder="1" applyAlignment="1">
      <alignment horizontal="center" vertical="center" shrinkToFit="1"/>
    </xf>
    <xf numFmtId="0" fontId="85" fillId="19" borderId="1" xfId="8" applyFont="1" applyFill="1" applyBorder="1" applyAlignment="1">
      <alignment horizontal="center" vertical="center"/>
    </xf>
    <xf numFmtId="0" fontId="40" fillId="6" borderId="0" xfId="3" applyFont="1" applyFill="1"/>
    <xf numFmtId="0" fontId="39" fillId="6" borderId="0" xfId="7" applyFill="1" applyAlignment="1">
      <alignment horizontal="left"/>
    </xf>
    <xf numFmtId="0" fontId="83" fillId="6" borderId="0" xfId="3" applyFont="1" applyFill="1" applyAlignment="1">
      <alignment horizontal="center"/>
    </xf>
    <xf numFmtId="58" fontId="40" fillId="6" borderId="0" xfId="3" applyNumberFormat="1" applyFont="1" applyFill="1" applyAlignment="1">
      <alignment horizontal="center"/>
    </xf>
    <xf numFmtId="0" fontId="41" fillId="6" borderId="0" xfId="3" applyFont="1" applyFill="1"/>
    <xf numFmtId="0" fontId="40" fillId="6" borderId="0" xfId="3" applyFont="1" applyFill="1" applyAlignment="1">
      <alignment horizontal="left" vertical="top" wrapText="1"/>
    </xf>
    <xf numFmtId="0" fontId="84" fillId="6" borderId="0" xfId="3" applyFont="1" applyFill="1" applyAlignment="1">
      <alignment horizontal="left" shrinkToFit="1"/>
    </xf>
    <xf numFmtId="0" fontId="40" fillId="6" borderId="0" xfId="3" applyFont="1" applyFill="1" applyAlignment="1">
      <alignment vertical="center" wrapText="1"/>
    </xf>
    <xf numFmtId="0" fontId="42" fillId="6" borderId="0" xfId="3" applyFont="1" applyFill="1"/>
    <xf numFmtId="0" fontId="39" fillId="0" borderId="0" xfId="7" applyFill="1" applyAlignment="1" applyProtection="1"/>
    <xf numFmtId="0" fontId="42" fillId="0" borderId="0" xfId="3" applyFont="1"/>
    <xf numFmtId="0" fontId="40" fillId="6" borderId="0" xfId="3" applyFont="1" applyFill="1" applyAlignment="1">
      <alignment wrapText="1"/>
    </xf>
    <xf numFmtId="0" fontId="85" fillId="19" borderId="39" xfId="8" applyFont="1" applyFill="1" applyBorder="1" applyAlignment="1">
      <alignment horizontal="center" vertical="center" wrapText="1"/>
    </xf>
    <xf numFmtId="0" fontId="85" fillId="19" borderId="1" xfId="8" applyFont="1" applyFill="1" applyBorder="1" applyAlignment="1">
      <alignment horizontal="right" vertical="center"/>
    </xf>
    <xf numFmtId="0" fontId="102" fillId="6" borderId="0" xfId="3" applyFont="1" applyFill="1" applyAlignment="1">
      <alignment vertical="top"/>
    </xf>
    <xf numFmtId="0" fontId="101" fillId="6" borderId="0" xfId="3" applyFont="1" applyFill="1" applyAlignment="1">
      <alignment horizontal="center" vertical="top" shrinkToFit="1"/>
    </xf>
    <xf numFmtId="0" fontId="40" fillId="6" borderId="0" xfId="3" applyFont="1" applyFill="1" applyAlignment="1">
      <alignment horizontal="left" vertical="top" wrapText="1" indent="2"/>
    </xf>
    <xf numFmtId="0" fontId="40" fillId="6" borderId="0" xfId="3" applyFont="1" applyFill="1" applyAlignment="1">
      <alignment vertical="top"/>
    </xf>
    <xf numFmtId="0" fontId="43" fillId="4" borderId="32" xfId="3" applyFont="1" applyFill="1" applyBorder="1" applyAlignment="1">
      <alignment vertical="center" wrapText="1"/>
    </xf>
    <xf numFmtId="0" fontId="40" fillId="4" borderId="33" xfId="3" applyFont="1" applyFill="1" applyBorder="1" applyAlignment="1">
      <alignment vertical="center"/>
    </xf>
    <xf numFmtId="0" fontId="40" fillId="4" borderId="34" xfId="3" applyFont="1" applyFill="1" applyBorder="1" applyAlignment="1">
      <alignment vertical="center"/>
    </xf>
    <xf numFmtId="0" fontId="93" fillId="20" borderId="0" xfId="3" applyFont="1" applyFill="1" applyAlignment="1">
      <alignment horizontal="center" vertical="center"/>
    </xf>
    <xf numFmtId="0" fontId="43" fillId="6" borderId="61" xfId="3" applyFont="1" applyFill="1" applyBorder="1" applyAlignment="1">
      <alignment horizontal="left" vertical="center" wrapText="1"/>
    </xf>
    <xf numFmtId="0" fontId="101" fillId="6" borderId="0" xfId="3" applyFont="1" applyFill="1" applyAlignment="1">
      <alignment horizontal="left" vertical="top" shrinkToFit="1"/>
    </xf>
    <xf numFmtId="0" fontId="41" fillId="6" borderId="0" xfId="3" applyFont="1" applyFill="1" applyAlignment="1">
      <alignment horizontal="left"/>
    </xf>
    <xf numFmtId="0" fontId="39" fillId="0" borderId="0" xfId="7" applyFill="1" applyAlignment="1"/>
    <xf numFmtId="0" fontId="40" fillId="6" borderId="6" xfId="3" applyFont="1" applyFill="1" applyBorder="1" applyAlignment="1">
      <alignment horizontal="left" wrapText="1"/>
    </xf>
    <xf numFmtId="0" fontId="40" fillId="6" borderId="0" xfId="3" applyFont="1" applyFill="1" applyAlignment="1">
      <alignment horizontal="left" wrapText="1"/>
    </xf>
    <xf numFmtId="0" fontId="40" fillId="6" borderId="0" xfId="3" applyFont="1" applyFill="1" applyAlignment="1">
      <alignment horizontal="left" vertical="center" wrapText="1"/>
    </xf>
    <xf numFmtId="0" fontId="23" fillId="6" borderId="0" xfId="3" applyFont="1" applyFill="1" applyAlignment="1">
      <alignment horizontal="center"/>
    </xf>
    <xf numFmtId="0" fontId="83" fillId="6" borderId="0" xfId="3" applyFont="1" applyFill="1" applyAlignment="1">
      <alignment horizontal="center" vertical="center"/>
    </xf>
    <xf numFmtId="55" fontId="40" fillId="6" borderId="0" xfId="3" applyNumberFormat="1" applyFont="1" applyFill="1" applyAlignment="1">
      <alignment horizontal="center"/>
    </xf>
    <xf numFmtId="0" fontId="40" fillId="6" borderId="0" xfId="3" applyFont="1" applyFill="1" applyAlignment="1">
      <alignment horizontal="center"/>
    </xf>
    <xf numFmtId="0" fontId="40" fillId="4" borderId="10" xfId="3" applyFont="1" applyFill="1" applyBorder="1" applyAlignment="1">
      <alignment horizontal="center"/>
    </xf>
    <xf numFmtId="0" fontId="40" fillId="4" borderId="12" xfId="3" applyFont="1" applyFill="1" applyBorder="1" applyAlignment="1">
      <alignment horizontal="center"/>
    </xf>
    <xf numFmtId="0" fontId="40" fillId="4" borderId="9" xfId="3" applyFont="1" applyFill="1" applyBorder="1" applyAlignment="1">
      <alignment horizontal="center"/>
    </xf>
    <xf numFmtId="0" fontId="40" fillId="4" borderId="13" xfId="3" applyFont="1" applyFill="1" applyBorder="1" applyAlignment="1">
      <alignment horizontal="center"/>
    </xf>
    <xf numFmtId="0" fontId="51" fillId="6" borderId="0" xfId="0" applyFont="1" applyFill="1" applyAlignment="1" applyProtection="1">
      <alignment horizontal="left" vertical="center"/>
      <protection locked="0"/>
    </xf>
    <xf numFmtId="0" fontId="111" fillId="4" borderId="0" xfId="0" applyFont="1" applyFill="1" applyAlignment="1">
      <alignment horizontal="left" vertical="center" shrinkToFit="1"/>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horizontal="center" vertical="center"/>
    </xf>
    <xf numFmtId="0" fontId="0" fillId="4" borderId="2" xfId="0" applyFill="1" applyBorder="1" applyAlignment="1" applyProtection="1">
      <alignment horizontal="left" vertical="center" shrinkToFit="1"/>
      <protection locked="0"/>
    </xf>
    <xf numFmtId="0" fontId="0" fillId="0" borderId="10" xfId="0" applyBorder="1" applyAlignment="1">
      <alignment vertical="center" shrinkToFit="1"/>
    </xf>
    <xf numFmtId="0" fontId="0" fillId="0" borderId="11" xfId="0" applyBorder="1" applyAlignment="1">
      <alignment vertical="center" shrinkToFit="1"/>
    </xf>
    <xf numFmtId="0" fontId="20" fillId="4" borderId="0" xfId="0" applyFont="1" applyFill="1" applyAlignment="1">
      <alignment horizontal="left" vertical="center" wrapText="1"/>
    </xf>
    <xf numFmtId="0" fontId="0" fillId="0" borderId="1" xfId="0" applyBorder="1" applyAlignment="1">
      <alignment horizontal="center" vertical="center" shrinkToFit="1"/>
    </xf>
    <xf numFmtId="0" fontId="0" fillId="4" borderId="32" xfId="0" applyFill="1" applyBorder="1" applyAlignment="1" applyProtection="1">
      <alignment horizontal="left" vertical="center"/>
      <protection locked="0"/>
    </xf>
    <xf numFmtId="0" fontId="0" fillId="4" borderId="33"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176" fontId="0" fillId="4" borderId="1"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Protection="1">
      <alignment vertical="center"/>
      <protection locked="0"/>
    </xf>
    <xf numFmtId="0" fontId="5" fillId="0" borderId="0" xfId="1" applyFont="1" applyAlignment="1">
      <alignment horizontal="center" vertical="center"/>
    </xf>
    <xf numFmtId="0" fontId="0" fillId="0" borderId="2" xfId="1" applyFont="1" applyBorder="1" applyAlignment="1">
      <alignment horizontal="left" vertical="center" shrinkToFit="1"/>
    </xf>
    <xf numFmtId="0" fontId="10" fillId="0" borderId="2" xfId="1" applyFont="1" applyBorder="1" applyAlignment="1">
      <alignment horizontal="left" vertical="center" shrinkToFit="1"/>
    </xf>
    <xf numFmtId="0" fontId="10" fillId="0" borderId="14" xfId="1" applyFont="1" applyBorder="1" applyAlignment="1">
      <alignment horizontal="center" vertical="center"/>
    </xf>
    <xf numFmtId="0" fontId="10" fillId="0" borderId="21" xfId="1" applyFont="1" applyBorder="1" applyAlignment="1">
      <alignment horizontal="center" vertical="center"/>
    </xf>
    <xf numFmtId="0" fontId="10" fillId="0" borderId="1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5" xfId="1" applyFont="1" applyBorder="1" applyAlignment="1">
      <alignment horizontal="center" vertical="center" textRotation="255" wrapText="1"/>
    </xf>
    <xf numFmtId="0" fontId="10" fillId="0" borderId="1" xfId="1" applyFont="1" applyBorder="1" applyAlignment="1">
      <alignment horizontal="center" vertical="center" textRotation="255"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8" xfId="1" applyFont="1" applyBorder="1" applyAlignment="1">
      <alignment horizontal="center" vertical="center" wrapText="1"/>
    </xf>
    <xf numFmtId="0" fontId="11" fillId="3" borderId="19"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6" fillId="0" borderId="25" xfId="1" applyFont="1" applyBorder="1" applyAlignment="1">
      <alignment horizontal="center" vertical="center"/>
    </xf>
    <xf numFmtId="0" fontId="16" fillId="0" borderId="26" xfId="1" applyFont="1" applyBorder="1" applyAlignment="1">
      <alignment horizontal="center" vertical="center"/>
    </xf>
    <xf numFmtId="0" fontId="10" fillId="0" borderId="16"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3" xfId="1" applyFont="1" applyBorder="1" applyAlignment="1">
      <alignment horizontal="center" vertical="center" wrapText="1"/>
    </xf>
    <xf numFmtId="0" fontId="18" fillId="4" borderId="0" xfId="1" applyFont="1" applyFill="1" applyAlignment="1" applyProtection="1">
      <alignment horizontal="left" vertical="center" shrinkToFit="1"/>
      <protection locked="0"/>
    </xf>
    <xf numFmtId="0" fontId="10" fillId="0" borderId="1" xfId="1" applyFont="1" applyBorder="1" applyAlignment="1">
      <alignment horizontal="center" vertical="center"/>
    </xf>
    <xf numFmtId="0" fontId="0" fillId="0" borderId="1" xfId="0" applyBorder="1" applyAlignment="1">
      <alignment horizontal="left" vertical="center" wrapText="1"/>
    </xf>
    <xf numFmtId="0" fontId="5" fillId="0" borderId="0" xfId="1" applyFont="1" applyAlignment="1">
      <alignment horizontal="center" vertical="center" shrinkToFit="1"/>
    </xf>
    <xf numFmtId="0" fontId="0" fillId="0" borderId="2" xfId="1" applyFont="1" applyBorder="1" applyAlignment="1">
      <alignment horizontal="center" vertical="center" shrinkToFit="1"/>
    </xf>
    <xf numFmtId="0" fontId="10" fillId="5" borderId="35" xfId="1" applyFont="1" applyFill="1" applyBorder="1" applyAlignment="1">
      <alignment horizontal="center" vertical="center" wrapText="1"/>
    </xf>
    <xf numFmtId="0" fontId="0" fillId="5" borderId="22" xfId="0" applyFill="1" applyBorder="1" applyAlignment="1">
      <alignment horizontal="center" vertical="center"/>
    </xf>
    <xf numFmtId="0" fontId="36" fillId="4" borderId="1" xfId="0" applyFont="1" applyFill="1" applyBorder="1" applyAlignment="1">
      <alignment horizontal="left" vertical="center" wrapText="1"/>
    </xf>
    <xf numFmtId="0" fontId="36" fillId="4" borderId="1" xfId="0" applyFont="1" applyFill="1" applyBorder="1" applyAlignment="1">
      <alignment horizontal="left" vertical="center" shrinkToFit="1"/>
    </xf>
    <xf numFmtId="0" fontId="111" fillId="4" borderId="1" xfId="0" applyFont="1" applyFill="1" applyBorder="1" applyAlignment="1">
      <alignment horizontal="left" vertical="center" wrapText="1"/>
    </xf>
    <xf numFmtId="0" fontId="111" fillId="4" borderId="1" xfId="0" applyFont="1" applyFill="1" applyBorder="1" applyAlignment="1">
      <alignment horizontal="left" vertical="center" shrinkToFit="1"/>
    </xf>
    <xf numFmtId="0" fontId="0" fillId="6" borderId="5" xfId="0" applyFill="1" applyBorder="1" applyAlignment="1">
      <alignment horizontal="center" vertical="center" wrapText="1"/>
    </xf>
    <xf numFmtId="0" fontId="0" fillId="6" borderId="5" xfId="0" applyFill="1" applyBorder="1" applyAlignment="1"/>
    <xf numFmtId="0" fontId="7" fillId="0" borderId="1" xfId="3" applyFont="1" applyBorder="1" applyAlignment="1">
      <alignment horizontal="center" vertical="center" shrinkToFit="1"/>
    </xf>
    <xf numFmtId="0" fontId="10" fillId="0" borderId="36" xfId="3" applyBorder="1" applyAlignment="1">
      <alignment horizontal="center" vertical="center" wrapText="1"/>
    </xf>
    <xf numFmtId="0" fontId="10" fillId="0" borderId="37" xfId="3" applyBorder="1"/>
    <xf numFmtId="0" fontId="8" fillId="0" borderId="1" xfId="3" applyFont="1" applyBorder="1" applyAlignment="1">
      <alignment horizontal="center" vertical="center" wrapText="1"/>
    </xf>
    <xf numFmtId="0" fontId="8" fillId="0" borderId="4" xfId="0" applyFont="1" applyBorder="1" applyAlignment="1">
      <alignment horizontal="center" vertical="center" wrapText="1"/>
    </xf>
    <xf numFmtId="0" fontId="5" fillId="0" borderId="1" xfId="3" applyFont="1" applyBorder="1" applyAlignment="1">
      <alignment horizontal="center" vertical="center"/>
    </xf>
    <xf numFmtId="0" fontId="7" fillId="6" borderId="1" xfId="3" applyFont="1" applyFill="1" applyBorder="1" applyAlignment="1">
      <alignment horizontal="center" vertical="center" shrinkToFit="1"/>
    </xf>
    <xf numFmtId="0" fontId="5" fillId="0" borderId="4" xfId="3" applyFont="1" applyBorder="1" applyAlignment="1">
      <alignment horizontal="center" vertical="center"/>
    </xf>
    <xf numFmtId="0" fontId="5" fillId="0" borderId="3" xfId="3" applyFont="1" applyBorder="1" applyAlignment="1">
      <alignment horizontal="center" vertical="center"/>
    </xf>
    <xf numFmtId="0" fontId="5" fillId="0" borderId="5" xfId="3" applyFont="1" applyBorder="1" applyAlignment="1">
      <alignment horizontal="center" vertical="center"/>
    </xf>
    <xf numFmtId="0" fontId="10" fillId="0" borderId="1" xfId="3" applyBorder="1" applyAlignment="1">
      <alignment horizontal="center" vertical="center"/>
    </xf>
    <xf numFmtId="0" fontId="10" fillId="0" borderId="1" xfId="3" applyBorder="1"/>
    <xf numFmtId="0" fontId="10" fillId="0" borderId="1" xfId="3" applyBorder="1" applyAlignment="1">
      <alignment horizontal="center" vertical="center" shrinkToFit="1"/>
    </xf>
    <xf numFmtId="0" fontId="10" fillId="0" borderId="1" xfId="3" applyBorder="1" applyAlignment="1">
      <alignment horizontal="center" vertical="center" wrapText="1"/>
    </xf>
    <xf numFmtId="0" fontId="13" fillId="0" borderId="1" xfId="3" applyFont="1" applyBorder="1" applyAlignment="1">
      <alignment horizontal="center" vertical="center" textRotation="255" wrapText="1"/>
    </xf>
    <xf numFmtId="0" fontId="23" fillId="0" borderId="2" xfId="3" applyFont="1" applyBorder="1" applyAlignment="1">
      <alignment horizontal="center" shrinkToFit="1"/>
    </xf>
    <xf numFmtId="0" fontId="10" fillId="0" borderId="35" xfId="3" applyBorder="1" applyAlignment="1">
      <alignment horizontal="center" vertical="center" textRotation="255" wrapText="1"/>
    </xf>
    <xf numFmtId="0" fontId="10" fillId="0" borderId="39" xfId="3" applyBorder="1" applyAlignment="1">
      <alignment horizontal="center" vertical="center" textRotation="255" wrapText="1"/>
    </xf>
    <xf numFmtId="0" fontId="23" fillId="0" borderId="1" xfId="3" applyFont="1" applyBorder="1" applyAlignment="1">
      <alignment horizontal="center" vertical="center" wrapText="1"/>
    </xf>
    <xf numFmtId="0" fontId="10" fillId="0" borderId="1" xfId="3" applyBorder="1" applyAlignment="1">
      <alignment horizontal="center" vertical="center" textRotation="255" wrapText="1"/>
    </xf>
    <xf numFmtId="0" fontId="9" fillId="0" borderId="1" xfId="3" applyFont="1" applyBorder="1" applyAlignment="1">
      <alignment horizontal="center" vertical="center" wrapText="1"/>
    </xf>
    <xf numFmtId="0" fontId="10" fillId="0" borderId="4" xfId="3" applyBorder="1" applyAlignment="1">
      <alignment horizontal="center" vertical="center" wrapText="1"/>
    </xf>
    <xf numFmtId="0" fontId="10" fillId="0" borderId="3" xfId="3" applyBorder="1" applyAlignment="1">
      <alignment horizontal="center" vertical="center" wrapText="1"/>
    </xf>
    <xf numFmtId="0" fontId="9" fillId="0" borderId="35" xfId="0" applyFont="1" applyBorder="1" applyAlignment="1">
      <alignment horizontal="center" vertical="center" textRotation="255" shrinkToFit="1"/>
    </xf>
    <xf numFmtId="0" fontId="9" fillId="0" borderId="39" xfId="0" applyFont="1" applyBorder="1" applyAlignment="1">
      <alignment horizontal="center" vertical="center" textRotation="255" shrinkToFit="1"/>
    </xf>
    <xf numFmtId="0" fontId="9" fillId="0" borderId="22" xfId="0" applyFont="1" applyBorder="1" applyAlignment="1">
      <alignment horizontal="center" vertical="center" textRotation="255" shrinkToFit="1"/>
    </xf>
    <xf numFmtId="0" fontId="13" fillId="0" borderId="1" xfId="3" applyFont="1" applyBorder="1" applyAlignment="1">
      <alignment vertical="center" textRotation="255" wrapText="1"/>
    </xf>
    <xf numFmtId="0" fontId="0" fillId="0" borderId="1" xfId="0" applyBorder="1">
      <alignment vertical="center"/>
    </xf>
    <xf numFmtId="0" fontId="9" fillId="0" borderId="1" xfId="0" applyFont="1" applyBorder="1" applyAlignment="1">
      <alignment horizontal="center" vertical="center" textRotation="255" shrinkToFit="1"/>
    </xf>
    <xf numFmtId="0" fontId="10" fillId="0" borderId="5" xfId="3" applyBorder="1" applyAlignment="1">
      <alignment horizontal="center" vertical="center" wrapText="1"/>
    </xf>
    <xf numFmtId="0" fontId="13" fillId="0" borderId="4" xfId="3" applyFont="1" applyBorder="1" applyAlignment="1">
      <alignment horizontal="center" vertical="center" textRotation="255" wrapText="1"/>
    </xf>
    <xf numFmtId="0" fontId="10" fillId="0" borderId="35" xfId="3" applyBorder="1" applyAlignment="1">
      <alignment horizontal="center" vertical="center" wrapText="1"/>
    </xf>
    <xf numFmtId="0" fontId="10" fillId="0" borderId="39" xfId="3" applyBorder="1" applyAlignment="1">
      <alignment horizontal="center" vertical="center" wrapText="1"/>
    </xf>
    <xf numFmtId="0" fontId="10" fillId="0" borderId="22" xfId="3" applyBorder="1" applyAlignment="1">
      <alignment horizontal="center" vertical="center" wrapText="1"/>
    </xf>
    <xf numFmtId="0" fontId="15" fillId="0" borderId="1" xfId="3" applyFont="1" applyBorder="1" applyAlignment="1">
      <alignment horizontal="center" vertical="center" textRotation="255" wrapText="1"/>
    </xf>
    <xf numFmtId="0" fontId="5" fillId="0" borderId="2" xfId="3" applyFont="1" applyBorder="1" applyAlignment="1">
      <alignment horizontal="center" shrinkToFit="1"/>
    </xf>
    <xf numFmtId="0" fontId="10" fillId="0" borderId="10" xfId="3" applyBorder="1" applyAlignment="1">
      <alignment horizontal="center" vertical="center" wrapText="1"/>
    </xf>
    <xf numFmtId="0" fontId="10" fillId="0" borderId="12" xfId="3" applyBorder="1" applyAlignment="1">
      <alignment horizontal="center" vertical="center" wrapText="1"/>
    </xf>
    <xf numFmtId="0" fontId="10" fillId="0" borderId="6" xfId="3" applyBorder="1" applyAlignment="1">
      <alignment horizontal="center" vertical="center" wrapText="1"/>
    </xf>
    <xf numFmtId="0" fontId="10" fillId="0" borderId="7" xfId="3" applyBorder="1" applyAlignment="1">
      <alignment horizontal="center" vertical="center" wrapText="1"/>
    </xf>
    <xf numFmtId="0" fontId="10" fillId="0" borderId="35" xfId="3" applyBorder="1" applyAlignment="1">
      <alignment wrapText="1"/>
    </xf>
    <xf numFmtId="0" fontId="10" fillId="0" borderId="39" xfId="3" applyBorder="1" applyAlignment="1">
      <alignment wrapText="1"/>
    </xf>
    <xf numFmtId="0" fontId="15" fillId="0" borderId="35" xfId="3" applyFont="1" applyBorder="1" applyAlignment="1">
      <alignment horizontal="center" vertical="center" textRotation="255" wrapText="1"/>
    </xf>
    <xf numFmtId="0" fontId="15" fillId="0" borderId="39" xfId="3" applyFont="1" applyBorder="1" applyAlignment="1">
      <alignment horizontal="center" vertical="center" textRotation="255" wrapText="1"/>
    </xf>
    <xf numFmtId="0" fontId="15" fillId="0" borderId="22" xfId="3" applyFont="1" applyBorder="1" applyAlignment="1">
      <alignment horizontal="center" vertical="center" textRotation="255" wrapText="1"/>
    </xf>
    <xf numFmtId="0" fontId="10" fillId="0" borderId="9" xfId="3" applyBorder="1" applyAlignment="1">
      <alignment horizontal="center" vertical="center" wrapText="1"/>
    </xf>
    <xf numFmtId="0" fontId="10" fillId="0" borderId="13" xfId="3" applyBorder="1" applyAlignment="1">
      <alignment horizontal="center" vertical="center" wrapText="1"/>
    </xf>
    <xf numFmtId="0" fontId="13" fillId="0" borderId="35" xfId="3" applyFont="1" applyBorder="1" applyAlignment="1">
      <alignment horizontal="center" vertical="center" textRotation="255" wrapText="1"/>
    </xf>
    <xf numFmtId="0" fontId="13" fillId="0" borderId="22" xfId="3" applyFont="1" applyBorder="1" applyAlignment="1">
      <alignment horizontal="center" vertical="center" textRotation="255" wrapText="1"/>
    </xf>
    <xf numFmtId="0" fontId="10" fillId="0" borderId="0" xfId="3" applyAlignment="1">
      <alignment horizontal="center" vertical="center" wrapText="1"/>
    </xf>
    <xf numFmtId="179" fontId="10" fillId="0" borderId="35" xfId="3" applyNumberFormat="1" applyBorder="1" applyAlignment="1">
      <alignment horizontal="center" vertical="center"/>
    </xf>
    <xf numFmtId="0" fontId="0" fillId="0" borderId="22" xfId="0" applyBorder="1">
      <alignment vertical="center"/>
    </xf>
    <xf numFmtId="183" fontId="0" fillId="0" borderId="35" xfId="0" applyNumberFormat="1" applyBorder="1" applyAlignment="1">
      <alignment horizontal="center" vertical="center" shrinkToFit="1"/>
    </xf>
    <xf numFmtId="183" fontId="0" fillId="0" borderId="22" xfId="0" applyNumberFormat="1" applyBorder="1" applyAlignment="1">
      <alignment horizontal="center" vertical="center" shrinkToFit="1"/>
    </xf>
    <xf numFmtId="0" fontId="5" fillId="0" borderId="0" xfId="3" applyFont="1" applyAlignment="1">
      <alignment horizontal="center"/>
    </xf>
    <xf numFmtId="0" fontId="5" fillId="0" borderId="2" xfId="3" applyFont="1" applyBorder="1" applyAlignment="1">
      <alignment horizont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183" fontId="0" fillId="0" borderId="35" xfId="0" applyNumberFormat="1" applyBorder="1" applyAlignment="1">
      <alignment horizontal="center" vertical="center"/>
    </xf>
    <xf numFmtId="183" fontId="0" fillId="0" borderId="22" xfId="0" applyNumberFormat="1" applyBorder="1" applyAlignment="1">
      <alignment horizontal="center" vertical="center"/>
    </xf>
    <xf numFmtId="0" fontId="0" fillId="4" borderId="1" xfId="0" applyFill="1" applyBorder="1" applyAlignment="1">
      <alignment horizontal="left" vertical="center" wrapText="1"/>
    </xf>
    <xf numFmtId="179" fontId="10" fillId="0" borderId="39" xfId="3" applyNumberFormat="1" applyBorder="1" applyAlignment="1">
      <alignment horizontal="center" vertical="center"/>
    </xf>
    <xf numFmtId="179" fontId="10" fillId="0" borderId="22" xfId="3" applyNumberFormat="1" applyBorder="1" applyAlignment="1">
      <alignment horizontal="center" vertical="center"/>
    </xf>
    <xf numFmtId="177" fontId="0" fillId="0" borderId="35" xfId="0" applyNumberFormat="1" applyBorder="1" applyAlignment="1">
      <alignment horizontal="center" vertical="center"/>
    </xf>
    <xf numFmtId="177" fontId="0" fillId="0" borderId="39" xfId="0" applyNumberFormat="1" applyBorder="1" applyAlignment="1">
      <alignment horizontal="center" vertical="center"/>
    </xf>
    <xf numFmtId="177" fontId="0" fillId="0" borderId="22" xfId="0" applyNumberFormat="1" applyBorder="1" applyAlignment="1">
      <alignment horizontal="center" vertical="center"/>
    </xf>
    <xf numFmtId="0" fontId="0" fillId="0" borderId="35" xfId="0" applyBorder="1" applyAlignment="1">
      <alignment horizontal="center" vertical="center" shrinkToFit="1"/>
    </xf>
    <xf numFmtId="0" fontId="0" fillId="0" borderId="39" xfId="0" applyBorder="1" applyAlignment="1">
      <alignment horizontal="center" vertical="center" shrinkToFit="1"/>
    </xf>
    <xf numFmtId="0" fontId="0" fillId="0" borderId="22" xfId="0" applyBorder="1" applyAlignment="1">
      <alignment horizontal="center" vertical="center" shrinkToFit="1"/>
    </xf>
    <xf numFmtId="177" fontId="0" fillId="0" borderId="60" xfId="0" applyNumberFormat="1"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22" xfId="0" applyBorder="1" applyAlignment="1">
      <alignment horizontal="center" vertical="center"/>
    </xf>
    <xf numFmtId="183" fontId="0" fillId="0" borderId="39" xfId="0" applyNumberFormat="1" applyBorder="1" applyAlignment="1">
      <alignment horizontal="center" vertical="center" shrinkToFit="1"/>
    </xf>
    <xf numFmtId="0" fontId="10" fillId="0" borderId="2" xfId="3" applyBorder="1" applyAlignment="1">
      <alignment horizontal="center"/>
    </xf>
    <xf numFmtId="0" fontId="10" fillId="0" borderId="2" xfId="3" applyBorder="1" applyAlignment="1">
      <alignment horizontal="center" shrinkToFit="1"/>
    </xf>
    <xf numFmtId="187" fontId="0" fillId="0" borderId="35" xfId="0" applyNumberFormat="1" applyBorder="1" applyAlignment="1">
      <alignment horizontal="center" vertical="center" shrinkToFit="1"/>
    </xf>
    <xf numFmtId="187" fontId="0" fillId="0" borderId="39" xfId="0" applyNumberFormat="1" applyBorder="1" applyAlignment="1">
      <alignment horizontal="center" vertical="center" shrinkToFit="1"/>
    </xf>
    <xf numFmtId="187" fontId="0" fillId="0" borderId="22" xfId="0" applyNumberFormat="1" applyBorder="1" applyAlignment="1">
      <alignment horizontal="center" vertical="center" shrinkToFit="1"/>
    </xf>
    <xf numFmtId="189" fontId="0" fillId="0" borderId="35" xfId="0" applyNumberFormat="1" applyBorder="1" applyAlignment="1">
      <alignment horizontal="center" vertical="center" shrinkToFit="1"/>
    </xf>
    <xf numFmtId="189" fontId="0" fillId="0" borderId="39" xfId="0" applyNumberFormat="1" applyBorder="1" applyAlignment="1">
      <alignment horizontal="center" vertical="center" shrinkToFit="1"/>
    </xf>
    <xf numFmtId="189" fontId="0" fillId="0" borderId="22" xfId="0" applyNumberFormat="1" applyBorder="1" applyAlignment="1">
      <alignment horizontal="center" vertical="center" shrinkToFit="1"/>
    </xf>
    <xf numFmtId="193" fontId="0" fillId="0" borderId="35" xfId="0" applyNumberFormat="1" applyBorder="1" applyAlignment="1">
      <alignment horizontal="center" vertical="center" shrinkToFit="1"/>
    </xf>
    <xf numFmtId="193" fontId="0" fillId="0" borderId="39" xfId="0" applyNumberFormat="1" applyBorder="1" applyAlignment="1">
      <alignment horizontal="center" vertical="center" shrinkToFit="1"/>
    </xf>
    <xf numFmtId="193" fontId="0" fillId="0" borderId="22" xfId="0" applyNumberFormat="1" applyBorder="1" applyAlignment="1">
      <alignment horizontal="center" vertical="center" shrinkToFit="1"/>
    </xf>
    <xf numFmtId="0" fontId="0" fillId="0" borderId="39" xfId="0" applyBorder="1">
      <alignment vertical="center"/>
    </xf>
    <xf numFmtId="177" fontId="0" fillId="0" borderId="1" xfId="0" applyNumberFormat="1" applyBorder="1" applyAlignment="1">
      <alignment horizontal="center" vertical="center"/>
    </xf>
    <xf numFmtId="180" fontId="0" fillId="0" borderId="35" xfId="0" applyNumberFormat="1" applyBorder="1" applyAlignment="1">
      <alignment horizontal="center" vertical="center"/>
    </xf>
    <xf numFmtId="180" fontId="0" fillId="0" borderId="39" xfId="0" applyNumberFormat="1" applyBorder="1" applyAlignment="1">
      <alignment horizontal="center" vertical="center"/>
    </xf>
    <xf numFmtId="180" fontId="0" fillId="0" borderId="22" xfId="0" applyNumberFormat="1" applyBorder="1" applyAlignment="1">
      <alignment horizontal="center" vertical="center"/>
    </xf>
    <xf numFmtId="0" fontId="0" fillId="4" borderId="4" xfId="0" applyFill="1" applyBorder="1" applyAlignment="1">
      <alignment horizontal="left" vertical="center" wrapText="1"/>
    </xf>
    <xf numFmtId="0" fontId="0" fillId="4" borderId="3" xfId="0" applyFill="1" applyBorder="1" applyAlignment="1">
      <alignment horizontal="left" vertical="center" wrapText="1"/>
    </xf>
    <xf numFmtId="0" fontId="0" fillId="4" borderId="5" xfId="0" applyFill="1" applyBorder="1" applyAlignment="1">
      <alignment horizontal="left" vertical="center" wrapText="1"/>
    </xf>
    <xf numFmtId="0" fontId="28" fillId="0" borderId="0" xfId="3" applyFont="1" applyAlignment="1">
      <alignment horizontal="distributed" indent="8"/>
    </xf>
    <xf numFmtId="0" fontId="10" fillId="0" borderId="0" xfId="3" applyAlignment="1">
      <alignment horizontal="distributed" indent="8"/>
    </xf>
    <xf numFmtId="0" fontId="10" fillId="0" borderId="0" xfId="3" applyAlignment="1" applyProtection="1">
      <alignment shrinkToFit="1"/>
      <protection locked="0"/>
    </xf>
    <xf numFmtId="0" fontId="0" fillId="0" borderId="0" xfId="0" applyAlignment="1" applyProtection="1">
      <alignment shrinkToFit="1"/>
      <protection locked="0"/>
    </xf>
    <xf numFmtId="0" fontId="28" fillId="0" borderId="0" xfId="3" applyFont="1" applyAlignment="1">
      <alignment horizontal="distributed" vertical="center"/>
    </xf>
    <xf numFmtId="0" fontId="28" fillId="0" borderId="0" xfId="3" applyFont="1" applyAlignment="1">
      <alignment horizontal="distributed"/>
    </xf>
    <xf numFmtId="38" fontId="28" fillId="0" borderId="0" xfId="3" applyNumberFormat="1" applyFont="1" applyAlignment="1" applyProtection="1">
      <alignment horizontal="left" shrinkToFit="1"/>
      <protection locked="0"/>
    </xf>
    <xf numFmtId="0" fontId="28" fillId="0" borderId="0" xfId="3" applyFont="1" applyAlignment="1" applyProtection="1">
      <alignment horizontal="left" shrinkToFit="1"/>
      <protection locked="0"/>
    </xf>
    <xf numFmtId="180" fontId="31" fillId="0" borderId="4" xfId="3" applyNumberFormat="1" applyFont="1" applyBorder="1" applyAlignment="1">
      <alignment vertical="center"/>
    </xf>
    <xf numFmtId="180" fontId="31" fillId="0" borderId="3" xfId="3" applyNumberFormat="1" applyFont="1" applyBorder="1" applyAlignment="1">
      <alignment vertical="center"/>
    </xf>
    <xf numFmtId="0" fontId="28" fillId="0" borderId="0" xfId="3" applyFont="1" applyAlignment="1">
      <alignment horizontal="center" shrinkToFit="1"/>
    </xf>
    <xf numFmtId="0" fontId="28" fillId="0" borderId="0" xfId="3" applyFont="1" applyAlignment="1">
      <alignment vertical="center" wrapText="1"/>
    </xf>
    <xf numFmtId="180" fontId="31" fillId="0" borderId="0" xfId="3" applyNumberFormat="1" applyFont="1"/>
    <xf numFmtId="0" fontId="31" fillId="0" borderId="0" xfId="3" applyFont="1"/>
    <xf numFmtId="0" fontId="28" fillId="0" borderId="62" xfId="3" applyFont="1" applyBorder="1" applyAlignment="1">
      <alignment horizontal="distributed" vertical="center" wrapText="1"/>
    </xf>
    <xf numFmtId="0" fontId="46" fillId="0" borderId="54" xfId="0" applyFont="1" applyBorder="1" applyAlignment="1">
      <alignment horizontal="distributed" vertical="center" wrapText="1"/>
    </xf>
    <xf numFmtId="0" fontId="28" fillId="0" borderId="51" xfId="3" applyFont="1" applyBorder="1" applyAlignment="1">
      <alignment vertical="center" wrapText="1"/>
    </xf>
    <xf numFmtId="0" fontId="28" fillId="0" borderId="30" xfId="3" applyFont="1" applyBorder="1" applyAlignment="1">
      <alignment vertical="center" wrapText="1"/>
    </xf>
    <xf numFmtId="0" fontId="28" fillId="0" borderId="63" xfId="3" applyFont="1" applyBorder="1" applyAlignment="1">
      <alignment vertical="center" wrapText="1"/>
    </xf>
    <xf numFmtId="0" fontId="28" fillId="0" borderId="9" xfId="3" applyFont="1" applyBorder="1" applyAlignment="1">
      <alignment vertical="center" wrapText="1"/>
    </xf>
    <xf numFmtId="0" fontId="28" fillId="0" borderId="2" xfId="3" applyFont="1" applyBorder="1" applyAlignment="1">
      <alignment vertical="center" wrapText="1"/>
    </xf>
    <xf numFmtId="0" fontId="28" fillId="0" borderId="44" xfId="3" applyFont="1" applyBorder="1" applyAlignment="1">
      <alignment vertical="center" wrapText="1"/>
    </xf>
    <xf numFmtId="0" fontId="28" fillId="0" borderId="52" xfId="3" applyFont="1" applyBorder="1" applyAlignment="1">
      <alignment horizontal="distributed" vertical="center"/>
    </xf>
    <xf numFmtId="0" fontId="28" fillId="0" borderId="53" xfId="3" applyFont="1" applyBorder="1" applyAlignment="1">
      <alignment horizontal="distributed" vertical="center"/>
    </xf>
    <xf numFmtId="0" fontId="28" fillId="0" borderId="55" xfId="3" applyFont="1" applyBorder="1" applyAlignment="1">
      <alignment horizontal="distributed" vertical="center"/>
    </xf>
    <xf numFmtId="0" fontId="28" fillId="0" borderId="6" xfId="3" applyFont="1" applyBorder="1" applyAlignment="1">
      <alignment shrinkToFit="1"/>
    </xf>
    <xf numFmtId="0" fontId="10" fillId="0" borderId="0" xfId="3" applyAlignment="1">
      <alignment shrinkToFit="1"/>
    </xf>
    <xf numFmtId="0" fontId="10" fillId="0" borderId="43" xfId="3" applyBorder="1" applyAlignment="1">
      <alignment shrinkToFit="1"/>
    </xf>
    <xf numFmtId="0" fontId="28" fillId="0" borderId="47" xfId="3" applyFont="1" applyBorder="1"/>
    <xf numFmtId="0" fontId="28" fillId="0" borderId="48" xfId="4" applyBorder="1"/>
    <xf numFmtId="0" fontId="28" fillId="0" borderId="48" xfId="3" applyFont="1" applyBorder="1"/>
    <xf numFmtId="0" fontId="28" fillId="0" borderId="49" xfId="3" applyFont="1" applyBorder="1"/>
    <xf numFmtId="0" fontId="28" fillId="0" borderId="52" xfId="3" applyFont="1" applyBorder="1" applyAlignment="1">
      <alignment horizontal="center" vertical="center"/>
    </xf>
    <xf numFmtId="0" fontId="28" fillId="0" borderId="53" xfId="3" applyFont="1" applyBorder="1" applyAlignment="1">
      <alignment horizontal="center" vertical="center"/>
    </xf>
    <xf numFmtId="0" fontId="28" fillId="0" borderId="10" xfId="3" applyFont="1" applyBorder="1" applyAlignment="1">
      <alignment vertical="center"/>
    </xf>
    <xf numFmtId="0" fontId="28" fillId="0" borderId="11" xfId="3" applyFont="1" applyBorder="1" applyAlignment="1">
      <alignment vertical="center"/>
    </xf>
    <xf numFmtId="0" fontId="28" fillId="0" borderId="0" xfId="3" applyFont="1" applyAlignment="1">
      <alignment vertical="center" shrinkToFit="1"/>
    </xf>
    <xf numFmtId="0" fontId="23" fillId="0" borderId="0" xfId="3" applyFont="1" applyAlignment="1">
      <alignment horizontal="center"/>
    </xf>
    <xf numFmtId="0" fontId="61" fillId="0" borderId="96" xfId="0" applyFont="1" applyBorder="1" applyAlignment="1">
      <alignment horizontal="center" vertical="center"/>
    </xf>
    <xf numFmtId="0" fontId="61" fillId="0" borderId="97" xfId="0" applyFont="1" applyBorder="1" applyAlignment="1">
      <alignment horizontal="center" vertical="center"/>
    </xf>
    <xf numFmtId="0" fontId="61" fillId="0" borderId="5" xfId="0" applyFont="1" applyBorder="1" applyAlignment="1">
      <alignment horizontal="center" vertical="center"/>
    </xf>
    <xf numFmtId="0" fontId="61" fillId="0" borderId="1" xfId="0" applyFont="1" applyBorder="1" applyAlignment="1">
      <alignment horizontal="center" vertical="center"/>
    </xf>
    <xf numFmtId="0" fontId="7" fillId="6" borderId="2" xfId="3" applyFont="1" applyFill="1" applyBorder="1" applyAlignment="1">
      <alignment horizontal="left" vertical="center" shrinkToFit="1"/>
    </xf>
    <xf numFmtId="0" fontId="109" fillId="0" borderId="0" xfId="3" applyFont="1" applyAlignment="1">
      <alignment horizontal="center" vertical="center" wrapText="1"/>
    </xf>
    <xf numFmtId="0" fontId="28" fillId="0" borderId="0" xfId="3" applyFont="1" applyAlignment="1">
      <alignment horizontal="right" shrinkToFit="1"/>
    </xf>
    <xf numFmtId="180" fontId="31" fillId="0" borderId="4" xfId="3" applyNumberFormat="1" applyFont="1" applyBorder="1" applyAlignment="1">
      <alignment horizontal="right" vertical="center"/>
    </xf>
    <xf numFmtId="180" fontId="31" fillId="0" borderId="3" xfId="3" applyNumberFormat="1" applyFont="1" applyBorder="1" applyAlignment="1">
      <alignment horizontal="right" vertical="center"/>
    </xf>
    <xf numFmtId="192" fontId="65" fillId="0" borderId="9" xfId="14" applyNumberFormat="1" applyFont="1" applyBorder="1" applyAlignment="1">
      <alignment horizontal="right" vertical="center"/>
    </xf>
    <xf numFmtId="192" fontId="65" fillId="0" borderId="2" xfId="14" applyNumberFormat="1" applyFont="1" applyBorder="1" applyAlignment="1">
      <alignment horizontal="right" vertical="center"/>
    </xf>
    <xf numFmtId="0" fontId="28" fillId="0" borderId="67" xfId="3" applyFont="1" applyBorder="1" applyAlignment="1">
      <alignment horizontal="center" vertical="center"/>
    </xf>
    <xf numFmtId="0" fontId="28" fillId="0" borderId="11" xfId="3" applyFont="1" applyBorder="1" applyAlignment="1">
      <alignment horizontal="center" vertical="center"/>
    </xf>
    <xf numFmtId="0" fontId="28" fillId="0" borderId="12" xfId="3" applyFont="1" applyBorder="1" applyAlignment="1">
      <alignment horizontal="center" vertical="center"/>
    </xf>
    <xf numFmtId="0" fontId="28" fillId="0" borderId="68" xfId="3" applyFont="1" applyBorder="1" applyAlignment="1">
      <alignment horizontal="center" vertical="center"/>
    </xf>
    <xf numFmtId="0" fontId="28" fillId="0" borderId="2" xfId="3" applyFont="1" applyBorder="1" applyAlignment="1">
      <alignment horizontal="center" vertical="center"/>
    </xf>
    <xf numFmtId="0" fontId="28" fillId="0" borderId="13" xfId="3" applyFont="1" applyBorder="1" applyAlignment="1">
      <alignment horizontal="center" vertical="center"/>
    </xf>
    <xf numFmtId="192" fontId="63" fillId="5" borderId="93" xfId="14" applyNumberFormat="1" applyFont="1" applyFill="1" applyBorder="1" applyAlignment="1">
      <alignment horizontal="right" vertical="center"/>
    </xf>
    <xf numFmtId="192" fontId="63" fillId="5" borderId="73" xfId="14" applyNumberFormat="1" applyFont="1" applyFill="1" applyBorder="1" applyAlignment="1">
      <alignment horizontal="right" vertical="center"/>
    </xf>
    <xf numFmtId="192" fontId="63" fillId="5" borderId="9" xfId="14" applyNumberFormat="1" applyFont="1" applyFill="1" applyBorder="1" applyAlignment="1">
      <alignment horizontal="right" vertical="center"/>
    </xf>
    <xf numFmtId="192" fontId="63" fillId="5" borderId="2" xfId="14" applyNumberFormat="1" applyFont="1" applyFill="1" applyBorder="1" applyAlignment="1">
      <alignment horizontal="right" vertical="center"/>
    </xf>
    <xf numFmtId="192" fontId="63" fillId="5" borderId="9" xfId="14" applyNumberFormat="1" applyFont="1" applyFill="1" applyBorder="1" applyAlignment="1" applyProtection="1">
      <alignment horizontal="right" vertical="center"/>
      <protection locked="0"/>
    </xf>
    <xf numFmtId="192" fontId="63" fillId="5" borderId="2" xfId="14" applyNumberFormat="1" applyFont="1" applyFill="1" applyBorder="1" applyAlignment="1" applyProtection="1">
      <alignment horizontal="right" vertical="center"/>
      <protection locked="0"/>
    </xf>
    <xf numFmtId="192" fontId="65" fillId="0" borderId="6" xfId="14" applyNumberFormat="1" applyFont="1" applyBorder="1" applyAlignment="1">
      <alignment horizontal="right" vertical="center"/>
    </xf>
    <xf numFmtId="192" fontId="65" fillId="0" borderId="0" xfId="14" applyNumberFormat="1" applyFont="1" applyAlignment="1">
      <alignment horizontal="right" vertical="center"/>
    </xf>
    <xf numFmtId="0" fontId="28" fillId="0" borderId="1" xfId="14" applyBorder="1" applyAlignment="1">
      <alignment horizontal="distributed" vertical="center"/>
    </xf>
    <xf numFmtId="0" fontId="28" fillId="0" borderId="4" xfId="14" applyBorder="1" applyAlignment="1">
      <alignment horizontal="distributed" vertical="center"/>
    </xf>
    <xf numFmtId="192" fontId="63" fillId="5" borderId="72" xfId="14" applyNumberFormat="1" applyFont="1" applyFill="1" applyBorder="1" applyAlignment="1">
      <alignment horizontal="right" vertical="center"/>
    </xf>
    <xf numFmtId="192" fontId="63" fillId="5" borderId="95" xfId="14" applyNumberFormat="1" applyFont="1" applyFill="1" applyBorder="1" applyAlignment="1">
      <alignment horizontal="right" vertical="center"/>
    </xf>
    <xf numFmtId="180" fontId="30" fillId="0" borderId="10" xfId="14" applyNumberFormat="1" applyFont="1" applyBorder="1" applyAlignment="1">
      <alignment vertical="center"/>
    </xf>
    <xf numFmtId="180" fontId="30" fillId="0" borderId="11" xfId="14" applyNumberFormat="1" applyFont="1" applyBorder="1" applyAlignment="1">
      <alignment vertical="center"/>
    </xf>
    <xf numFmtId="0" fontId="28" fillId="0" borderId="10" xfId="14" applyBorder="1" applyAlignment="1">
      <alignment horizontal="center" vertical="center"/>
    </xf>
    <xf numFmtId="0" fontId="28" fillId="0" borderId="11" xfId="14" applyBorder="1" applyAlignment="1">
      <alignment horizontal="center" vertical="center"/>
    </xf>
    <xf numFmtId="0" fontId="28" fillId="0" borderId="94" xfId="14" applyBorder="1" applyAlignment="1">
      <alignment horizontal="center" vertical="center"/>
    </xf>
    <xf numFmtId="0" fontId="28" fillId="0" borderId="92" xfId="14" applyBorder="1" applyAlignment="1">
      <alignment vertical="center"/>
    </xf>
    <xf numFmtId="0" fontId="28" fillId="0" borderId="70" xfId="14" applyBorder="1" applyAlignment="1">
      <alignment vertical="center"/>
    </xf>
    <xf numFmtId="0" fontId="28" fillId="0" borderId="0" xfId="4" applyAlignment="1">
      <alignment vertical="center" wrapText="1"/>
    </xf>
    <xf numFmtId="0" fontId="28" fillId="0" borderId="0" xfId="14" applyAlignment="1">
      <alignment vertical="center" wrapText="1"/>
    </xf>
    <xf numFmtId="0" fontId="28" fillId="0" borderId="0" xfId="14" applyAlignment="1">
      <alignment horizontal="left" vertical="center"/>
    </xf>
    <xf numFmtId="191" fontId="63" fillId="0" borderId="0" xfId="14" applyNumberFormat="1" applyFont="1" applyAlignment="1">
      <alignment horizontal="center" vertical="center"/>
    </xf>
    <xf numFmtId="0" fontId="64" fillId="0" borderId="61" xfId="14" applyFont="1" applyBorder="1" applyAlignment="1">
      <alignment horizontal="center" vertical="center"/>
    </xf>
    <xf numFmtId="0" fontId="33" fillId="0" borderId="3" xfId="14" applyFont="1" applyBorder="1" applyAlignment="1">
      <alignment horizontal="center" vertical="center"/>
    </xf>
    <xf numFmtId="0" fontId="33" fillId="0" borderId="5" xfId="14" applyFont="1" applyBorder="1" applyAlignment="1">
      <alignment horizontal="center" vertical="center"/>
    </xf>
    <xf numFmtId="0" fontId="64" fillId="0" borderId="61" xfId="14" applyFont="1" applyBorder="1" applyAlignment="1">
      <alignment horizontal="center" vertical="center" shrinkToFit="1"/>
    </xf>
    <xf numFmtId="0" fontId="28" fillId="0" borderId="12" xfId="14" applyBorder="1" applyAlignment="1">
      <alignment horizontal="center" vertical="center"/>
    </xf>
    <xf numFmtId="0" fontId="28" fillId="0" borderId="4" xfId="14" applyBorder="1" applyAlignment="1">
      <alignment horizontal="center" vertical="center"/>
    </xf>
    <xf numFmtId="0" fontId="28" fillId="0" borderId="3" xfId="14" applyBorder="1" applyAlignment="1">
      <alignment horizontal="center" vertical="center"/>
    </xf>
    <xf numFmtId="0" fontId="28" fillId="0" borderId="5" xfId="14" applyBorder="1" applyAlignment="1">
      <alignment horizontal="center" vertical="center"/>
    </xf>
    <xf numFmtId="0" fontId="28" fillId="0" borderId="0" xfId="14" applyAlignment="1">
      <alignment horizontal="center" vertical="center"/>
    </xf>
    <xf numFmtId="192" fontId="65" fillId="0" borderId="93" xfId="14" applyNumberFormat="1" applyFont="1" applyBorder="1" applyAlignment="1">
      <alignment horizontal="right" vertical="center"/>
    </xf>
    <xf numFmtId="192" fontId="65" fillId="0" borderId="73" xfId="14" applyNumberFormat="1" applyFont="1" applyBorder="1" applyAlignment="1">
      <alignment horizontal="right" vertical="center"/>
    </xf>
    <xf numFmtId="192" fontId="65" fillId="0" borderId="72" xfId="14" applyNumberFormat="1" applyFont="1" applyBorder="1" applyAlignment="1">
      <alignment horizontal="right" vertical="center"/>
    </xf>
    <xf numFmtId="0" fontId="62" fillId="0" borderId="0" xfId="14" applyFont="1" applyAlignment="1">
      <alignment horizontal="center" vertical="center" wrapText="1" shrinkToFit="1"/>
    </xf>
    <xf numFmtId="0" fontId="28" fillId="0" borderId="0" xfId="14" applyAlignment="1">
      <alignment horizontal="distributed" vertical="center" shrinkToFit="1"/>
    </xf>
    <xf numFmtId="0" fontId="32" fillId="5" borderId="0" xfId="14" applyFont="1" applyFill="1" applyAlignment="1" applyProtection="1">
      <alignment horizontal="left" vertical="center" wrapText="1"/>
      <protection locked="0"/>
    </xf>
    <xf numFmtId="38" fontId="32" fillId="5" borderId="0" xfId="13" applyFont="1" applyFill="1" applyAlignment="1" applyProtection="1">
      <alignment horizontal="left" vertical="center" wrapText="1"/>
      <protection locked="0"/>
    </xf>
    <xf numFmtId="38" fontId="28" fillId="0" borderId="0" xfId="13" applyFont="1" applyAlignment="1" applyProtection="1">
      <alignment horizontal="distributed" vertical="center" shrinkToFit="1"/>
    </xf>
    <xf numFmtId="0" fontId="32" fillId="5" borderId="0" xfId="4" applyFont="1" applyFill="1" applyAlignment="1" applyProtection="1">
      <alignment horizontal="left" vertical="center" wrapText="1"/>
      <protection locked="0"/>
    </xf>
    <xf numFmtId="0" fontId="32" fillId="5" borderId="0" xfId="4" applyFont="1" applyFill="1" applyAlignment="1" applyProtection="1">
      <alignment horizontal="left" vertical="center" shrinkToFit="1"/>
      <protection locked="0"/>
    </xf>
    <xf numFmtId="0" fontId="33" fillId="0" borderId="0" xfId="3" applyFont="1" applyAlignment="1">
      <alignment horizontal="center" vertical="center" wrapText="1"/>
    </xf>
    <xf numFmtId="0" fontId="28" fillId="0" borderId="42" xfId="3" applyFont="1" applyBorder="1" applyAlignment="1">
      <alignment horizontal="distributed" vertical="center"/>
    </xf>
    <xf numFmtId="0" fontId="28" fillId="0" borderId="42" xfId="3" applyFont="1" applyBorder="1" applyAlignment="1">
      <alignment horizontal="distributed"/>
    </xf>
    <xf numFmtId="0" fontId="33" fillId="0" borderId="0" xfId="3" applyFont="1" applyAlignment="1">
      <alignment vertical="center" shrinkToFit="1"/>
    </xf>
    <xf numFmtId="0" fontId="0" fillId="0" borderId="0" xfId="0" applyAlignment="1">
      <alignment vertical="center" shrinkToFit="1"/>
    </xf>
    <xf numFmtId="0" fontId="33" fillId="0" borderId="0" xfId="3" applyFont="1" applyAlignment="1">
      <alignment vertical="center" wrapText="1" shrinkToFit="1"/>
    </xf>
    <xf numFmtId="0" fontId="57" fillId="0" borderId="0" xfId="0" applyFont="1" applyAlignment="1">
      <alignment vertical="center" wrapText="1" shrinkToFit="1"/>
    </xf>
    <xf numFmtId="0" fontId="33" fillId="0" borderId="16" xfId="3" applyFont="1" applyBorder="1" applyAlignment="1">
      <alignment horizontal="center" vertical="center"/>
    </xf>
    <xf numFmtId="0" fontId="33" fillId="0" borderId="18" xfId="3" applyFont="1" applyBorder="1" applyAlignment="1">
      <alignment horizontal="center" vertical="center"/>
    </xf>
    <xf numFmtId="0" fontId="28" fillId="0" borderId="16" xfId="3" applyFont="1" applyBorder="1" applyAlignment="1">
      <alignment horizontal="center" vertical="center"/>
    </xf>
    <xf numFmtId="0" fontId="28" fillId="0" borderId="41" xfId="3" applyFont="1" applyBorder="1" applyAlignment="1">
      <alignment horizontal="center" vertical="center"/>
    </xf>
    <xf numFmtId="0" fontId="10" fillId="0" borderId="0" xfId="3" applyAlignment="1">
      <alignment horizontal="center" wrapText="1"/>
    </xf>
    <xf numFmtId="0" fontId="28" fillId="0" borderId="46" xfId="3" applyFont="1" applyBorder="1" applyAlignment="1">
      <alignment horizontal="distributed" vertical="center"/>
    </xf>
    <xf numFmtId="0" fontId="28" fillId="0" borderId="54" xfId="3" applyFont="1" applyBorder="1" applyAlignment="1">
      <alignment horizontal="center" vertical="center"/>
    </xf>
    <xf numFmtId="0" fontId="74" fillId="0" borderId="0" xfId="5" applyFont="1" applyAlignment="1">
      <alignment horizontal="center" vertical="center"/>
    </xf>
    <xf numFmtId="0" fontId="10" fillId="0" borderId="0" xfId="3" applyAlignment="1">
      <alignment horizontal="distributed"/>
    </xf>
    <xf numFmtId="0" fontId="10" fillId="0" borderId="0" xfId="3" applyAlignment="1" applyProtection="1">
      <alignment horizontal="left" shrinkToFit="1"/>
      <protection locked="0"/>
    </xf>
    <xf numFmtId="0" fontId="10" fillId="0" borderId="0" xfId="3" applyAlignment="1">
      <alignment horizontal="left" vertical="center" wrapText="1"/>
    </xf>
    <xf numFmtId="0" fontId="10" fillId="0" borderId="18" xfId="3" applyBorder="1" applyAlignment="1">
      <alignment horizontal="center" vertical="center"/>
    </xf>
    <xf numFmtId="0" fontId="10" fillId="0" borderId="16" xfId="3" applyBorder="1" applyAlignment="1">
      <alignment horizontal="center" vertical="center"/>
    </xf>
    <xf numFmtId="0" fontId="10" fillId="0" borderId="41" xfId="3" applyBorder="1" applyAlignment="1">
      <alignment horizontal="center" vertical="center"/>
    </xf>
    <xf numFmtId="0" fontId="10" fillId="0" borderId="42" xfId="3" applyBorder="1" applyAlignment="1">
      <alignment horizontal="distributed" vertical="center" wrapText="1"/>
    </xf>
    <xf numFmtId="0" fontId="10" fillId="0" borderId="21" xfId="3" applyBorder="1" applyAlignment="1">
      <alignment horizontal="distributed"/>
    </xf>
    <xf numFmtId="0" fontId="10" fillId="0" borderId="42" xfId="3" applyBorder="1" applyAlignment="1">
      <alignment horizontal="distributed" vertical="center"/>
    </xf>
    <xf numFmtId="0" fontId="10" fillId="0" borderId="46" xfId="3" applyBorder="1" applyAlignment="1">
      <alignment horizontal="distributed" vertical="center"/>
    </xf>
    <xf numFmtId="0" fontId="10" fillId="0" borderId="42" xfId="3" applyBorder="1" applyAlignment="1">
      <alignment horizontal="distributed" wrapText="1"/>
    </xf>
    <xf numFmtId="0" fontId="10" fillId="0" borderId="21" xfId="3" applyBorder="1" applyAlignment="1">
      <alignment horizontal="distributed" wrapText="1"/>
    </xf>
    <xf numFmtId="0" fontId="10" fillId="0" borderId="14" xfId="3" applyBorder="1" applyAlignment="1">
      <alignment horizontal="distributed" vertical="center"/>
    </xf>
    <xf numFmtId="0" fontId="10" fillId="0" borderId="21" xfId="3" applyBorder="1"/>
    <xf numFmtId="0" fontId="28" fillId="0" borderId="15" xfId="3" applyFont="1" applyBorder="1" applyAlignment="1">
      <alignment horizontal="center" vertical="center"/>
    </xf>
    <xf numFmtId="0" fontId="10" fillId="0" borderId="15" xfId="3" applyBorder="1"/>
    <xf numFmtId="0" fontId="10" fillId="0" borderId="15" xfId="3" applyBorder="1" applyAlignment="1">
      <alignment horizontal="distributed" vertical="center" wrapText="1"/>
    </xf>
    <xf numFmtId="0" fontId="10" fillId="0" borderId="20" xfId="3" applyBorder="1" applyAlignment="1">
      <alignment horizontal="distributed" wrapText="1"/>
    </xf>
    <xf numFmtId="0" fontId="10" fillId="0" borderId="1" xfId="3" applyBorder="1" applyAlignment="1">
      <alignment horizontal="distributed" wrapText="1"/>
    </xf>
    <xf numFmtId="0" fontId="10" fillId="0" borderId="23" xfId="3" applyBorder="1" applyAlignment="1">
      <alignment horizontal="distributed" wrapText="1"/>
    </xf>
    <xf numFmtId="180" fontId="30" fillId="0" borderId="10" xfId="3" applyNumberFormat="1" applyFont="1" applyBorder="1"/>
    <xf numFmtId="0" fontId="10" fillId="0" borderId="9" xfId="3" applyBorder="1"/>
    <xf numFmtId="0" fontId="10" fillId="0" borderId="47" xfId="3" applyBorder="1"/>
    <xf numFmtId="0" fontId="10" fillId="0" borderId="67" xfId="3" applyBorder="1" applyAlignment="1">
      <alignment horizontal="distributed" vertical="center" wrapText="1"/>
    </xf>
    <xf numFmtId="0" fontId="10" fillId="0" borderId="75" xfId="3" applyBorder="1" applyAlignment="1">
      <alignment horizontal="distributed"/>
    </xf>
    <xf numFmtId="0" fontId="10" fillId="0" borderId="68" xfId="3" applyBorder="1" applyAlignment="1">
      <alignment horizontal="distributed"/>
    </xf>
    <xf numFmtId="0" fontId="8" fillId="0" borderId="10" xfId="3" applyFont="1" applyBorder="1" applyAlignment="1">
      <alignment horizontal="distributed" vertical="center" wrapText="1"/>
    </xf>
    <xf numFmtId="0" fontId="8" fillId="0" borderId="6" xfId="3" applyFont="1" applyBorder="1" applyAlignment="1">
      <alignment horizontal="distributed" vertical="center" wrapText="1"/>
    </xf>
    <xf numFmtId="180" fontId="30" fillId="0" borderId="6" xfId="3" applyNumberFormat="1" applyFont="1" applyBorder="1"/>
    <xf numFmtId="0" fontId="10" fillId="0" borderId="67" xfId="3" applyBorder="1" applyAlignment="1">
      <alignment horizontal="distributed" vertical="center"/>
    </xf>
    <xf numFmtId="0" fontId="10" fillId="0" borderId="52" xfId="3" applyBorder="1" applyAlignment="1">
      <alignment horizontal="distributed" vertical="center"/>
    </xf>
    <xf numFmtId="0" fontId="10" fillId="0" borderId="53" xfId="3" applyBorder="1" applyAlignment="1">
      <alignment horizontal="distributed"/>
    </xf>
    <xf numFmtId="0" fontId="10" fillId="0" borderId="54" xfId="3" applyBorder="1" applyAlignment="1">
      <alignment horizontal="distributed"/>
    </xf>
    <xf numFmtId="0" fontId="10" fillId="0" borderId="55" xfId="3" applyBorder="1" applyAlignment="1">
      <alignment horizontal="distributed"/>
    </xf>
    <xf numFmtId="0" fontId="74" fillId="0" borderId="0" xfId="5" applyFont="1" applyAlignment="1" applyProtection="1">
      <alignment horizontal="left" vertical="center" shrinkToFit="1"/>
      <protection locked="0"/>
    </xf>
    <xf numFmtId="0" fontId="75" fillId="0" borderId="0" xfId="5" applyFont="1" applyAlignment="1">
      <alignment horizontal="center" vertical="center"/>
    </xf>
    <xf numFmtId="0" fontId="76" fillId="0" borderId="0" xfId="5" applyFont="1" applyAlignment="1">
      <alignment horizontal="center" vertical="center"/>
    </xf>
    <xf numFmtId="0" fontId="74" fillId="0" borderId="0" xfId="5" applyFont="1" applyAlignment="1" applyProtection="1">
      <alignment shrinkToFit="1"/>
      <protection locked="0"/>
    </xf>
  </cellXfs>
  <cellStyles count="18">
    <cellStyle name="パーセント 2" xfId="12" xr:uid="{6C8262E2-4CF7-46EB-AE05-7C35121F80C8}"/>
    <cellStyle name="ハイパーリンク" xfId="7" builtinId="8"/>
    <cellStyle name="桁区切り" xfId="17" builtinId="6"/>
    <cellStyle name="桁区切り 2" xfId="13" xr:uid="{FD517B2C-F9D5-42D6-BE84-4A9360624CB9}"/>
    <cellStyle name="桁区切り 4" xfId="6" xr:uid="{0C815BD3-3CDF-41D1-8AFA-0C54B0C1595F}"/>
    <cellStyle name="標準" xfId="0" builtinId="0"/>
    <cellStyle name="標準 14" xfId="5" xr:uid="{46245972-EBAC-492F-A1EC-6764277453A9}"/>
    <cellStyle name="標準 2" xfId="3" xr:uid="{00BDD4EB-149C-4756-9B93-37B01716852E}"/>
    <cellStyle name="標準 2 2" xfId="9" xr:uid="{CC6F3CB3-5060-4086-81F5-7980A9C254AE}"/>
    <cellStyle name="標準 2 3" xfId="14" xr:uid="{2749F4BF-2C77-458D-963A-A5C37007F79B}"/>
    <cellStyle name="標準 3" xfId="11" xr:uid="{FF004E05-5B40-4B91-9824-05DC95C50F1A}"/>
    <cellStyle name="標準 3 2" xfId="15" xr:uid="{E1F7E3DA-00B5-4A33-9ED9-D5D682FB8D2D}"/>
    <cellStyle name="標準 3 4" xfId="8" xr:uid="{FF5E1DCF-8525-497A-A76B-B37E9E9AA3B4}"/>
    <cellStyle name="標準 4" xfId="16" xr:uid="{9CA0EDD3-BDBF-45CE-8113-61BA69DC1246}"/>
    <cellStyle name="標準 6 2" xfId="10" xr:uid="{5E777D77-FCFD-4072-9A19-433B4F439E38}"/>
    <cellStyle name="標準_Sheet1" xfId="2" xr:uid="{C8ABFD82-73CE-4718-8F18-6A61157CC3BE}"/>
    <cellStyle name="標準_Sheet1_確定通知 (2)" xfId="4" xr:uid="{6CC2FCBB-CF0F-4E19-8EA7-4E4E8B0CFD13}"/>
    <cellStyle name="標準_職員名簿" xfId="1" xr:uid="{AEAE0195-782F-4290-8BA6-5806B7D9305D}"/>
  </cellStyles>
  <dxfs count="122">
    <dxf>
      <fill>
        <patternFill>
          <bgColor rgb="FFFFFF00"/>
        </patternFill>
      </fill>
    </dxf>
    <dxf>
      <fill>
        <patternFill>
          <bgColor rgb="FFFFFF00"/>
        </patternFill>
      </fill>
    </dxf>
    <dxf>
      <fill>
        <patternFill>
          <bgColor rgb="FFFFFF00"/>
        </patternFill>
      </fill>
    </dxf>
    <dxf>
      <fill>
        <patternFill>
          <bgColor rgb="FFFFFF00"/>
        </patternFill>
      </fill>
    </dxf>
    <dxf>
      <font>
        <u/>
        <color auto="1"/>
      </font>
      <fill>
        <patternFill>
          <bgColor rgb="FFFFFF00"/>
        </patternFill>
      </fill>
    </dxf>
    <dxf>
      <font>
        <b/>
        <i val="0"/>
        <color theme="0"/>
      </font>
      <fill>
        <patternFill>
          <bgColor rgb="FFFF0000"/>
        </patternFill>
      </fill>
    </dxf>
    <dxf>
      <font>
        <color auto="1"/>
      </font>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rgb="FF9C0006"/>
      </font>
      <fill>
        <patternFill>
          <bgColor rgb="FFFFC7CE"/>
        </patternFill>
      </fill>
    </dxf>
    <dxf>
      <fill>
        <patternFill>
          <bgColor rgb="FFFFFF00"/>
        </patternFill>
      </fill>
    </dxf>
    <dxf>
      <font>
        <b/>
        <i val="0"/>
        <color theme="0"/>
      </font>
      <fill>
        <patternFill>
          <bgColor rgb="FFFF0000"/>
        </patternFill>
      </fill>
    </dxf>
    <dxf>
      <fill>
        <patternFill>
          <bgColor theme="1"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rgb="FFFF0000"/>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theme="1"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s>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8.emf"/></Relationships>
</file>

<file path=xl/drawings/_rels/drawing20.xml.rels><?xml version="1.0" encoding="UTF-8" standalone="yes"?>
<Relationships xmlns="http://schemas.openxmlformats.org/package/2006/relationships"><Relationship Id="rId1" Type="http://schemas.openxmlformats.org/officeDocument/2006/relationships/image" Target="../media/image8.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3.xml.rels><?xml version="1.0" encoding="UTF-8" standalone="yes"?>
<Relationships xmlns="http://schemas.openxmlformats.org/package/2006/relationships"><Relationship Id="rId1" Type="http://schemas.openxmlformats.org/officeDocument/2006/relationships/image" Target="../media/image8.emf"/></Relationships>
</file>

<file path=xl/drawings/_rels/drawing24.xml.rels><?xml version="1.0" encoding="UTF-8" standalone="yes"?>
<Relationships xmlns="http://schemas.openxmlformats.org/package/2006/relationships"><Relationship Id="rId1" Type="http://schemas.openxmlformats.org/officeDocument/2006/relationships/image" Target="../media/image8.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4</xdr:col>
      <xdr:colOff>952500</xdr:colOff>
      <xdr:row>0</xdr:row>
      <xdr:rowOff>0</xdr:rowOff>
    </xdr:from>
    <xdr:to>
      <xdr:col>11</xdr:col>
      <xdr:colOff>11207</xdr:colOff>
      <xdr:row>2</xdr:row>
      <xdr:rowOff>22413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67400" y="0"/>
          <a:ext cx="5869082" cy="1832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twoCellAnchor>
    <xdr:from>
      <xdr:col>0</xdr:col>
      <xdr:colOff>11206</xdr:colOff>
      <xdr:row>1</xdr:row>
      <xdr:rowOff>324971</xdr:rowOff>
    </xdr:from>
    <xdr:to>
      <xdr:col>2</xdr:col>
      <xdr:colOff>2678206</xdr:colOff>
      <xdr:row>3</xdr:row>
      <xdr:rowOff>78441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06" y="1791821"/>
          <a:ext cx="4181475" cy="4011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使う場合は、全体を選択してコピー先に値貼り付けしてください。</a:t>
          </a:r>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268942</xdr:colOff>
      <xdr:row>1</xdr:row>
      <xdr:rowOff>33617</xdr:rowOff>
    </xdr:from>
    <xdr:to>
      <xdr:col>19</xdr:col>
      <xdr:colOff>2</xdr:colOff>
      <xdr:row>3</xdr:row>
      <xdr:rowOff>67235</xdr:rowOff>
    </xdr:to>
    <xdr:sp macro="" textlink="">
      <xdr:nvSpPr>
        <xdr:cNvPr id="7" name="吹き出し: 四角形 6">
          <a:extLst>
            <a:ext uri="{FF2B5EF4-FFF2-40B4-BE49-F238E27FC236}">
              <a16:creationId xmlns:a16="http://schemas.microsoft.com/office/drawing/2014/main" id="{00000000-0008-0000-0A00-000007000000}"/>
            </a:ext>
          </a:extLst>
        </xdr:cNvPr>
        <xdr:cNvSpPr/>
      </xdr:nvSpPr>
      <xdr:spPr>
        <a:xfrm>
          <a:off x="2084295" y="347382"/>
          <a:ext cx="4840942" cy="481853"/>
        </a:xfrm>
        <a:prstGeom prst="wedgeRectCallout">
          <a:avLst>
            <a:gd name="adj1" fmla="val 8925"/>
            <a:gd name="adj2" fmla="val 72222"/>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Ｐゴシック" panose="020B0600070205080204" pitchFamily="50" charset="-128"/>
              <a:ea typeface="ＭＳ Ｐゴシック" panose="020B0600070205080204" pitchFamily="50" charset="-128"/>
            </a:rPr>
            <a:t>一番左の欄の「職種」に関連する資格以外の資格については、Ｅｘｃｅｌの便宜上入力不要です。</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例）職種が「保育士」の場合、「看護師」資格を有していても、この欄への記載は不要です。</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498103</xdr:colOff>
      <xdr:row>1</xdr:row>
      <xdr:rowOff>188819</xdr:rowOff>
    </xdr:from>
    <xdr:to>
      <xdr:col>22</xdr:col>
      <xdr:colOff>688602</xdr:colOff>
      <xdr:row>5</xdr:row>
      <xdr:rowOff>86846</xdr:rowOff>
    </xdr:to>
    <xdr:cxnSp macro="">
      <xdr:nvCxnSpPr>
        <xdr:cNvPr id="8" name="直線コネクタ 7">
          <a:extLst>
            <a:ext uri="{FF2B5EF4-FFF2-40B4-BE49-F238E27FC236}">
              <a16:creationId xmlns:a16="http://schemas.microsoft.com/office/drawing/2014/main" id="{00000000-0008-0000-0A00-000008000000}"/>
            </a:ext>
          </a:extLst>
        </xdr:cNvPr>
        <xdr:cNvCxnSpPr/>
      </xdr:nvCxnSpPr>
      <xdr:spPr>
        <a:xfrm flipH="1">
          <a:off x="9608485" y="502584"/>
          <a:ext cx="190499" cy="704850"/>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302559</xdr:colOff>
      <xdr:row>0</xdr:row>
      <xdr:rowOff>112058</xdr:rowOff>
    </xdr:from>
    <xdr:to>
      <xdr:col>23</xdr:col>
      <xdr:colOff>483534</xdr:colOff>
      <xdr:row>1</xdr:row>
      <xdr:rowOff>198344</xdr:rowOff>
    </xdr:to>
    <xdr:sp macro="" textlink="">
      <xdr:nvSpPr>
        <xdr:cNvPr id="10" name="吹き出し: 四角形 9">
          <a:extLst>
            <a:ext uri="{FF2B5EF4-FFF2-40B4-BE49-F238E27FC236}">
              <a16:creationId xmlns:a16="http://schemas.microsoft.com/office/drawing/2014/main" id="{00000000-0008-0000-0A00-00000A000000}"/>
            </a:ext>
          </a:extLst>
        </xdr:cNvPr>
        <xdr:cNvSpPr/>
      </xdr:nvSpPr>
      <xdr:spPr>
        <a:xfrm>
          <a:off x="8684559" y="112058"/>
          <a:ext cx="1704975" cy="400051"/>
        </a:xfrm>
        <a:prstGeom prst="wedgeRectCallout">
          <a:avLst>
            <a:gd name="adj1" fmla="val 7305"/>
            <a:gd name="adj2" fmla="val -7340"/>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Ｐゴシック" panose="020B0600070205080204" pitchFamily="50" charset="-128"/>
              <a:ea typeface="ＭＳ Ｐゴシック" panose="020B0600070205080204" pitchFamily="50" charset="-128"/>
            </a:rPr>
            <a:t>キッズガードの方の場合は、「キッズガード」をご選択ください。</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170344</xdr:colOff>
      <xdr:row>6</xdr:row>
      <xdr:rowOff>170125</xdr:rowOff>
    </xdr:from>
    <xdr:to>
      <xdr:col>33</xdr:col>
      <xdr:colOff>24405</xdr:colOff>
      <xdr:row>12</xdr:row>
      <xdr:rowOff>238380</xdr:rowOff>
    </xdr:to>
    <xdr:sp macro="" textlink="">
      <xdr:nvSpPr>
        <xdr:cNvPr id="9" name="テキスト ボックス 31">
          <a:extLst>
            <a:ext uri="{FF2B5EF4-FFF2-40B4-BE49-F238E27FC236}">
              <a16:creationId xmlns:a16="http://schemas.microsoft.com/office/drawing/2014/main" id="{00000000-0008-0000-0A00-000009000000}"/>
            </a:ext>
          </a:extLst>
        </xdr:cNvPr>
        <xdr:cNvSpPr txBox="1"/>
      </xdr:nvSpPr>
      <xdr:spPr>
        <a:xfrm>
          <a:off x="10783915" y="2156768"/>
          <a:ext cx="5582669" cy="1782755"/>
        </a:xfrm>
        <a:prstGeom prst="rect">
          <a:avLst/>
        </a:prstGeom>
        <a:solidFill>
          <a:srgbClr val="FF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【注意点】</a:t>
          </a:r>
        </a:p>
        <a:p>
          <a:pPr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05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１人の職員が複数の業務を兼務（例えば、通常保育と延長保育）する</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、あるいは</a:t>
          </a:r>
          <a:r>
            <a:rPr lang="ja-JP" sz="105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他園でのヘルプなどをしている場合</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には、便宜上、勤務形態を「パート・非常勤」として、勤務時間を切り分けていただき、後述の「勤務時間数入力シート（シート②－２）」に</a:t>
          </a:r>
          <a:r>
            <a:rPr lang="ja-JP" sz="105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申請園における通常保育の勤務時間のみを入力</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する必要があります。</a:t>
          </a:r>
        </a:p>
        <a:p>
          <a:pPr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（例）正規職員</a:t>
          </a:r>
          <a:r>
            <a:rPr lang="ja-JP" sz="1050" kern="100" baseline="300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がある月において１００時間を申請園での通常保育、</a:t>
          </a:r>
        </a:p>
        <a:p>
          <a:pPr indent="400050"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６０時間を延長保育（あるいは他園でのヘルプ）をしている場合</a:t>
          </a:r>
        </a:p>
        <a:p>
          <a:pPr indent="133350"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　　　→　便宜上、「パート・非常勤」として、１００時間のみ入力</a:t>
          </a:r>
        </a:p>
        <a:p>
          <a:pPr indent="133350"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※園で定める常勤時間数が１６０時間の場合</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22</xdr:col>
      <xdr:colOff>411389</xdr:colOff>
      <xdr:row>5</xdr:row>
      <xdr:rowOff>561067</xdr:rowOff>
    </xdr:from>
    <xdr:to>
      <xdr:col>24</xdr:col>
      <xdr:colOff>340179</xdr:colOff>
      <xdr:row>6</xdr:row>
      <xdr:rowOff>180068</xdr:rowOff>
    </xdr:to>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a:off x="9521771" y="1681655"/>
          <a:ext cx="1396761" cy="481854"/>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64060</xdr:colOff>
      <xdr:row>0</xdr:row>
      <xdr:rowOff>208056</xdr:rowOff>
    </xdr:from>
    <xdr:to>
      <xdr:col>32</xdr:col>
      <xdr:colOff>563469</xdr:colOff>
      <xdr:row>5</xdr:row>
      <xdr:rowOff>100853</xdr:rowOff>
    </xdr:to>
    <xdr:sp macro="" textlink="">
      <xdr:nvSpPr>
        <xdr:cNvPr id="2" name="テキスト ボックス 1">
          <a:extLst>
            <a:ext uri="{FF2B5EF4-FFF2-40B4-BE49-F238E27FC236}">
              <a16:creationId xmlns:a16="http://schemas.microsoft.com/office/drawing/2014/main" id="{D49A14F6-3DBF-733D-6A0E-DDF0EC602280}"/>
            </a:ext>
          </a:extLst>
        </xdr:cNvPr>
        <xdr:cNvSpPr txBox="1"/>
      </xdr:nvSpPr>
      <xdr:spPr>
        <a:xfrm>
          <a:off x="10642413" y="208056"/>
          <a:ext cx="5564468" cy="1013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none">
              <a:latin typeface="BIZ UDPゴシック" panose="020B0400000000000000" pitchFamily="50" charset="-128"/>
              <a:ea typeface="BIZ UDPゴシック" panose="020B0400000000000000" pitchFamily="50" charset="-128"/>
            </a:rPr>
            <a:t>※</a:t>
          </a:r>
          <a:r>
            <a:rPr kumimoji="1" lang="ja-JP" altLang="en-US" sz="1100" u="none">
              <a:latin typeface="BIZ UDPゴシック" panose="020B0400000000000000" pitchFamily="50" charset="-128"/>
              <a:ea typeface="BIZ UDPゴシック" panose="020B0400000000000000" pitchFamily="50" charset="-128"/>
            </a:rPr>
            <a:t>令和</a:t>
          </a:r>
          <a:r>
            <a:rPr kumimoji="1" lang="en-US" altLang="ja-JP" sz="1100" u="none">
              <a:latin typeface="BIZ UDPゴシック" panose="020B0400000000000000" pitchFamily="50" charset="-128"/>
              <a:ea typeface="BIZ UDPゴシック" panose="020B0400000000000000" pitchFamily="50" charset="-128"/>
            </a:rPr>
            <a:t>7</a:t>
          </a:r>
          <a:r>
            <a:rPr kumimoji="1" lang="ja-JP" altLang="en-US" sz="1100" u="none">
              <a:latin typeface="BIZ UDPゴシック" panose="020B0400000000000000" pitchFamily="50" charset="-128"/>
              <a:ea typeface="BIZ UDPゴシック" panose="020B0400000000000000" pitchFamily="50" charset="-128"/>
            </a:rPr>
            <a:t>年</a:t>
          </a:r>
          <a:r>
            <a:rPr kumimoji="1" lang="en-US" altLang="ja-JP" sz="1100" u="none">
              <a:latin typeface="BIZ UDPゴシック" panose="020B0400000000000000" pitchFamily="50" charset="-128"/>
              <a:ea typeface="BIZ UDPゴシック" panose="020B0400000000000000" pitchFamily="50" charset="-128"/>
            </a:rPr>
            <a:t>4</a:t>
          </a:r>
          <a:r>
            <a:rPr kumimoji="1" lang="ja-JP" altLang="en-US" sz="1100" u="none">
              <a:latin typeface="BIZ UDPゴシック" panose="020B0400000000000000" pitchFamily="50" charset="-128"/>
              <a:ea typeface="BIZ UDPゴシック" panose="020B0400000000000000" pitchFamily="50" charset="-128"/>
            </a:rPr>
            <a:t>月</a:t>
          </a:r>
          <a:r>
            <a:rPr kumimoji="1" lang="en-US" altLang="ja-JP" sz="1100" u="none">
              <a:latin typeface="BIZ UDPゴシック" panose="020B0400000000000000" pitchFamily="50" charset="-128"/>
              <a:ea typeface="BIZ UDPゴシック" panose="020B0400000000000000" pitchFamily="50" charset="-128"/>
            </a:rPr>
            <a:t>1</a:t>
          </a:r>
          <a:r>
            <a:rPr kumimoji="1" lang="ja-JP" altLang="en-US" sz="1100" u="none">
              <a:latin typeface="BIZ UDPゴシック" panose="020B0400000000000000" pitchFamily="50" charset="-128"/>
              <a:ea typeface="BIZ UDPゴシック" panose="020B0400000000000000" pitchFamily="50" charset="-128"/>
            </a:rPr>
            <a:t>日以降に在籍する職員（嘱託・パート含む）を記入してください。</a:t>
          </a:r>
          <a:endParaRPr kumimoji="1" lang="en-US" altLang="ja-JP" sz="1100" u="none">
            <a:latin typeface="BIZ UDPゴシック" panose="020B0400000000000000" pitchFamily="50" charset="-128"/>
            <a:ea typeface="BIZ UDPゴシック" panose="020B0400000000000000" pitchFamily="50" charset="-128"/>
          </a:endParaRPr>
        </a:p>
        <a:p>
          <a:r>
            <a:rPr kumimoji="1" lang="en-US" altLang="ja-JP" sz="1100" u="none">
              <a:latin typeface="BIZ UDPゴシック" panose="020B0400000000000000" pitchFamily="50" charset="-128"/>
              <a:ea typeface="BIZ UDPゴシック" panose="020B0400000000000000" pitchFamily="50" charset="-128"/>
            </a:rPr>
            <a:t>※</a:t>
          </a:r>
          <a:r>
            <a:rPr kumimoji="1" lang="ja-JP" altLang="en-US" sz="1100" u="none">
              <a:latin typeface="BIZ UDPゴシック" panose="020B0400000000000000" pitchFamily="50" charset="-128"/>
              <a:ea typeface="BIZ UDPゴシック" panose="020B0400000000000000" pitchFamily="50" charset="-128"/>
            </a:rPr>
            <a:t>勤務形態について　</a:t>
          </a:r>
          <a:r>
            <a:rPr kumimoji="1" lang="ja-JP" altLang="en-US" sz="1100" u="none">
              <a:solidFill>
                <a:srgbClr val="FF0000"/>
              </a:solidFill>
              <a:latin typeface="BIZ UDPゴシック" panose="020B0400000000000000" pitchFamily="50" charset="-128"/>
              <a:ea typeface="BIZ UDPゴシック" panose="020B0400000000000000" pitchFamily="50" charset="-128"/>
            </a:rPr>
            <a:t>常：（補助金）園の就業規則で定める常勤時間以上の勤務を行う者</a:t>
          </a:r>
          <a:endParaRPr kumimoji="1" lang="en-US" altLang="ja-JP" sz="1100" u="none">
            <a:solidFill>
              <a:srgbClr val="FF0000"/>
            </a:solidFill>
            <a:latin typeface="BIZ UDPゴシック" panose="020B0400000000000000" pitchFamily="50" charset="-128"/>
            <a:ea typeface="BIZ UDPゴシック" panose="020B0400000000000000" pitchFamily="50" charset="-128"/>
          </a:endParaRPr>
        </a:p>
        <a:p>
          <a:r>
            <a:rPr kumimoji="1" lang="ja-JP" altLang="en-US" sz="1100" u="none">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給付費</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）園の就業規則で定める常勤時間以上の勤務を行う者</a:t>
          </a:r>
          <a:endParaRPr kumimoji="1" lang="en-US" altLang="ja-JP" sz="1100" u="none">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100" u="none" baseline="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非</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：（補助金）園の就業規則で定める常勤時間</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未満</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の勤務を行う者</a:t>
          </a:r>
          <a:endParaRPr lang="ja-JP" altLang="ja-JP" u="none">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　　　　　　　　　　　　　　　　：（給付費）園の就業規則で定める常勤時間</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未満</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の勤務を行う者</a:t>
          </a:r>
          <a:endParaRPr lang="ja-JP" altLang="ja-JP" u="none">
            <a:solidFill>
              <a:srgbClr val="FF0000"/>
            </a:solidFill>
            <a:effectLst/>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p>
      </xdr:txBody>
    </xdr:sp>
    <xdr:clientData/>
  </xdr:twoCellAnchor>
  <mc:AlternateContent xmlns:mc="http://schemas.openxmlformats.org/markup-compatibility/2006">
    <mc:Choice xmlns:a14="http://schemas.microsoft.com/office/drawing/2010/main" Requires="a14">
      <xdr:twoCellAnchor editAs="oneCell">
        <xdr:from>
          <xdr:col>24</xdr:col>
          <xdr:colOff>63313</xdr:colOff>
          <xdr:row>13</xdr:row>
          <xdr:rowOff>24093</xdr:rowOff>
        </xdr:from>
        <xdr:to>
          <xdr:col>35</xdr:col>
          <xdr:colOff>542737</xdr:colOff>
          <xdr:row>29</xdr:row>
          <xdr:rowOff>286871</xdr:rowOff>
        </xdr:to>
        <xdr:pic>
          <xdr:nvPicPr>
            <xdr:cNvPr id="3" name="図 2">
              <a:extLst>
                <a:ext uri="{FF2B5EF4-FFF2-40B4-BE49-F238E27FC236}">
                  <a16:creationId xmlns:a16="http://schemas.microsoft.com/office/drawing/2014/main" id="{28A113A6-A633-9D12-8396-2E1337160104}"/>
                </a:ext>
              </a:extLst>
            </xdr:cNvPr>
            <xdr:cNvPicPr>
              <a:picLocks noChangeAspect="1" noChangeArrowheads="1"/>
              <a:extLst>
                <a:ext uri="{84589F7E-364E-4C9E-8A38-B11213B215E9}">
                  <a14:cameraTool cellRange="$BK$135:$BL$151" spid="_x0000_s112326"/>
                </a:ext>
              </a:extLst>
            </xdr:cNvPicPr>
          </xdr:nvPicPr>
          <xdr:blipFill>
            <a:blip xmlns:r="http://schemas.openxmlformats.org/officeDocument/2006/relationships" r:embed="rId1"/>
            <a:srcRect/>
            <a:stretch>
              <a:fillRect/>
            </a:stretch>
          </xdr:blipFill>
          <xdr:spPr bwMode="auto">
            <a:xfrm>
              <a:off x="10641666" y="4047005"/>
              <a:ext cx="7366186" cy="49244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6</xdr:col>
      <xdr:colOff>59204</xdr:colOff>
      <xdr:row>6</xdr:row>
      <xdr:rowOff>36791</xdr:rowOff>
    </xdr:from>
    <xdr:to>
      <xdr:col>17</xdr:col>
      <xdr:colOff>505310</xdr:colOff>
      <xdr:row>12</xdr:row>
      <xdr:rowOff>61630</xdr:rowOff>
    </xdr:to>
    <xdr:sp macro="" textlink="">
      <xdr:nvSpPr>
        <xdr:cNvPr id="4" name="テキスト ボックス 30">
          <a:extLst>
            <a:ext uri="{FF2B5EF4-FFF2-40B4-BE49-F238E27FC236}">
              <a16:creationId xmlns:a16="http://schemas.microsoft.com/office/drawing/2014/main" id="{00000000-0008-0000-0B00-000004000000}"/>
            </a:ext>
          </a:extLst>
        </xdr:cNvPr>
        <xdr:cNvSpPr txBox="1"/>
      </xdr:nvSpPr>
      <xdr:spPr>
        <a:xfrm>
          <a:off x="4037292" y="2289173"/>
          <a:ext cx="6239547" cy="1772957"/>
        </a:xfrm>
        <a:prstGeom prst="rect">
          <a:avLst/>
        </a:prstGeom>
        <a:solidFill>
          <a:schemeClr val="lt1"/>
        </a:solidFill>
        <a:ln w="6350">
          <a:solidFill>
            <a:prstClr val="black"/>
          </a:solid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〇勤務時間数に算入できないケース</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・欠勤など、園が人件費を支払っていない場合</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・国等からの補助金（ハローワークからの小学校休業等対応助成金など）が出ている場合</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この場合は、勤務時間数から、国から出た補助金の金額を時給で割り返した時間数を、除いてください。</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例）勤務時間数１００時間、時給１千円、国から１万円補助が出た場合</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　１００時間　－　１万円÷１千円　＝　９０時間</a:t>
          </a:r>
        </a:p>
        <a:p>
          <a:pPr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〇勤務時間数に算入できるケース</a:t>
          </a:r>
        </a:p>
        <a:p>
          <a:pPr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・有給休暇や特別休暇など、園が人件費を支払っている場合</a:t>
          </a:r>
        </a:p>
        <a:p>
          <a:pPr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・休園中に休業手当を出した場合</a:t>
          </a:r>
          <a:r>
            <a:rPr lang="ja-JP" altLang="en-US"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等</a:t>
          </a: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は、時給で割り返した時間数分を、勤務時間数としてください。</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例）時給１千円、園から休業手当１万円を出した場合</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　１万円　÷　１千円　＝　１０時間</a:t>
          </a:r>
        </a:p>
        <a:p>
          <a:pPr algn="just">
            <a:lnSpc>
              <a:spcPts val="1200"/>
            </a:lnSpc>
            <a:spcAft>
              <a:spcPts val="0"/>
            </a:spcAft>
          </a:pPr>
          <a:r>
            <a:rPr lang="en-US" sz="800" kern="100">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67236</xdr:colOff>
      <xdr:row>4</xdr:row>
      <xdr:rowOff>438713</xdr:rowOff>
    </xdr:from>
    <xdr:to>
      <xdr:col>15</xdr:col>
      <xdr:colOff>68058</xdr:colOff>
      <xdr:row>5</xdr:row>
      <xdr:rowOff>671048</xdr:rowOff>
    </xdr:to>
    <xdr:sp macro="" textlink="">
      <xdr:nvSpPr>
        <xdr:cNvPr id="6" name="テキスト ボックス 3">
          <a:extLst>
            <a:ext uri="{FF2B5EF4-FFF2-40B4-BE49-F238E27FC236}">
              <a16:creationId xmlns:a16="http://schemas.microsoft.com/office/drawing/2014/main" id="{00000000-0008-0000-0B00-000006000000}"/>
            </a:ext>
          </a:extLst>
        </xdr:cNvPr>
        <xdr:cNvSpPr txBox="1"/>
      </xdr:nvSpPr>
      <xdr:spPr>
        <a:xfrm>
          <a:off x="4045324" y="1301566"/>
          <a:ext cx="4740910" cy="9271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【補足： 常勤保育士及び短時間保育士の定義】</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当該補助金については、令和４年度以前と同様、以下の定義で入力をお願いします。</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　常　勤：園の就業規則で定める常勤時間</a:t>
          </a:r>
          <a:r>
            <a:rPr lang="ja-JP" sz="900" u="sng">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以上</a:t>
          </a: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の勤務を行う者</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非常勤：園の就業規則で定める常勤時間</a:t>
          </a:r>
          <a:r>
            <a:rPr lang="ja-JP" sz="900" u="sng">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未満</a:t>
          </a: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の勤務を行う者</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1000">
              <a:effectLst/>
              <a:latin typeface="BIZ UDPゴシック" panose="020B0400000000000000" pitchFamily="50" charset="-128"/>
              <a:ea typeface="BIZ UDPゴシック" panose="020B0400000000000000" pitchFamily="50" charset="-128"/>
              <a:cs typeface="ＭＳ Ｐゴシック" panose="020B0600070205080204" pitchFamily="50" charset="-128"/>
            </a:rPr>
            <a:t>　※今後、国等の動向を踏まえ、変更する場合は別途ご連絡いたします。</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62753</xdr:colOff>
          <xdr:row>12</xdr:row>
          <xdr:rowOff>126626</xdr:rowOff>
        </xdr:from>
        <xdr:to>
          <xdr:col>18</xdr:col>
          <xdr:colOff>31003</xdr:colOff>
          <xdr:row>24</xdr:row>
          <xdr:rowOff>174251</xdr:rowOff>
        </xdr:to>
        <xdr:pic>
          <xdr:nvPicPr>
            <xdr:cNvPr id="5" name="図 4">
              <a:extLst>
                <a:ext uri="{FF2B5EF4-FFF2-40B4-BE49-F238E27FC236}">
                  <a16:creationId xmlns:a16="http://schemas.microsoft.com/office/drawing/2014/main" id="{42B55C18-B5B2-C600-B9F1-0D17E71C01F3}"/>
                </a:ext>
              </a:extLst>
            </xdr:cNvPr>
            <xdr:cNvPicPr>
              <a:picLocks noChangeAspect="1" noChangeArrowheads="1"/>
              <a:extLst>
                <a:ext uri="{84589F7E-364E-4C9E-8A38-B11213B215E9}">
                  <a14:cameraTool cellRange="$F$122:$Q$125" spid="_x0000_s50228"/>
                </a:ext>
              </a:extLst>
            </xdr:cNvPicPr>
          </xdr:nvPicPr>
          <xdr:blipFill>
            <a:blip xmlns:r="http://schemas.openxmlformats.org/officeDocument/2006/relationships" r:embed="rId1"/>
            <a:srcRect/>
            <a:stretch>
              <a:fillRect/>
            </a:stretch>
          </xdr:blipFill>
          <xdr:spPr bwMode="auto">
            <a:xfrm>
              <a:off x="4040841" y="4127126"/>
              <a:ext cx="6291543" cy="354386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153706</xdr:colOff>
      <xdr:row>21</xdr:row>
      <xdr:rowOff>46453</xdr:rowOff>
    </xdr:from>
    <xdr:to>
      <xdr:col>9</xdr:col>
      <xdr:colOff>268913</xdr:colOff>
      <xdr:row>36</xdr:row>
      <xdr:rowOff>133672</xdr:rowOff>
    </xdr:to>
    <xdr:sp macro="" textlink="">
      <xdr:nvSpPr>
        <xdr:cNvPr id="4" name="矢印: 上 3">
          <a:extLst>
            <a:ext uri="{FF2B5EF4-FFF2-40B4-BE49-F238E27FC236}">
              <a16:creationId xmlns:a16="http://schemas.microsoft.com/office/drawing/2014/main" id="{00000000-0008-0000-0C00-000004000000}"/>
            </a:ext>
          </a:extLst>
        </xdr:cNvPr>
        <xdr:cNvSpPr/>
      </xdr:nvSpPr>
      <xdr:spPr>
        <a:xfrm>
          <a:off x="153706" y="6176071"/>
          <a:ext cx="4788060" cy="2440454"/>
        </a:xfrm>
        <a:prstGeom prst="upArrow">
          <a:avLst>
            <a:gd name="adj1" fmla="val 7129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Ｂ列～Ｈ列は、各月の初日現在の入所児童数（管外受託の児童を含む）を記載してください。</a:t>
          </a:r>
        </a:p>
      </xdr:txBody>
    </xdr:sp>
    <xdr:clientData/>
  </xdr:twoCellAnchor>
  <xdr:twoCellAnchor>
    <xdr:from>
      <xdr:col>0</xdr:col>
      <xdr:colOff>0</xdr:colOff>
      <xdr:row>37</xdr:row>
      <xdr:rowOff>27272</xdr:rowOff>
    </xdr:from>
    <xdr:to>
      <xdr:col>20</xdr:col>
      <xdr:colOff>661147</xdr:colOff>
      <xdr:row>51</xdr:row>
      <xdr:rowOff>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0" y="5462125"/>
          <a:ext cx="12785912" cy="21690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１　年齢別児童数は、通常教育・保育を行っている児童数を入力してください。（一時預かりの児童は除きます（</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号児童の県特別支援対象者は含む）。）</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縦割り保育・教育をしているクラスは、同じ横軸に異年齢がいる形になります。</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満３歳児とは、以下の児童のことをいいます。</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・教育標準時間認定を受けた子どものうち、年度の初日の前日における満年齢が２歳で、年度途中に満３歳に達して入園した児童</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・２歳児（保育認定子どもに限る。）が年度途中に満３歳に達した後、保育認定から教育標準時間認定に認定区分が変更となった児童</a:t>
          </a:r>
          <a:endParaRPr lang="ja-JP" altLang="ja-JP">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（入力は</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誕生日の</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翌月からとしてください。　例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9.9</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生まれ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月分から満</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歳児（</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号）としてして入力）</a:t>
          </a:r>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２</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３歳児については、本来は２０：１ですが、市の配置基準補助金よりも優先的に支給される給付費の３歳児配置改善加算を考慮して１５：１としています。満３歳児については、本来は２０：１ですが、市の配置基準補助金よりも優先的に支給される給付費の満３歳児対応加配加算を考慮して６：１としています。</a:t>
          </a:r>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給付費で支給される人件費で、「保育認定こども（２号・３号）に係る利用定員が</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９０人以下の施設」については１人加算することとなっているものです。</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４</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給付費で支給される人件費で、「</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保育標準時間認定を受けた子どもが利用する施設」については１人加算することとなっているものです。</a:t>
          </a:r>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５</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給付費で支給される人件費で、「主幹保育教諭等を専任化させるための代替保育教諭等」について、２人加算することとなっているものです</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21</xdr:col>
      <xdr:colOff>125304</xdr:colOff>
      <xdr:row>0</xdr:row>
      <xdr:rowOff>142620</xdr:rowOff>
    </xdr:from>
    <xdr:to>
      <xdr:col>30</xdr:col>
      <xdr:colOff>435868</xdr:colOff>
      <xdr:row>51</xdr:row>
      <xdr:rowOff>155865</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bwMode="auto">
        <a:xfrm>
          <a:off x="13493922" y="142620"/>
          <a:ext cx="6529828" cy="11185510"/>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r>
            <a:rPr lang="ja-JP" altLang="ja-JP" sz="1100">
              <a:effectLst/>
              <a:latin typeface="+mn-lt"/>
              <a:ea typeface="+mn-ea"/>
              <a:cs typeface="+mn-cs"/>
            </a:rPr>
            <a:t>特定教育・保育等に要する費用の額の算定に関する基準の制定に伴う実施上の留意事項について</a:t>
          </a:r>
          <a:endParaRPr lang="en-US" altLang="ja-JP" sz="1100">
            <a:effectLst/>
            <a:latin typeface="+mn-lt"/>
            <a:ea typeface="+mn-ea"/>
            <a:cs typeface="+mn-cs"/>
          </a:endParaRPr>
        </a:p>
        <a:p>
          <a:r>
            <a:rPr lang="ja-JP" altLang="en-US" sz="1100">
              <a:effectLst/>
              <a:latin typeface="+mn-lt"/>
              <a:ea typeface="+mn-ea"/>
              <a:cs typeface="+mn-cs"/>
            </a:rPr>
            <a:t>平成３０年４月１６日の国通知より抜粋</a:t>
          </a:r>
          <a:endParaRPr kumimoji="1" lang="en-US" altLang="ja-JP" sz="1100"/>
        </a:p>
        <a:p>
          <a:endParaRPr lang="en-US" altLang="ja-JP" sz="1100">
            <a:effectLst/>
            <a:latin typeface="+mn-lt"/>
            <a:ea typeface="+mn-ea"/>
            <a:cs typeface="+mn-cs"/>
          </a:endParaRPr>
        </a:p>
        <a:p>
          <a:r>
            <a:rPr lang="ja-JP" altLang="ja-JP" sz="1100">
              <a:effectLst/>
              <a:latin typeface="+mn-lt"/>
              <a:ea typeface="+mn-ea"/>
              <a:cs typeface="+mn-cs"/>
            </a:rPr>
            <a:t>（２）基本分単価に含まれる職員構成</a:t>
          </a:r>
          <a:endParaRPr lang="en-US" altLang="ja-JP" sz="1100">
            <a:effectLst/>
            <a:latin typeface="+mn-lt"/>
            <a:ea typeface="+mn-ea"/>
            <a:cs typeface="+mn-cs"/>
          </a:endParaRPr>
        </a:p>
        <a:p>
          <a:r>
            <a:rPr lang="ja-JP" altLang="en-US" sz="1100">
              <a:effectLst/>
              <a:latin typeface="+mn-lt"/>
              <a:ea typeface="+mn-ea"/>
              <a:cs typeface="+mn-cs"/>
            </a:rPr>
            <a:t>　　</a:t>
          </a:r>
          <a:r>
            <a:rPr lang="en-US" altLang="ja-JP" sz="1100">
              <a:effectLst/>
              <a:latin typeface="+mn-lt"/>
              <a:ea typeface="+mn-ea"/>
              <a:cs typeface="+mn-cs"/>
            </a:rPr>
            <a:t>※</a:t>
          </a:r>
          <a:r>
            <a:rPr lang="ja-JP" altLang="en-US" sz="1100">
              <a:effectLst/>
              <a:latin typeface="+mn-lt"/>
              <a:ea typeface="+mn-ea"/>
              <a:cs typeface="+mn-cs"/>
            </a:rPr>
            <a:t>基本分単価：給付費で支給される基本分単価のことです。</a:t>
          </a:r>
          <a:endParaRPr lang="ja-JP" altLang="ja-JP">
            <a:effectLst/>
          </a:endParaRPr>
        </a:p>
        <a:p>
          <a:r>
            <a:rPr lang="ja-JP" altLang="ja-JP" sz="1100">
              <a:effectLst/>
              <a:latin typeface="+mn-lt"/>
              <a:ea typeface="+mn-ea"/>
              <a:cs typeface="+mn-cs"/>
            </a:rPr>
            <a:t>基本分単価（保育認定子どもに係る基本分単価を含む。）に含まれる職員構成は以下のとおりであることから、これを充足すること。</a:t>
          </a:r>
          <a:endParaRPr lang="ja-JP" altLang="ja-JP">
            <a:effectLst/>
          </a:endParaRPr>
        </a:p>
        <a:p>
          <a:r>
            <a:rPr lang="ja-JP" altLang="ja-JP" sz="1100">
              <a:effectLst/>
              <a:latin typeface="+mn-lt"/>
              <a:ea typeface="+mn-ea"/>
              <a:cs typeface="+mn-cs"/>
            </a:rPr>
            <a:t>（ア）保育教諭等</a:t>
          </a:r>
          <a:endParaRPr lang="ja-JP" altLang="ja-JP">
            <a:effectLst/>
          </a:endParaRPr>
        </a:p>
        <a:p>
          <a:r>
            <a:rPr lang="ja-JP" altLang="ja-JP" sz="1100">
              <a:effectLst/>
              <a:latin typeface="+mn-lt"/>
              <a:ea typeface="+mn-ea"/>
              <a:cs typeface="+mn-cs"/>
            </a:rPr>
            <a:t>基本分単価における必要保育教諭等の数は以下の</a:t>
          </a:r>
          <a:r>
            <a:rPr lang="ja-JP" altLang="ja-JP" sz="1100">
              <a:solidFill>
                <a:srgbClr val="FF0000"/>
              </a:solidFill>
              <a:effectLst/>
              <a:latin typeface="+mn-lt"/>
              <a:ea typeface="+mn-ea"/>
              <a:cs typeface="+mn-cs"/>
            </a:rPr>
            <a:t>ⅰとⅱを合計した数であること。</a:t>
          </a:r>
          <a:endParaRPr lang="ja-JP" altLang="ja-JP">
            <a:solidFill>
              <a:srgbClr val="FF0000"/>
            </a:solidFill>
            <a:effectLst/>
          </a:endParaRPr>
        </a:p>
        <a:p>
          <a:r>
            <a:rPr lang="ja-JP" altLang="ja-JP" sz="1100">
              <a:solidFill>
                <a:srgbClr val="FF0000"/>
              </a:solidFill>
              <a:effectLst/>
              <a:latin typeface="+mn-lt"/>
              <a:ea typeface="+mn-ea"/>
              <a:cs typeface="+mn-cs"/>
            </a:rPr>
            <a:t>ⅰ　年齢別配置基準</a:t>
          </a:r>
          <a:endParaRPr lang="ja-JP" altLang="ja-JP">
            <a:solidFill>
              <a:srgbClr val="FF0000"/>
            </a:solidFill>
            <a:effectLst/>
          </a:endParaRPr>
        </a:p>
        <a:p>
          <a:r>
            <a:rPr lang="ja-JP" altLang="ja-JP" sz="1100">
              <a:effectLst/>
              <a:latin typeface="+mn-lt"/>
              <a:ea typeface="+mn-ea"/>
              <a:cs typeface="+mn-cs"/>
            </a:rPr>
            <a:t>４歳以上児３０人につき１人、３歳児（</a:t>
          </a:r>
          <a:r>
            <a:rPr lang="en-US" altLang="ja-JP" sz="1100">
              <a:effectLst/>
              <a:latin typeface="+mn-lt"/>
              <a:ea typeface="+mn-ea"/>
              <a:cs typeface="+mn-cs"/>
            </a:rPr>
            <a:t>※</a:t>
          </a:r>
          <a:r>
            <a:rPr lang="ja-JP" altLang="en-US" sz="1100">
              <a:effectLst/>
              <a:latin typeface="+mn-lt"/>
              <a:ea typeface="+mn-ea"/>
              <a:cs typeface="+mn-cs"/>
            </a:rPr>
            <a:t>１</a:t>
          </a:r>
          <a:r>
            <a:rPr lang="ja-JP" altLang="ja-JP" sz="1100">
              <a:effectLst/>
              <a:latin typeface="+mn-lt"/>
              <a:ea typeface="+mn-ea"/>
              <a:cs typeface="+mn-cs"/>
            </a:rPr>
            <a:t>）及び満３歳児</a:t>
          </a:r>
          <a:r>
            <a:rPr lang="ja-JP" altLang="en-US" sz="1100">
              <a:effectLst/>
              <a:latin typeface="+mn-lt"/>
              <a:ea typeface="+mn-ea"/>
              <a:cs typeface="+mn-cs"/>
            </a:rPr>
            <a:t>（</a:t>
          </a:r>
          <a:r>
            <a:rPr lang="en-US" altLang="ja-JP" sz="1100">
              <a:effectLst/>
              <a:latin typeface="+mn-lt"/>
              <a:ea typeface="+mn-ea"/>
              <a:cs typeface="+mn-cs"/>
            </a:rPr>
            <a:t>※</a:t>
          </a:r>
          <a:r>
            <a:rPr lang="ja-JP" altLang="en-US" sz="1100">
              <a:effectLst/>
              <a:latin typeface="+mn-lt"/>
              <a:ea typeface="+mn-ea"/>
              <a:cs typeface="+mn-cs"/>
            </a:rPr>
            <a:t>２）</a:t>
          </a:r>
          <a:r>
            <a:rPr lang="ja-JP" altLang="ja-JP" sz="1100">
              <a:effectLst/>
              <a:latin typeface="+mn-lt"/>
              <a:ea typeface="+mn-ea"/>
              <a:cs typeface="+mn-cs"/>
            </a:rPr>
            <a:t>２０人につき１人、１、２歳児６人につき１人、乳児３人につき１人</a:t>
          </a:r>
          <a:endParaRPr lang="ja-JP" altLang="ja-JP">
            <a:effectLst/>
          </a:endParaRPr>
        </a:p>
        <a:p>
          <a:r>
            <a:rPr lang="en-US" altLang="ja-JP" sz="1100">
              <a:effectLst/>
              <a:latin typeface="+mn-lt"/>
              <a:ea typeface="+mn-ea"/>
              <a:cs typeface="+mn-cs"/>
            </a:rPr>
            <a:t>※</a:t>
          </a:r>
          <a:r>
            <a:rPr lang="ja-JP" altLang="en-US" sz="1100">
              <a:effectLst/>
              <a:latin typeface="+mn-lt"/>
              <a:ea typeface="+mn-ea"/>
              <a:cs typeface="+mn-cs"/>
            </a:rPr>
            <a:t>１　</a:t>
          </a:r>
          <a:r>
            <a:rPr kumimoji="1" lang="ja-JP" altLang="ja-JP" sz="1100">
              <a:effectLst/>
              <a:latin typeface="+mn-lt"/>
              <a:ea typeface="+mn-ea"/>
              <a:cs typeface="+mn-cs"/>
            </a:rPr>
            <a:t>本来は２０：１ですが、千葉市の配置基準補助金よりも優先的に支給される給付費の３歳児配置改善加算を</a:t>
          </a:r>
          <a:r>
            <a:rPr kumimoji="1" lang="ja-JP" altLang="en-US" sz="1100">
              <a:effectLst/>
              <a:latin typeface="+mn-lt"/>
              <a:ea typeface="+mn-ea"/>
              <a:cs typeface="+mn-cs"/>
            </a:rPr>
            <a:t>考慮して、このシートでは１５：１で計算しています。</a:t>
          </a:r>
          <a:endParaRPr kumimoji="1"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effectLst/>
              <a:latin typeface="+mn-lt"/>
              <a:ea typeface="+mn-ea"/>
              <a:cs typeface="+mn-cs"/>
            </a:rPr>
            <a:t>※</a:t>
          </a:r>
          <a:r>
            <a:rPr kumimoji="1" lang="ja-JP" altLang="en-US" sz="1100">
              <a:effectLst/>
              <a:latin typeface="+mn-lt"/>
              <a:ea typeface="+mn-ea"/>
              <a:cs typeface="+mn-cs"/>
            </a:rPr>
            <a:t>２　本来は２０：１ですが、</a:t>
          </a:r>
          <a:r>
            <a:rPr kumimoji="1" lang="ja-JP" altLang="ja-JP" sz="1100">
              <a:effectLst/>
              <a:latin typeface="+mn-lt"/>
              <a:ea typeface="+mn-ea"/>
              <a:cs typeface="+mn-cs"/>
            </a:rPr>
            <a:t>、千葉市の配置基準補助金よりも優先的に支給される給付費の</a:t>
          </a:r>
          <a:r>
            <a:rPr kumimoji="1" lang="ja-JP" altLang="en-US" sz="1100">
              <a:effectLst/>
              <a:latin typeface="+mn-lt"/>
              <a:ea typeface="+mn-ea"/>
              <a:cs typeface="+mn-cs"/>
            </a:rPr>
            <a:t>満３歳児</a:t>
          </a:r>
          <a:r>
            <a:rPr kumimoji="1" lang="ja-JP" altLang="ja-JP" sz="1100">
              <a:effectLst/>
              <a:latin typeface="+mn-lt"/>
              <a:ea typeface="+mn-ea"/>
              <a:cs typeface="+mn-cs"/>
            </a:rPr>
            <a:t>配置改善加算を考慮して、このシートでは</a:t>
          </a:r>
          <a:r>
            <a:rPr kumimoji="1" lang="ja-JP" altLang="en-US" sz="1100">
              <a:effectLst/>
              <a:latin typeface="+mn-lt"/>
              <a:ea typeface="+mn-ea"/>
              <a:cs typeface="+mn-cs"/>
            </a:rPr>
            <a:t>６</a:t>
          </a:r>
          <a:r>
            <a:rPr kumimoji="1" lang="ja-JP" altLang="ja-JP" sz="1100">
              <a:effectLst/>
              <a:latin typeface="+mn-lt"/>
              <a:ea typeface="+mn-ea"/>
              <a:cs typeface="+mn-cs"/>
            </a:rPr>
            <a:t>：１で計算しています。</a:t>
          </a:r>
          <a:endParaRPr kumimoji="1" lang="en-US" altLang="ja-JP" sz="1100">
            <a:effectLst/>
            <a:latin typeface="+mn-lt"/>
            <a:ea typeface="+mn-ea"/>
            <a:cs typeface="+mn-cs"/>
          </a:endParaRPr>
        </a:p>
        <a:p>
          <a:endParaRPr lang="en-US" altLang="ja-JP" sz="1100" u="none">
            <a:effectLst/>
            <a:latin typeface="+mn-lt"/>
            <a:ea typeface="+mn-ea"/>
            <a:cs typeface="+mn-cs"/>
          </a:endParaRPr>
        </a:p>
        <a:p>
          <a:r>
            <a:rPr lang="ja-JP" altLang="en-US" sz="1100" u="none">
              <a:effectLst/>
              <a:latin typeface="+mn-lt"/>
              <a:ea typeface="+mn-ea"/>
              <a:cs typeface="+mn-cs"/>
            </a:rPr>
            <a:t>　</a:t>
          </a:r>
          <a:r>
            <a:rPr lang="ja-JP" altLang="ja-JP" sz="1100" u="sng">
              <a:effectLst/>
              <a:latin typeface="+mn-lt"/>
              <a:ea typeface="+mn-ea"/>
              <a:cs typeface="+mn-cs"/>
            </a:rPr>
            <a:t>３歳児配置改善加算</a:t>
          </a:r>
          <a:endParaRPr lang="ja-JP" altLang="ja-JP" u="sng">
            <a:effectLst/>
          </a:endParaRPr>
        </a:p>
        <a:p>
          <a:r>
            <a:rPr lang="ja-JP" altLang="en-US" sz="1100">
              <a:effectLst/>
              <a:latin typeface="+mn-lt"/>
              <a:ea typeface="+mn-ea"/>
              <a:cs typeface="+mn-cs"/>
            </a:rPr>
            <a:t>　</a:t>
          </a:r>
          <a:r>
            <a:rPr lang="ja-JP" altLang="ja-JP" sz="1100">
              <a:effectLst/>
              <a:latin typeface="+mn-lt"/>
              <a:ea typeface="+mn-ea"/>
              <a:cs typeface="+mn-cs"/>
            </a:rPr>
            <a:t>（１）加算の要件</a:t>
          </a:r>
          <a:endParaRPr lang="ja-JP" altLang="ja-JP">
            <a:effectLst/>
          </a:endParaRPr>
        </a:p>
        <a:p>
          <a:r>
            <a:rPr lang="ja-JP" altLang="en-US" sz="1100">
              <a:effectLst/>
              <a:latin typeface="+mn-lt"/>
              <a:ea typeface="+mn-ea"/>
              <a:cs typeface="+mn-cs"/>
            </a:rPr>
            <a:t>　</a:t>
          </a:r>
          <a:r>
            <a:rPr lang="ja-JP" altLang="ja-JP" sz="1100">
              <a:effectLst/>
              <a:latin typeface="+mn-lt"/>
              <a:ea typeface="+mn-ea"/>
              <a:cs typeface="+mn-cs"/>
            </a:rPr>
            <a:t>（２）、（ア）、ⅰの年齢別配置基準のうち、３歳児</a:t>
          </a:r>
          <a:r>
            <a:rPr lang="ja-JP" altLang="en-US" sz="1100">
              <a:effectLst/>
              <a:latin typeface="+mn-lt"/>
              <a:ea typeface="+mn-ea"/>
              <a:cs typeface="+mn-cs"/>
            </a:rPr>
            <a:t>及び満３歳児に</a:t>
          </a:r>
          <a:r>
            <a:rPr lang="ja-JP" altLang="ja-JP" sz="1100">
              <a:effectLst/>
              <a:latin typeface="+mn-lt"/>
              <a:ea typeface="+mn-ea"/>
              <a:cs typeface="+mn-cs"/>
            </a:rPr>
            <a:t>係る保育</a:t>
          </a:r>
          <a:r>
            <a:rPr lang="ja-JP" altLang="en-US" sz="1100">
              <a:effectLst/>
              <a:latin typeface="+mn-lt"/>
              <a:ea typeface="+mn-ea"/>
              <a:cs typeface="+mn-cs"/>
            </a:rPr>
            <a:t>教諭等</a:t>
          </a:r>
          <a:r>
            <a:rPr lang="ja-JP" altLang="ja-JP" sz="1100">
              <a:effectLst/>
              <a:latin typeface="+mn-lt"/>
              <a:ea typeface="+mn-ea"/>
              <a:cs typeface="+mn-cs"/>
            </a:rPr>
            <a:t>士</a:t>
          </a:r>
          <a:r>
            <a:rPr lang="ja-JP" altLang="en-US" sz="1100">
              <a:effectLst/>
              <a:latin typeface="+mn-lt"/>
              <a:ea typeface="+mn-ea"/>
              <a:cs typeface="+mn-cs"/>
            </a:rPr>
            <a:t>の</a:t>
          </a:r>
          <a:r>
            <a:rPr lang="ja-JP" altLang="ja-JP" sz="1100">
              <a:effectLst/>
              <a:latin typeface="+mn-lt"/>
              <a:ea typeface="+mn-ea"/>
              <a:cs typeface="+mn-cs"/>
            </a:rPr>
            <a:t>配置基準を３歳児</a:t>
          </a:r>
          <a:r>
            <a:rPr lang="ja-JP" altLang="en-US" sz="1100">
              <a:effectLst/>
              <a:latin typeface="+mn-lt"/>
              <a:ea typeface="+mn-ea"/>
              <a:cs typeface="+mn-cs"/>
            </a:rPr>
            <a:t>及び満３歳児１５</a:t>
          </a:r>
          <a:r>
            <a:rPr lang="ja-JP" altLang="ja-JP" sz="1100">
              <a:effectLst/>
              <a:latin typeface="+mn-lt"/>
              <a:ea typeface="+mn-ea"/>
              <a:cs typeface="+mn-cs"/>
            </a:rPr>
            <a:t>人につき１人により実施する施設に加算する。</a:t>
          </a:r>
          <a:endParaRPr lang="en-US" altLang="ja-JP" sz="1100">
            <a:effectLst/>
            <a:latin typeface="+mn-lt"/>
            <a:ea typeface="+mn-ea"/>
            <a:cs typeface="+mn-cs"/>
          </a:endParaRPr>
        </a:p>
        <a:p>
          <a:endParaRPr lang="en-US" altLang="ja-JP" sz="1100">
            <a:effectLst/>
            <a:latin typeface="+mn-lt"/>
            <a:ea typeface="+mn-ea"/>
            <a:cs typeface="+mn-cs"/>
          </a:endParaRPr>
        </a:p>
        <a:p>
          <a:r>
            <a:rPr lang="ja-JP" altLang="en-US" sz="1100">
              <a:effectLst/>
              <a:latin typeface="+mn-lt"/>
              <a:ea typeface="+mn-ea"/>
              <a:cs typeface="+mn-cs"/>
            </a:rPr>
            <a:t>　</a:t>
          </a:r>
          <a:r>
            <a:rPr lang="ja-JP" altLang="en-US" sz="1100" u="sng">
              <a:effectLst/>
              <a:latin typeface="+mn-lt"/>
              <a:ea typeface="+mn-ea"/>
              <a:cs typeface="+mn-cs"/>
            </a:rPr>
            <a:t>満３歳児対応加配加算</a:t>
          </a:r>
          <a:endParaRPr lang="en-US" altLang="ja-JP" sz="1100" u="sng">
            <a:effectLst/>
            <a:latin typeface="+mn-lt"/>
            <a:ea typeface="+mn-ea"/>
            <a:cs typeface="+mn-cs"/>
          </a:endParaRPr>
        </a:p>
        <a:p>
          <a:r>
            <a:rPr lang="ja-JP" altLang="en-US" sz="1100">
              <a:effectLst/>
              <a:latin typeface="+mn-lt"/>
              <a:ea typeface="+mn-ea"/>
              <a:cs typeface="+mn-cs"/>
            </a:rPr>
            <a:t>　（１）加算の要件（３歳児配置改善加算の適用がある場合）</a:t>
          </a:r>
          <a:endParaRPr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　</a:t>
          </a:r>
          <a:r>
            <a:rPr lang="ja-JP" altLang="ja-JP" sz="1100">
              <a:effectLst/>
              <a:latin typeface="+mn-lt"/>
              <a:ea typeface="+mn-ea"/>
              <a:cs typeface="+mn-cs"/>
            </a:rPr>
            <a:t>（２）、（ア）、ⅰの年齢別配置基準のうち、</a:t>
          </a:r>
          <a:r>
            <a:rPr lang="ja-JP" altLang="en-US" sz="1100">
              <a:effectLst/>
              <a:latin typeface="+mn-lt"/>
              <a:ea typeface="+mn-ea"/>
              <a:cs typeface="+mn-cs"/>
            </a:rPr>
            <a:t>満</a:t>
          </a:r>
          <a:r>
            <a:rPr lang="ja-JP" altLang="ja-JP" sz="1100">
              <a:effectLst/>
              <a:latin typeface="+mn-lt"/>
              <a:ea typeface="+mn-ea"/>
              <a:cs typeface="+mn-cs"/>
            </a:rPr>
            <a:t>３歳児に係る保育</a:t>
          </a:r>
          <a:r>
            <a:rPr lang="ja-JP" altLang="en-US" sz="1100">
              <a:effectLst/>
              <a:latin typeface="+mn-lt"/>
              <a:ea typeface="+mn-ea"/>
              <a:cs typeface="+mn-cs"/>
            </a:rPr>
            <a:t>教諭等の</a:t>
          </a:r>
          <a:r>
            <a:rPr lang="ja-JP" altLang="ja-JP" sz="1100">
              <a:effectLst/>
              <a:latin typeface="+mn-lt"/>
              <a:ea typeface="+mn-ea"/>
              <a:cs typeface="+mn-cs"/>
            </a:rPr>
            <a:t>配置基準を</a:t>
          </a:r>
          <a:r>
            <a:rPr lang="ja-JP" altLang="en-US" sz="1100">
              <a:effectLst/>
              <a:latin typeface="+mn-lt"/>
              <a:ea typeface="+mn-ea"/>
              <a:cs typeface="+mn-cs"/>
            </a:rPr>
            <a:t>満</a:t>
          </a:r>
          <a:r>
            <a:rPr lang="ja-JP" altLang="ja-JP" sz="1100">
              <a:effectLst/>
              <a:latin typeface="+mn-lt"/>
              <a:ea typeface="+mn-ea"/>
              <a:cs typeface="+mn-cs"/>
            </a:rPr>
            <a:t>３歳児</a:t>
          </a:r>
          <a:r>
            <a:rPr lang="ja-JP" altLang="en-US" sz="1100">
              <a:effectLst/>
              <a:latin typeface="+mn-lt"/>
              <a:ea typeface="+mn-ea"/>
              <a:cs typeface="+mn-cs"/>
            </a:rPr>
            <a:t>６</a:t>
          </a:r>
          <a:r>
            <a:rPr lang="ja-JP" altLang="ja-JP" sz="1100">
              <a:effectLst/>
              <a:latin typeface="+mn-lt"/>
              <a:ea typeface="+mn-ea"/>
              <a:cs typeface="+mn-cs"/>
            </a:rPr>
            <a:t>人につき１人により実施する施設に加算する。</a:t>
          </a:r>
          <a:endParaRPr lang="ja-JP" altLang="ja-JP">
            <a:effectLst/>
          </a:endParaRPr>
        </a:p>
        <a:p>
          <a:endParaRPr lang="en-US" altLang="ja-JP" sz="1100">
            <a:effectLst/>
            <a:latin typeface="+mn-lt"/>
            <a:ea typeface="+mn-ea"/>
            <a:cs typeface="+mn-cs"/>
          </a:endParaRPr>
        </a:p>
        <a:p>
          <a:r>
            <a:rPr lang="ja-JP" altLang="ja-JP" sz="1100">
              <a:solidFill>
                <a:srgbClr val="FF0000"/>
              </a:solidFill>
              <a:effectLst/>
              <a:latin typeface="+mn-lt"/>
              <a:ea typeface="+mn-ea"/>
              <a:cs typeface="+mn-cs"/>
            </a:rPr>
            <a:t>ⅱ　その他</a:t>
          </a:r>
        </a:p>
        <a:p>
          <a:r>
            <a:rPr lang="ja-JP" altLang="ja-JP" sz="1100">
              <a:solidFill>
                <a:srgbClr val="FF0000"/>
              </a:solidFill>
              <a:effectLst/>
              <a:latin typeface="+mn-lt"/>
              <a:ea typeface="+mn-ea"/>
              <a:cs typeface="+mn-cs"/>
            </a:rPr>
            <a:t>ａ　</a:t>
          </a:r>
          <a:r>
            <a:rPr lang="ja-JP" altLang="en-US" sz="1100">
              <a:solidFill>
                <a:srgbClr val="FF0000"/>
              </a:solidFill>
              <a:effectLst/>
              <a:latin typeface="+mn-lt"/>
              <a:ea typeface="+mn-ea"/>
              <a:cs typeface="+mn-cs"/>
            </a:rPr>
            <a:t>保育認定子どもに係る</a:t>
          </a:r>
          <a:r>
            <a:rPr lang="ja-JP" altLang="ja-JP" sz="1100">
              <a:solidFill>
                <a:srgbClr val="FF0000"/>
              </a:solidFill>
              <a:effectLst/>
              <a:latin typeface="+mn-lt"/>
              <a:ea typeface="+mn-ea"/>
              <a:cs typeface="+mn-cs"/>
            </a:rPr>
            <a:t>利用定員</a:t>
          </a:r>
          <a:r>
            <a:rPr lang="en-US" altLang="ja-JP" sz="1100">
              <a:solidFill>
                <a:srgbClr val="FF0000"/>
              </a:solidFill>
              <a:effectLst/>
              <a:latin typeface="+mn-lt"/>
              <a:ea typeface="+mn-ea"/>
              <a:cs typeface="+mn-cs"/>
            </a:rPr>
            <a:t>90</a:t>
          </a:r>
          <a:r>
            <a:rPr lang="ja-JP" altLang="ja-JP" sz="1100">
              <a:solidFill>
                <a:srgbClr val="FF0000"/>
              </a:solidFill>
              <a:effectLst/>
              <a:latin typeface="+mn-lt"/>
              <a:ea typeface="+mn-ea"/>
              <a:cs typeface="+mn-cs"/>
            </a:rPr>
            <a:t>人以下の施設については１人</a:t>
          </a:r>
          <a:r>
            <a:rPr lang="ja-JP" altLang="en-US" sz="1100">
              <a:solidFill>
                <a:srgbClr val="FF0000"/>
              </a:solidFill>
              <a:effectLst/>
              <a:latin typeface="+mn-lt"/>
              <a:ea typeface="+mn-ea"/>
              <a:cs typeface="+mn-cs"/>
            </a:rPr>
            <a:t>　←このシートの（</a:t>
          </a:r>
          <a:r>
            <a:rPr lang="en-US" altLang="ja-JP" sz="1100">
              <a:solidFill>
                <a:srgbClr val="FF0000"/>
              </a:solidFill>
              <a:effectLst/>
              <a:latin typeface="+mn-lt"/>
              <a:ea typeface="+mn-ea"/>
              <a:cs typeface="+mn-cs"/>
            </a:rPr>
            <a:t>b</a:t>
          </a:r>
          <a:r>
            <a:rPr lang="ja-JP" altLang="en-US" sz="1100">
              <a:solidFill>
                <a:srgbClr val="FF0000"/>
              </a:solidFill>
              <a:effectLst/>
              <a:latin typeface="+mn-lt"/>
              <a:ea typeface="+mn-ea"/>
              <a:cs typeface="+mn-cs"/>
            </a:rPr>
            <a:t>）です。</a:t>
          </a:r>
          <a:endParaRPr lang="ja-JP" altLang="ja-JP">
            <a:solidFill>
              <a:srgbClr val="FF0000"/>
            </a:solidFill>
            <a:effectLst/>
          </a:endParaRPr>
        </a:p>
        <a:p>
          <a:r>
            <a:rPr lang="ja-JP" altLang="ja-JP" sz="1100">
              <a:solidFill>
                <a:srgbClr val="FF0000"/>
              </a:solidFill>
              <a:effectLst/>
              <a:latin typeface="+mn-lt"/>
              <a:ea typeface="+mn-ea"/>
              <a:cs typeface="+mn-cs"/>
            </a:rPr>
            <a:t>ｂ　保育標準時間認定を受けた子どもが利用する施設については１人</a:t>
          </a:r>
          <a:r>
            <a:rPr lang="ja-JP" altLang="en-US" sz="1100">
              <a:solidFill>
                <a:srgbClr val="FF0000"/>
              </a:solidFill>
              <a:effectLst/>
              <a:latin typeface="+mn-lt"/>
              <a:ea typeface="+mn-ea"/>
              <a:cs typeface="+mn-cs"/>
            </a:rPr>
            <a:t>　←このシートの（</a:t>
          </a:r>
          <a:r>
            <a:rPr lang="en-US" altLang="ja-JP" sz="1100">
              <a:solidFill>
                <a:srgbClr val="FF0000"/>
              </a:solidFill>
              <a:effectLst/>
              <a:latin typeface="+mn-lt"/>
              <a:ea typeface="+mn-ea"/>
              <a:cs typeface="+mn-cs"/>
            </a:rPr>
            <a:t>c</a:t>
          </a:r>
          <a:r>
            <a:rPr lang="ja-JP" altLang="en-US" sz="1100">
              <a:solidFill>
                <a:srgbClr val="FF0000"/>
              </a:solidFill>
              <a:effectLst/>
              <a:latin typeface="+mn-lt"/>
              <a:ea typeface="+mn-ea"/>
              <a:cs typeface="+mn-cs"/>
            </a:rPr>
            <a:t>）です。</a:t>
          </a:r>
          <a:endParaRPr lang="en-US" altLang="ja-JP" sz="11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c</a:t>
          </a:r>
          <a:r>
            <a:rPr kumimoji="1" lang="ja-JP" altLang="en-US" sz="1100">
              <a:solidFill>
                <a:srgbClr val="FF0000"/>
              </a:solidFill>
              <a:effectLst/>
              <a:latin typeface="+mn-lt"/>
              <a:ea typeface="+mn-ea"/>
              <a:cs typeface="+mn-cs"/>
            </a:rPr>
            <a:t>　主幹保育教諭等を専任化させるための代替保育教諭等を２人　</a:t>
          </a:r>
          <a:r>
            <a:rPr lang="ja-JP" altLang="ja-JP" sz="1100">
              <a:solidFill>
                <a:srgbClr val="FF0000"/>
              </a:solidFill>
              <a:effectLst/>
              <a:latin typeface="+mn-lt"/>
              <a:ea typeface="+mn-ea"/>
              <a:cs typeface="+mn-cs"/>
            </a:rPr>
            <a:t>←このシートの（</a:t>
          </a:r>
          <a:r>
            <a:rPr lang="en-US" altLang="ja-JP" sz="1100">
              <a:solidFill>
                <a:srgbClr val="FF0000"/>
              </a:solidFill>
              <a:effectLst/>
              <a:latin typeface="+mn-lt"/>
              <a:ea typeface="+mn-ea"/>
              <a:cs typeface="+mn-cs"/>
            </a:rPr>
            <a:t>d</a:t>
          </a:r>
          <a:r>
            <a:rPr lang="ja-JP" altLang="en-US" sz="1100">
              <a:solidFill>
                <a:srgbClr val="FF0000"/>
              </a:solidFill>
              <a:effectLst/>
              <a:latin typeface="+mn-lt"/>
              <a:ea typeface="+mn-ea"/>
              <a:cs typeface="+mn-cs"/>
            </a:rPr>
            <a:t>）で</a:t>
          </a:r>
          <a:r>
            <a:rPr lang="ja-JP" altLang="ja-JP" sz="1100">
              <a:solidFill>
                <a:srgbClr val="FF0000"/>
              </a:solidFill>
              <a:effectLst/>
              <a:latin typeface="+mn-lt"/>
              <a:ea typeface="+mn-ea"/>
              <a:cs typeface="+mn-cs"/>
            </a:rPr>
            <a:t>す。</a:t>
          </a:r>
          <a:endParaRPr lang="ja-JP" altLang="ja-JP">
            <a:solidFill>
              <a:srgbClr val="FF0000"/>
            </a:solidFill>
            <a:effectLst/>
          </a:endParaRPr>
        </a:p>
        <a:p>
          <a:endParaRPr kumimoji="1" lang="en-US" altLang="ja-JP" sz="1100">
            <a:solidFill>
              <a:srgbClr val="FF0000"/>
            </a:solidFill>
            <a:effectLst/>
            <a:latin typeface="+mn-lt"/>
            <a:ea typeface="+mn-ea"/>
            <a:cs typeface="+mn-cs"/>
          </a:endParaRPr>
        </a:p>
        <a:p>
          <a:endParaRPr kumimoji="1" lang="ja-JP" altLang="en-US" sz="1100">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35</xdr:col>
      <xdr:colOff>131803</xdr:colOff>
      <xdr:row>3</xdr:row>
      <xdr:rowOff>134202</xdr:rowOff>
    </xdr:from>
    <xdr:to>
      <xdr:col>48</xdr:col>
      <xdr:colOff>269728</xdr:colOff>
      <xdr:row>6</xdr:row>
      <xdr:rowOff>178092</xdr:rowOff>
    </xdr:to>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2691196" y="1005059"/>
          <a:ext cx="8696818" cy="19761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34</xdr:col>
      <xdr:colOff>102055</xdr:colOff>
      <xdr:row>2</xdr:row>
      <xdr:rowOff>136071</xdr:rowOff>
    </xdr:from>
    <xdr:to>
      <xdr:col>49</xdr:col>
      <xdr:colOff>152868</xdr:colOff>
      <xdr:row>6</xdr:row>
      <xdr:rowOff>839107</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711341" y="771071"/>
          <a:ext cx="8816081" cy="19843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46</xdr:col>
      <xdr:colOff>168087</xdr:colOff>
      <xdr:row>4</xdr:row>
      <xdr:rowOff>313766</xdr:rowOff>
    </xdr:from>
    <xdr:to>
      <xdr:col>59</xdr:col>
      <xdr:colOff>97903</xdr:colOff>
      <xdr:row>7</xdr:row>
      <xdr:rowOff>325906</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6046822" y="1400737"/>
          <a:ext cx="8816081" cy="19843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22</xdr:col>
      <xdr:colOff>89646</xdr:colOff>
      <xdr:row>4</xdr:row>
      <xdr:rowOff>56029</xdr:rowOff>
    </xdr:from>
    <xdr:to>
      <xdr:col>35</xdr:col>
      <xdr:colOff>19462</xdr:colOff>
      <xdr:row>7</xdr:row>
      <xdr:rowOff>68169</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7799293" y="1143000"/>
          <a:ext cx="8816081" cy="19843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671513</xdr:colOff>
      <xdr:row>9</xdr:row>
      <xdr:rowOff>195264</xdr:rowOff>
    </xdr:from>
    <xdr:to>
      <xdr:col>29</xdr:col>
      <xdr:colOff>9527</xdr:colOff>
      <xdr:row>12</xdr:row>
      <xdr:rowOff>133353</xdr:rowOff>
    </xdr:to>
    <xdr:sp macro="" textlink="">
      <xdr:nvSpPr>
        <xdr:cNvPr id="2" name="右中かっこ 1">
          <a:extLst>
            <a:ext uri="{FF2B5EF4-FFF2-40B4-BE49-F238E27FC236}">
              <a16:creationId xmlns:a16="http://schemas.microsoft.com/office/drawing/2014/main" id="{00000000-0008-0000-1100-000002000000}"/>
            </a:ext>
          </a:extLst>
        </xdr:cNvPr>
        <xdr:cNvSpPr/>
      </xdr:nvSpPr>
      <xdr:spPr>
        <a:xfrm rot="5400000">
          <a:off x="12015788" y="-90486"/>
          <a:ext cx="652464" cy="5510214"/>
        </a:xfrm>
        <a:prstGeom prst="rightBrace">
          <a:avLst>
            <a:gd name="adj1" fmla="val 3650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14</xdr:row>
      <xdr:rowOff>9525</xdr:rowOff>
    </xdr:from>
    <xdr:to>
      <xdr:col>28</xdr:col>
      <xdr:colOff>28575</xdr:colOff>
      <xdr:row>15</xdr:row>
      <xdr:rowOff>209550</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7221200" y="3343275"/>
          <a:ext cx="200977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①支出可能補助　算出</a:t>
          </a:r>
        </a:p>
      </xdr:txBody>
    </xdr:sp>
    <xdr:clientData/>
  </xdr:twoCellAnchor>
  <xdr:twoCellAnchor>
    <xdr:from>
      <xdr:col>30</xdr:col>
      <xdr:colOff>19050</xdr:colOff>
      <xdr:row>9</xdr:row>
      <xdr:rowOff>219075</xdr:rowOff>
    </xdr:from>
    <xdr:to>
      <xdr:col>49</xdr:col>
      <xdr:colOff>4764</xdr:colOff>
      <xdr:row>12</xdr:row>
      <xdr:rowOff>157164</xdr:rowOff>
    </xdr:to>
    <xdr:sp macro="" textlink="">
      <xdr:nvSpPr>
        <xdr:cNvPr id="4" name="右中かっこ 3">
          <a:extLst>
            <a:ext uri="{FF2B5EF4-FFF2-40B4-BE49-F238E27FC236}">
              <a16:creationId xmlns:a16="http://schemas.microsoft.com/office/drawing/2014/main" id="{00000000-0008-0000-1100-000004000000}"/>
            </a:ext>
          </a:extLst>
        </xdr:cNvPr>
        <xdr:cNvSpPr/>
      </xdr:nvSpPr>
      <xdr:spPr>
        <a:xfrm rot="5400000">
          <a:off x="26774775" y="-3819525"/>
          <a:ext cx="652464" cy="13015914"/>
        </a:xfrm>
        <a:prstGeom prst="rightBrace">
          <a:avLst>
            <a:gd name="adj1" fmla="val 3650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47626</xdr:colOff>
      <xdr:row>14</xdr:row>
      <xdr:rowOff>133350</xdr:rowOff>
    </xdr:from>
    <xdr:to>
      <xdr:col>41</xdr:col>
      <xdr:colOff>514351</xdr:colOff>
      <xdr:row>21</xdr:row>
      <xdr:rowOff>228600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24612601" y="3467100"/>
          <a:ext cx="475297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②計算順　該当する職種　</a:t>
          </a:r>
        </a:p>
      </xdr:txBody>
    </xdr:sp>
    <xdr:clientData/>
  </xdr:twoCellAnchor>
  <xdr:twoCellAnchor>
    <xdr:from>
      <xdr:col>39</xdr:col>
      <xdr:colOff>666751</xdr:colOff>
      <xdr:row>22</xdr:row>
      <xdr:rowOff>0</xdr:rowOff>
    </xdr:from>
    <xdr:to>
      <xdr:col>46</xdr:col>
      <xdr:colOff>666750</xdr:colOff>
      <xdr:row>29</xdr:row>
      <xdr:rowOff>38100</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28089226" y="5238750"/>
          <a:ext cx="4962524"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要件緩和の参入可能（補助可能）数について</a:t>
          </a:r>
          <a:endParaRPr kumimoji="1" lang="en-US" altLang="ja-JP" sz="1100"/>
        </a:p>
        <a:p>
          <a:r>
            <a:rPr kumimoji="1" lang="ja-JP" altLang="en-US" sz="1100"/>
            <a:t>基本マックス３（４）人</a:t>
          </a:r>
          <a:endParaRPr kumimoji="1" lang="en-US" altLang="ja-JP" sz="1100"/>
        </a:p>
        <a:p>
          <a:r>
            <a:rPr kumimoji="1" lang="ja-JP" altLang="en-US" sz="1100"/>
            <a:t>　→一般加算を含めて上記の人数だっけ？</a:t>
          </a:r>
          <a:endParaRPr kumimoji="1" lang="en-US" altLang="ja-JP" sz="1100"/>
        </a:p>
        <a:p>
          <a:r>
            <a:rPr kumimoji="1" lang="ja-JP" altLang="en-US" sz="1100"/>
            <a:t>　　特定加算だけ別？</a:t>
          </a:r>
          <a:endParaRPr kumimoji="1" lang="en-US" altLang="ja-JP" sz="1100"/>
        </a:p>
        <a:p>
          <a:endParaRPr kumimoji="1" lang="en-US" altLang="ja-JP" sz="1100"/>
        </a:p>
        <a:p>
          <a:r>
            <a:rPr kumimoji="1" lang="ja-JP" altLang="en-US" sz="1100"/>
            <a:t>今は基本加算でマックス３（４）になってる</a:t>
          </a:r>
        </a:p>
      </xdr:txBody>
    </xdr:sp>
    <xdr:clientData/>
  </xdr:twoCellAnchor>
  <xdr:twoCellAnchor>
    <xdr:from>
      <xdr:col>26</xdr:col>
      <xdr:colOff>466726</xdr:colOff>
      <xdr:row>3</xdr:row>
      <xdr:rowOff>95250</xdr:rowOff>
    </xdr:from>
    <xdr:to>
      <xdr:col>33</xdr:col>
      <xdr:colOff>85726</xdr:colOff>
      <xdr:row>7</xdr:row>
      <xdr:rowOff>57150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18297526" y="809625"/>
          <a:ext cx="3733800"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AG</a:t>
          </a:r>
          <a:r>
            <a:rPr kumimoji="1" lang="ja-JP" altLang="en-US" sz="1100"/>
            <a:t>列</a:t>
          </a:r>
          <a:endParaRPr kumimoji="1" lang="en-US" altLang="ja-JP" sz="1100"/>
        </a:p>
        <a:p>
          <a:r>
            <a:rPr kumimoji="1" lang="en-US" altLang="ja-JP" sz="1100"/>
            <a:t>S</a:t>
          </a:r>
          <a:r>
            <a:rPr kumimoji="1" lang="ja-JP" altLang="en-US" sz="1100"/>
            <a:t>列の医ケアがいるときは看護師も対象</a:t>
          </a:r>
          <a:endParaRPr kumimoji="1" lang="en-US" altLang="ja-JP" sz="1100"/>
        </a:p>
        <a:p>
          <a:r>
            <a:rPr kumimoji="1" lang="ja-JP" altLang="en-US" sz="1100"/>
            <a:t>いないときは看護師を対象外とする</a:t>
          </a:r>
        </a:p>
      </xdr:txBody>
    </xdr:sp>
    <xdr:clientData/>
  </xdr:twoCellAnchor>
  <xdr:twoCellAnchor>
    <xdr:from>
      <xdr:col>34</xdr:col>
      <xdr:colOff>0</xdr:colOff>
      <xdr:row>1</xdr:row>
      <xdr:rowOff>219075</xdr:rowOff>
    </xdr:from>
    <xdr:to>
      <xdr:col>39</xdr:col>
      <xdr:colOff>304800</xdr:colOff>
      <xdr:row>5</xdr:row>
      <xdr:rowOff>180975</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22631400" y="457200"/>
          <a:ext cx="3733800"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看護師１人「だけ」加配のとき、一般加算から出す？</a:t>
          </a:r>
          <a:endParaRPr kumimoji="1" lang="en-US" altLang="ja-JP" sz="1100"/>
        </a:p>
        <a:p>
          <a:r>
            <a:rPr kumimoji="1" lang="ja-JP" altLang="en-US" sz="1100"/>
            <a:t>　→　不要では。</a:t>
          </a:r>
        </a:p>
      </xdr:txBody>
    </xdr:sp>
    <xdr:clientData/>
  </xdr:twoCellAnchor>
  <xdr:twoCellAnchor>
    <xdr:from>
      <xdr:col>21</xdr:col>
      <xdr:colOff>9525</xdr:colOff>
      <xdr:row>3</xdr:row>
      <xdr:rowOff>47625</xdr:rowOff>
    </xdr:from>
    <xdr:to>
      <xdr:col>26</xdr:col>
      <xdr:colOff>314325</xdr:colOff>
      <xdr:row>7</xdr:row>
      <xdr:rowOff>9525</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4411325" y="762000"/>
          <a:ext cx="3733800" cy="914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他のブックへのリンク探せない・・・</a:t>
          </a:r>
        </a:p>
      </xdr:txBody>
    </xdr:sp>
    <xdr:clientData/>
  </xdr:twoCellAnchor>
  <xdr:twoCellAnchor>
    <xdr:from>
      <xdr:col>28</xdr:col>
      <xdr:colOff>514350</xdr:colOff>
      <xdr:row>14</xdr:row>
      <xdr:rowOff>152401</xdr:rowOff>
    </xdr:from>
    <xdr:to>
      <xdr:col>32</xdr:col>
      <xdr:colOff>609600</xdr:colOff>
      <xdr:row>21</xdr:row>
      <xdr:rowOff>47626</xdr:rowOff>
    </xdr:to>
    <xdr:sp macro="" textlink="">
      <xdr:nvSpPr>
        <xdr:cNvPr id="12" name="テキスト ボックス 11">
          <a:extLst>
            <a:ext uri="{FF2B5EF4-FFF2-40B4-BE49-F238E27FC236}">
              <a16:creationId xmlns:a16="http://schemas.microsoft.com/office/drawing/2014/main" id="{00000000-0008-0000-1100-00000C000000}"/>
            </a:ext>
          </a:extLst>
        </xdr:cNvPr>
        <xdr:cNvSpPr txBox="1"/>
      </xdr:nvSpPr>
      <xdr:spPr>
        <a:xfrm>
          <a:off x="19716750" y="3486151"/>
          <a:ext cx="2838450" cy="1562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W</a:t>
          </a:r>
          <a:r>
            <a:rPr kumimoji="1" lang="ja-JP" altLang="en-US" sz="1100"/>
            <a:t>列</a:t>
          </a:r>
          <a:endParaRPr kumimoji="1" lang="en-US" altLang="ja-JP" sz="1100"/>
        </a:p>
        <a:p>
          <a:r>
            <a:rPr kumimoji="1" lang="ja-JP" altLang="en-US" sz="1100"/>
            <a:t>全てのスタートは基本１</a:t>
          </a:r>
        </a:p>
      </xdr:txBody>
    </xdr:sp>
    <xdr:clientData/>
  </xdr:twoCellAnchor>
  <xdr:twoCellAnchor>
    <xdr:from>
      <xdr:col>3</xdr:col>
      <xdr:colOff>666750</xdr:colOff>
      <xdr:row>17</xdr:row>
      <xdr:rowOff>0</xdr:rowOff>
    </xdr:from>
    <xdr:to>
      <xdr:col>10</xdr:col>
      <xdr:colOff>419100</xdr:colOff>
      <xdr:row>22</xdr:row>
      <xdr:rowOff>95250</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2724150" y="4048125"/>
          <a:ext cx="4552950" cy="1285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Ｋ列</a:t>
          </a:r>
          <a:endParaRPr kumimoji="1" lang="en-US" altLang="ja-JP" sz="1100"/>
        </a:p>
        <a:p>
          <a:r>
            <a:rPr kumimoji="1" lang="en-US" altLang="ja-JP" sz="1100"/>
            <a:t>S</a:t>
          </a:r>
          <a:r>
            <a:rPr kumimoji="1" lang="ja-JP" altLang="en-US" sz="1100"/>
            <a:t>列の医ケアがいるときは</a:t>
          </a:r>
          <a:r>
            <a:rPr kumimoji="1" lang="en-US" altLang="ja-JP" sz="1100"/>
            <a:t>min</a:t>
          </a:r>
          <a:r>
            <a:rPr kumimoji="1" lang="ja-JP" altLang="en-US" sz="1100"/>
            <a:t>（確保数</a:t>
          </a:r>
          <a:r>
            <a:rPr kumimoji="1" lang="en-US" altLang="ja-JP" sz="1100"/>
            <a:t>,</a:t>
          </a:r>
          <a:r>
            <a:rPr kumimoji="1" lang="ja-JP" altLang="en-US" sz="1100"/>
            <a:t>１</a:t>
          </a:r>
          <a:r>
            <a:rPr kumimoji="1" lang="en-US" altLang="ja-JP" sz="1100"/>
            <a:t>+</a:t>
          </a:r>
          <a:r>
            <a:rPr kumimoji="1" lang="ja-JP" altLang="en-US" sz="1100"/>
            <a:t>Ｒ列の要配慮加配数）</a:t>
          </a:r>
          <a:endParaRPr kumimoji="1" lang="en-US" altLang="ja-JP" sz="1100"/>
        </a:p>
        <a:p>
          <a:r>
            <a:rPr kumimoji="1" lang="en-US" altLang="ja-JP" sz="1100"/>
            <a:t>S</a:t>
          </a:r>
          <a:r>
            <a:rPr kumimoji="1" lang="ja-JP" altLang="en-US" sz="1100"/>
            <a:t>列の医ケアがいないときは１（看護師配置がある場合）</a:t>
          </a:r>
        </a:p>
      </xdr:txBody>
    </xdr:sp>
    <xdr:clientData/>
  </xdr:twoCellAnchor>
  <xdr:twoCellAnchor>
    <xdr:from>
      <xdr:col>29</xdr:col>
      <xdr:colOff>676275</xdr:colOff>
      <xdr:row>23</xdr:row>
      <xdr:rowOff>0</xdr:rowOff>
    </xdr:from>
    <xdr:to>
      <xdr:col>34</xdr:col>
      <xdr:colOff>600075</xdr:colOff>
      <xdr:row>30</xdr:row>
      <xdr:rowOff>114300</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20564475" y="7172325"/>
          <a:ext cx="3352800" cy="2457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AE</a:t>
          </a:r>
          <a:r>
            <a:rPr kumimoji="1" lang="ja-JP" altLang="en-US" sz="1100"/>
            <a:t>列</a:t>
          </a:r>
          <a:endParaRPr kumimoji="1" lang="en-US" altLang="ja-JP" sz="1100"/>
        </a:p>
        <a:p>
          <a:r>
            <a:rPr kumimoji="1" lang="ja-JP" altLang="en-US" sz="1100"/>
            <a:t>保育士→要件緩和→看護師</a:t>
          </a:r>
          <a:endParaRPr kumimoji="1" lang="en-US" altLang="ja-JP" sz="1100"/>
        </a:p>
        <a:p>
          <a:r>
            <a:rPr kumimoji="1" lang="ja-JP" altLang="en-US" sz="1100"/>
            <a:t>上記でいない場合は、</a:t>
          </a:r>
          <a:r>
            <a:rPr kumimoji="1" lang="en-US" altLang="ja-JP" sz="1100"/>
            <a:t>AT</a:t>
          </a:r>
          <a:r>
            <a:rPr kumimoji="1" lang="ja-JP" altLang="en-US" sz="1100"/>
            <a:t>列で</a:t>
          </a:r>
          <a:endParaRPr kumimoji="1" lang="en-US" altLang="ja-JP" sz="1100"/>
        </a:p>
        <a:p>
          <a:r>
            <a:rPr kumimoji="1" lang="ja-JP" altLang="en-US" sz="1100"/>
            <a:t>支援者→栄養士以外→栄養士</a:t>
          </a:r>
          <a:endParaRPr kumimoji="1" lang="en-US" altLang="ja-JP" sz="1100"/>
        </a:p>
        <a:p>
          <a:endParaRPr kumimoji="1" lang="en-US" altLang="ja-JP" sz="1100"/>
        </a:p>
        <a:p>
          <a:r>
            <a:rPr kumimoji="1" lang="en-US" altLang="ja-JP" sz="1100"/>
            <a:t>AF</a:t>
          </a:r>
          <a:r>
            <a:rPr kumimoji="1" lang="ja-JP" altLang="en-US" sz="1100"/>
            <a:t>列以降は</a:t>
          </a:r>
          <a:endParaRPr kumimoji="1" lang="en-US" altLang="ja-JP" sz="1100"/>
        </a:p>
        <a:p>
          <a:r>
            <a:rPr kumimoji="1" lang="ja-JP" altLang="en-US" sz="1100"/>
            <a:t>要件緩和→看護師→保育士</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99219</xdr:colOff>
      <xdr:row>47</xdr:row>
      <xdr:rowOff>175420</xdr:rowOff>
    </xdr:from>
    <xdr:to>
      <xdr:col>6</xdr:col>
      <xdr:colOff>27385</xdr:colOff>
      <xdr:row>52</xdr:row>
      <xdr:rowOff>199630</xdr:rowOff>
    </xdr:to>
    <xdr:sp macro="" textlink="">
      <xdr:nvSpPr>
        <xdr:cNvPr id="3" name="テキスト ボックス 2">
          <a:extLst>
            <a:ext uri="{FF2B5EF4-FFF2-40B4-BE49-F238E27FC236}">
              <a16:creationId xmlns:a16="http://schemas.microsoft.com/office/drawing/2014/main" id="{15CC1D2F-8C56-4C66-8B47-B59F3EDAB402}"/>
            </a:ext>
          </a:extLst>
        </xdr:cNvPr>
        <xdr:cNvSpPr txBox="1"/>
      </xdr:nvSpPr>
      <xdr:spPr>
        <a:xfrm>
          <a:off x="99219" y="4352529"/>
          <a:ext cx="4581525" cy="116522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給付費の額が定まっていないことから、今般の当初交付申請の額は例年どおりの積算となりますが、今後</a:t>
          </a:r>
          <a:r>
            <a:rPr lang="ja-JP" altLang="en-US" sz="1100">
              <a:solidFill>
                <a:schemeClr val="dk1"/>
              </a:solidFill>
              <a:effectLst/>
              <a:latin typeface="Meiryo UI" panose="020B0604030504040204" pitchFamily="50" charset="-128"/>
              <a:ea typeface="Meiryo UI" panose="020B0604030504040204" pitchFamily="50" charset="-128"/>
              <a:cs typeface="+mn-cs"/>
            </a:rPr>
            <a:t>１</a:t>
          </a:r>
          <a:r>
            <a:rPr lang="ja-JP" altLang="ja-JP" sz="1100">
              <a:solidFill>
                <a:schemeClr val="dk1"/>
              </a:solidFill>
              <a:effectLst/>
              <a:latin typeface="Meiryo UI" panose="020B0604030504040204" pitchFamily="50" charset="-128"/>
              <a:ea typeface="Meiryo UI" panose="020B0604030504040204" pitchFamily="50" charset="-128"/>
              <a:cs typeface="+mn-cs"/>
            </a:rPr>
            <a:t>歳児配置改善加算の加算額</a:t>
          </a:r>
          <a:r>
            <a:rPr lang="ja-JP" altLang="en-US" sz="1100">
              <a:solidFill>
                <a:schemeClr val="dk1"/>
              </a:solidFill>
              <a:effectLst/>
              <a:latin typeface="Meiryo UI" panose="020B0604030504040204" pitchFamily="50" charset="-128"/>
              <a:ea typeface="Meiryo UI" panose="020B0604030504040204" pitchFamily="50" charset="-128"/>
              <a:cs typeface="+mn-cs"/>
            </a:rPr>
            <a:t>及び職員の配置状況等を踏まえ、</a:t>
          </a:r>
          <a:r>
            <a:rPr lang="ja-JP" altLang="ja-JP" sz="1100">
              <a:solidFill>
                <a:schemeClr val="dk1"/>
              </a:solidFill>
              <a:effectLst/>
              <a:latin typeface="Meiryo UI" panose="020B0604030504040204" pitchFamily="50" charset="-128"/>
              <a:ea typeface="Meiryo UI" panose="020B0604030504040204" pitchFamily="50" charset="-128"/>
              <a:cs typeface="+mn-cs"/>
            </a:rPr>
            <a:t>実績報告の際に補助額の調整（減額）を</a:t>
          </a:r>
          <a:r>
            <a:rPr lang="ja-JP" altLang="en-US" sz="1100">
              <a:solidFill>
                <a:schemeClr val="dk1"/>
              </a:solidFill>
              <a:effectLst/>
              <a:latin typeface="Meiryo UI" panose="020B0604030504040204" pitchFamily="50" charset="-128"/>
              <a:ea typeface="Meiryo UI" panose="020B0604030504040204" pitchFamily="50" charset="-128"/>
              <a:cs typeface="+mn-cs"/>
            </a:rPr>
            <a:t>させていただく場合がございます</a:t>
          </a:r>
          <a:r>
            <a:rPr lang="ja-JP" altLang="ja-JP" sz="1100">
              <a:solidFill>
                <a:schemeClr val="dk1"/>
              </a:solidFill>
              <a:effectLst/>
              <a:latin typeface="Meiryo UI" panose="020B0604030504040204" pitchFamily="50" charset="-128"/>
              <a:ea typeface="Meiryo UI" panose="020B0604030504040204" pitchFamily="50" charset="-128"/>
              <a:cs typeface="+mn-cs"/>
            </a:rPr>
            <a:t>のであらかじめご留意ください。（詳細は後日周知予定）</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72628</xdr:colOff>
          <xdr:row>30</xdr:row>
          <xdr:rowOff>52387</xdr:rowOff>
        </xdr:from>
        <xdr:to>
          <xdr:col>8</xdr:col>
          <xdr:colOff>770334</xdr:colOff>
          <xdr:row>47</xdr:row>
          <xdr:rowOff>106362</xdr:rowOff>
        </xdr:to>
        <xdr:pic>
          <xdr:nvPicPr>
            <xdr:cNvPr id="4" name="図 3">
              <a:extLst>
                <a:ext uri="{FF2B5EF4-FFF2-40B4-BE49-F238E27FC236}">
                  <a16:creationId xmlns:a16="http://schemas.microsoft.com/office/drawing/2014/main" id="{A5F00AC8-BAC7-3B05-EEAE-32EFC5A2703D}"/>
                </a:ext>
              </a:extLst>
            </xdr:cNvPr>
            <xdr:cNvPicPr>
              <a:picLocks noChangeAspect="1" noChangeArrowheads="1"/>
              <a:extLst>
                <a:ext uri="{84589F7E-364E-4C9E-8A38-B11213B215E9}">
                  <a14:cameraTool cellRange="カメラ!$E$28:$F$32" spid="_x0000_s120890"/>
                </a:ext>
              </a:extLst>
            </xdr:cNvPicPr>
          </xdr:nvPicPr>
          <xdr:blipFill>
            <a:blip xmlns:r="http://schemas.openxmlformats.org/officeDocument/2006/relationships" r:embed="rId1"/>
            <a:srcRect/>
            <a:stretch>
              <a:fillRect/>
            </a:stretch>
          </xdr:blipFill>
          <xdr:spPr bwMode="auto">
            <a:xfrm>
              <a:off x="72628" y="1987153"/>
              <a:ext cx="7054453" cy="229314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30</xdr:row>
          <xdr:rowOff>57150</xdr:rowOff>
        </xdr:from>
        <xdr:to>
          <xdr:col>7</xdr:col>
          <xdr:colOff>723900</xdr:colOff>
          <xdr:row>48</xdr:row>
          <xdr:rowOff>101600</xdr:rowOff>
        </xdr:to>
        <xdr:pic>
          <xdr:nvPicPr>
            <xdr:cNvPr id="2" name="図 1">
              <a:extLst>
                <a:ext uri="{FF2B5EF4-FFF2-40B4-BE49-F238E27FC236}">
                  <a16:creationId xmlns:a16="http://schemas.microsoft.com/office/drawing/2014/main" id="{318EB777-FC2A-1AB3-13B0-1ED04E90F9B6}"/>
                </a:ext>
              </a:extLst>
            </xdr:cNvPr>
            <xdr:cNvPicPr>
              <a:picLocks noChangeAspect="1" noChangeArrowheads="1"/>
              <a:extLst>
                <a:ext uri="{84589F7E-364E-4C9E-8A38-B11213B215E9}">
                  <a14:cameraTool cellRange="カメラ!$E$28:$F$32" spid="_x0000_s121912"/>
                </a:ext>
              </a:extLst>
            </xdr:cNvPicPr>
          </xdr:nvPicPr>
          <xdr:blipFill>
            <a:blip xmlns:r="http://schemas.openxmlformats.org/officeDocument/2006/relationships" r:embed="rId1"/>
            <a:srcRect/>
            <a:stretch>
              <a:fillRect/>
            </a:stretch>
          </xdr:blipFill>
          <xdr:spPr bwMode="auto">
            <a:xfrm>
              <a:off x="28575" y="1895475"/>
              <a:ext cx="7077075" cy="22955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717549</xdr:colOff>
      <xdr:row>0</xdr:row>
      <xdr:rowOff>296184</xdr:rowOff>
    </xdr:from>
    <xdr:to>
      <xdr:col>5</xdr:col>
      <xdr:colOff>129494</xdr:colOff>
      <xdr:row>2</xdr:row>
      <xdr:rowOff>146505</xdr:rowOff>
    </xdr:to>
    <xdr:sp macro="" textlink="">
      <xdr:nvSpPr>
        <xdr:cNvPr id="3" name="テキスト ボックス 2">
          <a:extLst>
            <a:ext uri="{FF2B5EF4-FFF2-40B4-BE49-F238E27FC236}">
              <a16:creationId xmlns:a16="http://schemas.microsoft.com/office/drawing/2014/main" id="{E0000689-749A-4331-9BD9-93C604059515}"/>
            </a:ext>
          </a:extLst>
        </xdr:cNvPr>
        <xdr:cNvSpPr txBox="1"/>
      </xdr:nvSpPr>
      <xdr:spPr>
        <a:xfrm>
          <a:off x="2500085" y="296184"/>
          <a:ext cx="1915659" cy="44903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水色セル：パソナ貼付け</a:t>
          </a:r>
          <a:endParaRPr kumimoji="1" lang="en-US" altLang="ja-JP" sz="1100"/>
        </a:p>
      </xdr:txBody>
    </xdr:sp>
    <xdr:clientData/>
  </xdr:twoCellAnchor>
  <xdr:twoCellAnchor>
    <xdr:from>
      <xdr:col>0</xdr:col>
      <xdr:colOff>449036</xdr:colOff>
      <xdr:row>0</xdr:row>
      <xdr:rowOff>285750</xdr:rowOff>
    </xdr:from>
    <xdr:to>
      <xdr:col>3</xdr:col>
      <xdr:colOff>591684</xdr:colOff>
      <xdr:row>2</xdr:row>
      <xdr:rowOff>136071</xdr:rowOff>
    </xdr:to>
    <xdr:sp macro="" textlink="">
      <xdr:nvSpPr>
        <xdr:cNvPr id="6" name="テキスト ボックス 5">
          <a:extLst>
            <a:ext uri="{FF2B5EF4-FFF2-40B4-BE49-F238E27FC236}">
              <a16:creationId xmlns:a16="http://schemas.microsoft.com/office/drawing/2014/main" id="{27646956-A5DD-4868-98B6-4FD43E71A13A}"/>
            </a:ext>
          </a:extLst>
        </xdr:cNvPr>
        <xdr:cNvSpPr txBox="1"/>
      </xdr:nvSpPr>
      <xdr:spPr>
        <a:xfrm>
          <a:off x="449036" y="285750"/>
          <a:ext cx="1925184" cy="4490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黄色セル：運営課修正</a:t>
          </a:r>
        </a:p>
      </xdr:txBody>
    </xdr:sp>
    <xdr:clientData/>
  </xdr:twoCellAnchor>
  <xdr:twoCellAnchor>
    <xdr:from>
      <xdr:col>0</xdr:col>
      <xdr:colOff>479425</xdr:colOff>
      <xdr:row>2</xdr:row>
      <xdr:rowOff>216243</xdr:rowOff>
    </xdr:from>
    <xdr:to>
      <xdr:col>3</xdr:col>
      <xdr:colOff>615723</xdr:colOff>
      <xdr:row>2</xdr:row>
      <xdr:rowOff>671628</xdr:rowOff>
    </xdr:to>
    <xdr:sp macro="" textlink="">
      <xdr:nvSpPr>
        <xdr:cNvPr id="7" name="テキスト ボックス 6">
          <a:extLst>
            <a:ext uri="{FF2B5EF4-FFF2-40B4-BE49-F238E27FC236}">
              <a16:creationId xmlns:a16="http://schemas.microsoft.com/office/drawing/2014/main" id="{7257D7B3-5D7D-431D-BDF3-FD057C8C5E03}"/>
            </a:ext>
          </a:extLst>
        </xdr:cNvPr>
        <xdr:cNvSpPr txBox="1"/>
      </xdr:nvSpPr>
      <xdr:spPr>
        <a:xfrm>
          <a:off x="479425" y="814957"/>
          <a:ext cx="1918834" cy="4553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緑セル：運営課貼付け</a:t>
          </a:r>
          <a:endParaRPr kumimoji="1" lang="en-US" altLang="ja-JP" sz="1100"/>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30</xdr:row>
          <xdr:rowOff>57150</xdr:rowOff>
        </xdr:from>
        <xdr:to>
          <xdr:col>7</xdr:col>
          <xdr:colOff>752475</xdr:colOff>
          <xdr:row>47</xdr:row>
          <xdr:rowOff>104775</xdr:rowOff>
        </xdr:to>
        <xdr:pic>
          <xdr:nvPicPr>
            <xdr:cNvPr id="2" name="図 1">
              <a:extLst>
                <a:ext uri="{FF2B5EF4-FFF2-40B4-BE49-F238E27FC236}">
                  <a16:creationId xmlns:a16="http://schemas.microsoft.com/office/drawing/2014/main" id="{003576B0-F321-BC94-CA7B-B24207E6949C}"/>
                </a:ext>
              </a:extLst>
            </xdr:cNvPr>
            <xdr:cNvPicPr>
              <a:picLocks noChangeAspect="1" noChangeArrowheads="1"/>
              <a:extLst>
                <a:ext uri="{84589F7E-364E-4C9E-8A38-B11213B215E9}">
                  <a14:cameraTool cellRange="カメラ!$E$28:$F$32" spid="_x0000_s122928"/>
                </a:ext>
              </a:extLst>
            </xdr:cNvPicPr>
          </xdr:nvPicPr>
          <xdr:blipFill>
            <a:blip xmlns:r="http://schemas.openxmlformats.org/officeDocument/2006/relationships" r:embed="rId1"/>
            <a:srcRect/>
            <a:stretch>
              <a:fillRect/>
            </a:stretch>
          </xdr:blipFill>
          <xdr:spPr bwMode="auto">
            <a:xfrm>
              <a:off x="57150" y="1895475"/>
              <a:ext cx="7077075" cy="22955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3</xdr:col>
      <xdr:colOff>56028</xdr:colOff>
      <xdr:row>2</xdr:row>
      <xdr:rowOff>190500</xdr:rowOff>
    </xdr:from>
    <xdr:to>
      <xdr:col>8</xdr:col>
      <xdr:colOff>638734</xdr:colOff>
      <xdr:row>3</xdr:row>
      <xdr:rowOff>95249</xdr:rowOff>
    </xdr:to>
    <xdr:sp macro="" textlink="">
      <xdr:nvSpPr>
        <xdr:cNvPr id="3" name="吹き出し: 四角形 2">
          <a:extLst>
            <a:ext uri="{FF2B5EF4-FFF2-40B4-BE49-F238E27FC236}">
              <a16:creationId xmlns:a16="http://schemas.microsoft.com/office/drawing/2014/main" id="{00000000-0008-0000-1500-000003000000}"/>
            </a:ext>
          </a:extLst>
        </xdr:cNvPr>
        <xdr:cNvSpPr/>
      </xdr:nvSpPr>
      <xdr:spPr>
        <a:xfrm>
          <a:off x="1411940" y="661147"/>
          <a:ext cx="4863353" cy="543484"/>
        </a:xfrm>
        <a:prstGeom prst="wedgeRectCallout">
          <a:avLst>
            <a:gd name="adj1" fmla="val -61269"/>
            <a:gd name="adj2" fmla="val 93335"/>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栄養管理加算が「配置」の場合は、給付費で同一対象経費が支給されるため、</a:t>
          </a:r>
          <a:r>
            <a:rPr kumimoji="1" lang="ja-JP" altLang="en-US" sz="900">
              <a:solidFill>
                <a:schemeClr val="dk1"/>
              </a:solidFill>
              <a:effectLst/>
              <a:latin typeface="+mn-lt"/>
              <a:ea typeface="+mn-ea"/>
              <a:cs typeface="+mn-cs"/>
            </a:rPr>
            <a:t>月額約</a:t>
          </a:r>
          <a:r>
            <a:rPr kumimoji="1" lang="en-US" altLang="ja-JP" sz="900">
              <a:solidFill>
                <a:schemeClr val="dk1"/>
              </a:solidFill>
              <a:effectLst/>
              <a:latin typeface="+mn-lt"/>
              <a:ea typeface="+mn-ea"/>
              <a:cs typeface="+mn-cs"/>
            </a:rPr>
            <a:t>70,000</a:t>
          </a:r>
          <a:r>
            <a:rPr kumimoji="1" lang="ja-JP" altLang="en-US" sz="900">
              <a:solidFill>
                <a:schemeClr val="dk1"/>
              </a:solidFill>
              <a:effectLst/>
              <a:latin typeface="+mn-lt"/>
              <a:ea typeface="+mn-ea"/>
              <a:cs typeface="+mn-cs"/>
            </a:rPr>
            <a:t>円を差し引いて、</a:t>
          </a:r>
          <a:r>
            <a:rPr kumimoji="1" lang="ja-JP" altLang="ja-JP" sz="900">
              <a:solidFill>
                <a:schemeClr val="dk1"/>
              </a:solidFill>
              <a:effectLst/>
              <a:latin typeface="+mn-lt"/>
              <a:ea typeface="+mn-ea"/>
              <a:cs typeface="+mn-cs"/>
            </a:rPr>
            <a:t>「調理員等配置改善」の補助額</a:t>
          </a:r>
          <a:r>
            <a:rPr kumimoji="1" lang="ja-JP" altLang="en-US" sz="900">
              <a:solidFill>
                <a:schemeClr val="dk1"/>
              </a:solidFill>
              <a:effectLst/>
              <a:latin typeface="+mn-lt"/>
              <a:ea typeface="+mn-ea"/>
              <a:cs typeface="+mn-cs"/>
            </a:rPr>
            <a:t>を支給いたします。</a:t>
          </a:r>
          <a:endParaRPr kumimoji="1" lang="ja-JP" altLang="en-US" sz="900"/>
        </a:p>
      </xdr:txBody>
    </xdr:sp>
    <xdr:clientData/>
  </xdr:twoCellAnchor>
  <xdr:twoCellAnchor>
    <xdr:from>
      <xdr:col>8</xdr:col>
      <xdr:colOff>705971</xdr:colOff>
      <xdr:row>2</xdr:row>
      <xdr:rowOff>56028</xdr:rowOff>
    </xdr:from>
    <xdr:to>
      <xdr:col>13</xdr:col>
      <xdr:colOff>862852</xdr:colOff>
      <xdr:row>3</xdr:row>
      <xdr:rowOff>134470</xdr:rowOff>
    </xdr:to>
    <xdr:sp macro="" textlink="">
      <xdr:nvSpPr>
        <xdr:cNvPr id="5" name="吹き出し: 四角形 4">
          <a:extLst>
            <a:ext uri="{FF2B5EF4-FFF2-40B4-BE49-F238E27FC236}">
              <a16:creationId xmlns:a16="http://schemas.microsoft.com/office/drawing/2014/main" id="{00000000-0008-0000-1500-000005000000}"/>
            </a:ext>
          </a:extLst>
        </xdr:cNvPr>
        <xdr:cNvSpPr/>
      </xdr:nvSpPr>
      <xdr:spPr>
        <a:xfrm>
          <a:off x="6342530" y="526675"/>
          <a:ext cx="4471146" cy="717177"/>
        </a:xfrm>
        <a:prstGeom prst="wedgeRectCallout">
          <a:avLst>
            <a:gd name="adj1" fmla="val -35370"/>
            <a:gd name="adj2" fmla="val 69043"/>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月単位での</a:t>
          </a:r>
          <a:r>
            <a:rPr kumimoji="1" lang="ja-JP" altLang="en-US" sz="900">
              <a:solidFill>
                <a:srgbClr val="FF0000"/>
              </a:solidFill>
            </a:rPr>
            <a:t>定期利用の場合は「勤務日数」を「</a:t>
          </a:r>
          <a:r>
            <a:rPr kumimoji="1" lang="en-US" altLang="ja-JP" sz="900">
              <a:solidFill>
                <a:srgbClr val="FF0000"/>
              </a:solidFill>
            </a:rPr>
            <a:t>1</a:t>
          </a:r>
          <a:r>
            <a:rPr kumimoji="1" lang="ja-JP" altLang="en-US" sz="900">
              <a:solidFill>
                <a:srgbClr val="FF0000"/>
              </a:solidFill>
            </a:rPr>
            <a:t>」</a:t>
          </a:r>
          <a:r>
            <a:rPr kumimoji="1" lang="ja-JP" altLang="en-US" sz="900"/>
            <a:t>とし、</a:t>
          </a:r>
          <a:r>
            <a:rPr lang="ja-JP" altLang="ja-JP" sz="900">
              <a:solidFill>
                <a:schemeClr val="dk1"/>
              </a:solidFill>
              <a:effectLst/>
              <a:latin typeface="+mn-lt"/>
              <a:ea typeface="+mn-ea"/>
              <a:cs typeface="+mn-cs"/>
            </a:rPr>
            <a:t>「交通費単価」欄に「月当たりの金額」を入力してください。</a:t>
          </a:r>
          <a:endParaRPr kumimoji="1" lang="en-US" altLang="ja-JP" sz="900"/>
        </a:p>
        <a:p>
          <a:pPr algn="l"/>
          <a:r>
            <a:rPr kumimoji="1" lang="ja-JP" altLang="en-US" sz="900"/>
            <a:t>雇用契約内容証明書の「交通費」の欄は</a:t>
          </a:r>
          <a:r>
            <a:rPr kumimoji="1" lang="en-US" altLang="ja-JP" sz="900"/>
            <a:t>1</a:t>
          </a:r>
          <a:r>
            <a:rPr kumimoji="1" lang="ja-JP" altLang="en-US" sz="900"/>
            <a:t>か月単位の金額である旨を明記ください。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45945</xdr:colOff>
          <xdr:row>78</xdr:row>
          <xdr:rowOff>64994</xdr:rowOff>
        </xdr:from>
        <xdr:to>
          <xdr:col>9</xdr:col>
          <xdr:colOff>625849</xdr:colOff>
          <xdr:row>102</xdr:row>
          <xdr:rowOff>93569</xdr:rowOff>
        </xdr:to>
        <xdr:pic>
          <xdr:nvPicPr>
            <xdr:cNvPr id="4" name="図 3">
              <a:extLst>
                <a:ext uri="{FF2B5EF4-FFF2-40B4-BE49-F238E27FC236}">
                  <a16:creationId xmlns:a16="http://schemas.microsoft.com/office/drawing/2014/main" id="{A3B15909-2460-A465-4AD8-29DAF17CC2CB}"/>
                </a:ext>
              </a:extLst>
            </xdr:cNvPr>
            <xdr:cNvPicPr>
              <a:picLocks noChangeAspect="1" noChangeArrowheads="1"/>
              <a:extLst>
                <a:ext uri="{84589F7E-364E-4C9E-8A38-B11213B215E9}">
                  <a14:cameraTool cellRange="カメラ!$E$36:$F$42" spid="_x0000_s123960"/>
                </a:ext>
              </a:extLst>
            </xdr:cNvPicPr>
          </xdr:nvPicPr>
          <xdr:blipFill>
            <a:blip xmlns:r="http://schemas.openxmlformats.org/officeDocument/2006/relationships" r:embed="rId1"/>
            <a:srcRect/>
            <a:stretch>
              <a:fillRect/>
            </a:stretch>
          </xdr:blipFill>
          <xdr:spPr bwMode="auto">
            <a:xfrm>
              <a:off x="45945" y="2866465"/>
              <a:ext cx="7079316" cy="316622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2</xdr:col>
      <xdr:colOff>358587</xdr:colOff>
      <xdr:row>2</xdr:row>
      <xdr:rowOff>235323</xdr:rowOff>
    </xdr:from>
    <xdr:to>
      <xdr:col>8</xdr:col>
      <xdr:colOff>571499</xdr:colOff>
      <xdr:row>3</xdr:row>
      <xdr:rowOff>128866</xdr:rowOff>
    </xdr:to>
    <xdr:sp macro="" textlink="">
      <xdr:nvSpPr>
        <xdr:cNvPr id="6" name="吹き出し: 四角形 5">
          <a:extLst>
            <a:ext uri="{FF2B5EF4-FFF2-40B4-BE49-F238E27FC236}">
              <a16:creationId xmlns:a16="http://schemas.microsoft.com/office/drawing/2014/main" id="{00000000-0008-0000-1600-000006000000}"/>
            </a:ext>
          </a:extLst>
        </xdr:cNvPr>
        <xdr:cNvSpPr/>
      </xdr:nvSpPr>
      <xdr:spPr>
        <a:xfrm>
          <a:off x="1355911" y="705970"/>
          <a:ext cx="4852147" cy="498661"/>
        </a:xfrm>
        <a:prstGeom prst="wedgeRectCallout">
          <a:avLst>
            <a:gd name="adj1" fmla="val -58284"/>
            <a:gd name="adj2" fmla="val 85273"/>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栄養管理加算が「配置」の場合は、給付費で同一対象経費が支給されるため、</a:t>
          </a:r>
          <a:r>
            <a:rPr kumimoji="1" lang="ja-JP" altLang="en-US" sz="900">
              <a:solidFill>
                <a:schemeClr val="dk1"/>
              </a:solidFill>
              <a:effectLst/>
              <a:latin typeface="+mn-lt"/>
              <a:ea typeface="+mn-ea"/>
              <a:cs typeface="+mn-cs"/>
            </a:rPr>
            <a:t>月額約</a:t>
          </a:r>
          <a:r>
            <a:rPr kumimoji="1" lang="en-US" altLang="ja-JP" sz="900">
              <a:solidFill>
                <a:schemeClr val="dk1"/>
              </a:solidFill>
              <a:effectLst/>
              <a:latin typeface="+mn-lt"/>
              <a:ea typeface="+mn-ea"/>
              <a:cs typeface="+mn-cs"/>
            </a:rPr>
            <a:t>70,000</a:t>
          </a:r>
          <a:r>
            <a:rPr kumimoji="1" lang="ja-JP" altLang="en-US" sz="900">
              <a:solidFill>
                <a:schemeClr val="dk1"/>
              </a:solidFill>
              <a:effectLst/>
              <a:latin typeface="+mn-lt"/>
              <a:ea typeface="+mn-ea"/>
              <a:cs typeface="+mn-cs"/>
            </a:rPr>
            <a:t>円を差し引いて、</a:t>
          </a:r>
          <a:r>
            <a:rPr kumimoji="1" lang="ja-JP" altLang="ja-JP" sz="900">
              <a:solidFill>
                <a:schemeClr val="dk1"/>
              </a:solidFill>
              <a:effectLst/>
              <a:latin typeface="+mn-lt"/>
              <a:ea typeface="+mn-ea"/>
              <a:cs typeface="+mn-cs"/>
            </a:rPr>
            <a:t>「調理員等配置改善」の補助額</a:t>
          </a:r>
          <a:r>
            <a:rPr kumimoji="1" lang="ja-JP" altLang="en-US" sz="900">
              <a:solidFill>
                <a:schemeClr val="dk1"/>
              </a:solidFill>
              <a:effectLst/>
              <a:latin typeface="+mn-lt"/>
              <a:ea typeface="+mn-ea"/>
              <a:cs typeface="+mn-cs"/>
            </a:rPr>
            <a:t>を支給いたします。</a:t>
          </a:r>
          <a:endParaRPr kumimoji="1" lang="ja-JP" altLang="en-US" sz="900"/>
        </a:p>
      </xdr:txBody>
    </xdr:sp>
    <xdr:clientData/>
  </xdr:twoCellAnchor>
  <xdr:twoCellAnchor>
    <xdr:from>
      <xdr:col>8</xdr:col>
      <xdr:colOff>715847</xdr:colOff>
      <xdr:row>2</xdr:row>
      <xdr:rowOff>78442</xdr:rowOff>
    </xdr:from>
    <xdr:to>
      <xdr:col>13</xdr:col>
      <xdr:colOff>872729</xdr:colOff>
      <xdr:row>3</xdr:row>
      <xdr:rowOff>156883</xdr:rowOff>
    </xdr:to>
    <xdr:sp macro="" textlink="">
      <xdr:nvSpPr>
        <xdr:cNvPr id="7" name="吹き出し: 四角形 6">
          <a:extLst>
            <a:ext uri="{FF2B5EF4-FFF2-40B4-BE49-F238E27FC236}">
              <a16:creationId xmlns:a16="http://schemas.microsoft.com/office/drawing/2014/main" id="{00000000-0008-0000-1600-000007000000}"/>
            </a:ext>
          </a:extLst>
        </xdr:cNvPr>
        <xdr:cNvSpPr/>
      </xdr:nvSpPr>
      <xdr:spPr>
        <a:xfrm>
          <a:off x="6352406" y="549089"/>
          <a:ext cx="4471147" cy="683559"/>
        </a:xfrm>
        <a:prstGeom prst="wedgeRectCallout">
          <a:avLst>
            <a:gd name="adj1" fmla="val -36121"/>
            <a:gd name="adj2" fmla="val 69043"/>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月単位での</a:t>
          </a:r>
          <a:r>
            <a:rPr kumimoji="1" lang="ja-JP" altLang="en-US" sz="900">
              <a:solidFill>
                <a:srgbClr val="FF0000"/>
              </a:solidFill>
            </a:rPr>
            <a:t>定期利用の場合は「勤務日数」を「</a:t>
          </a:r>
          <a:r>
            <a:rPr kumimoji="1" lang="en-US" altLang="ja-JP" sz="900">
              <a:solidFill>
                <a:srgbClr val="FF0000"/>
              </a:solidFill>
            </a:rPr>
            <a:t>1</a:t>
          </a:r>
          <a:r>
            <a:rPr kumimoji="1" lang="ja-JP" altLang="en-US" sz="900">
              <a:solidFill>
                <a:srgbClr val="FF0000"/>
              </a:solidFill>
            </a:rPr>
            <a:t>」</a:t>
          </a:r>
          <a:r>
            <a:rPr kumimoji="1" lang="ja-JP" altLang="en-US" sz="900"/>
            <a:t>とし、</a:t>
          </a:r>
          <a:r>
            <a:rPr lang="ja-JP" altLang="ja-JP" sz="900">
              <a:solidFill>
                <a:schemeClr val="dk1"/>
              </a:solidFill>
              <a:effectLst/>
              <a:latin typeface="+mn-lt"/>
              <a:ea typeface="+mn-ea"/>
              <a:cs typeface="+mn-cs"/>
            </a:rPr>
            <a:t>「交通費単価」欄に「月当たりの金額」を入力してください。</a:t>
          </a:r>
          <a:endParaRPr kumimoji="1" lang="en-US" altLang="ja-JP" sz="900"/>
        </a:p>
        <a:p>
          <a:pPr algn="l"/>
          <a:r>
            <a:rPr kumimoji="1" lang="ja-JP" altLang="en-US" sz="900"/>
            <a:t>雇用契約内容証明書の「交通費」の欄は</a:t>
          </a:r>
          <a:r>
            <a:rPr kumimoji="1" lang="en-US" altLang="ja-JP" sz="900"/>
            <a:t>1</a:t>
          </a:r>
          <a:r>
            <a:rPr kumimoji="1" lang="ja-JP" altLang="en-US" sz="900"/>
            <a:t>か月単位の金額である旨を明記ください。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91328</xdr:colOff>
          <xdr:row>78</xdr:row>
          <xdr:rowOff>75640</xdr:rowOff>
        </xdr:from>
        <xdr:to>
          <xdr:col>9</xdr:col>
          <xdr:colOff>662828</xdr:colOff>
          <xdr:row>102</xdr:row>
          <xdr:rowOff>104215</xdr:rowOff>
        </xdr:to>
        <xdr:pic>
          <xdr:nvPicPr>
            <xdr:cNvPr id="3" name="図 2">
              <a:extLst>
                <a:ext uri="{FF2B5EF4-FFF2-40B4-BE49-F238E27FC236}">
                  <a16:creationId xmlns:a16="http://schemas.microsoft.com/office/drawing/2014/main" id="{95BFFDF7-76C8-A9FF-3389-1AD16C733809}"/>
                </a:ext>
              </a:extLst>
            </xdr:cNvPr>
            <xdr:cNvPicPr>
              <a:picLocks noChangeAspect="1" noChangeArrowheads="1"/>
              <a:extLst>
                <a:ext uri="{84589F7E-364E-4C9E-8A38-B11213B215E9}">
                  <a14:cameraTool cellRange="カメラ!$E$36:$F$42" spid="_x0000_s124984"/>
                </a:ext>
              </a:extLst>
            </xdr:cNvPicPr>
          </xdr:nvPicPr>
          <xdr:blipFill>
            <a:blip xmlns:r="http://schemas.openxmlformats.org/officeDocument/2006/relationships" r:embed="rId1"/>
            <a:srcRect/>
            <a:stretch>
              <a:fillRect/>
            </a:stretch>
          </xdr:blipFill>
          <xdr:spPr bwMode="auto">
            <a:xfrm>
              <a:off x="91328" y="2843493"/>
              <a:ext cx="7070912" cy="316622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43702</xdr:colOff>
          <xdr:row>138</xdr:row>
          <xdr:rowOff>71157</xdr:rowOff>
        </xdr:from>
        <xdr:to>
          <xdr:col>7</xdr:col>
          <xdr:colOff>377077</xdr:colOff>
          <xdr:row>167</xdr:row>
          <xdr:rowOff>114300</xdr:rowOff>
        </xdr:to>
        <xdr:pic>
          <xdr:nvPicPr>
            <xdr:cNvPr id="2" name="図 1">
              <a:extLst>
                <a:ext uri="{FF2B5EF4-FFF2-40B4-BE49-F238E27FC236}">
                  <a16:creationId xmlns:a16="http://schemas.microsoft.com/office/drawing/2014/main" id="{7E95203F-48F5-8500-D381-B673CE3D5499}"/>
                </a:ext>
              </a:extLst>
            </xdr:cNvPr>
            <xdr:cNvPicPr>
              <a:picLocks noChangeAspect="1" noChangeArrowheads="1"/>
              <a:extLst>
                <a:ext uri="{84589F7E-364E-4C9E-8A38-B11213B215E9}">
                  <a14:cameraTool cellRange="カメラ!$E$28:$F$32" spid="_x0000_s126002"/>
                </a:ext>
              </a:extLst>
            </xdr:cNvPicPr>
          </xdr:nvPicPr>
          <xdr:blipFill>
            <a:blip xmlns:r="http://schemas.openxmlformats.org/officeDocument/2006/relationships" r:embed="rId1"/>
            <a:srcRect/>
            <a:stretch>
              <a:fillRect/>
            </a:stretch>
          </xdr:blipFill>
          <xdr:spPr bwMode="auto">
            <a:xfrm>
              <a:off x="43702" y="3007098"/>
              <a:ext cx="7090522" cy="225070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33058</xdr:colOff>
          <xdr:row>66</xdr:row>
          <xdr:rowOff>44824</xdr:rowOff>
        </xdr:from>
        <xdr:to>
          <xdr:col>7</xdr:col>
          <xdr:colOff>366433</xdr:colOff>
          <xdr:row>95</xdr:row>
          <xdr:rowOff>87966</xdr:rowOff>
        </xdr:to>
        <xdr:pic>
          <xdr:nvPicPr>
            <xdr:cNvPr id="3" name="図 2">
              <a:extLst>
                <a:ext uri="{FF2B5EF4-FFF2-40B4-BE49-F238E27FC236}">
                  <a16:creationId xmlns:a16="http://schemas.microsoft.com/office/drawing/2014/main" id="{14AA3EFD-AC82-B64F-00A1-BA7B4D873111}"/>
                </a:ext>
              </a:extLst>
            </xdr:cNvPr>
            <xdr:cNvPicPr>
              <a:picLocks noChangeAspect="1" noChangeArrowheads="1"/>
              <a:extLst>
                <a:ext uri="{84589F7E-364E-4C9E-8A38-B11213B215E9}">
                  <a14:cameraTool cellRange="カメラ!$E$28:$F$32" spid="_x0000_s127026"/>
                </a:ext>
              </a:extLst>
            </xdr:cNvPicPr>
          </xdr:nvPicPr>
          <xdr:blipFill>
            <a:blip xmlns:r="http://schemas.openxmlformats.org/officeDocument/2006/relationships" r:embed="rId1"/>
            <a:srcRect/>
            <a:stretch>
              <a:fillRect/>
            </a:stretch>
          </xdr:blipFill>
          <xdr:spPr bwMode="auto">
            <a:xfrm>
              <a:off x="33058" y="1972236"/>
              <a:ext cx="7090522" cy="225070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13</xdr:col>
      <xdr:colOff>78442</xdr:colOff>
      <xdr:row>13</xdr:row>
      <xdr:rowOff>168088</xdr:rowOff>
    </xdr:from>
    <xdr:to>
      <xdr:col>17</xdr:col>
      <xdr:colOff>224118</xdr:colOff>
      <xdr:row>14</xdr:row>
      <xdr:rowOff>212912</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bwMode="auto">
        <a:xfrm>
          <a:off x="7117417" y="4044763"/>
          <a:ext cx="2955551" cy="330574"/>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各金額は自動で計算されます。</a:t>
          </a:r>
          <a:endParaRPr kumimoji="1" lang="en-US" altLang="ja-JP" sz="1100"/>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5953125" y="27241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5953125" y="27241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5953125" y="27241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12</xdr:col>
      <xdr:colOff>235323</xdr:colOff>
      <xdr:row>8</xdr:row>
      <xdr:rowOff>369795</xdr:rowOff>
    </xdr:from>
    <xdr:to>
      <xdr:col>17</xdr:col>
      <xdr:colOff>311522</xdr:colOff>
      <xdr:row>11</xdr:row>
      <xdr:rowOff>52108</xdr:rowOff>
    </xdr:to>
    <xdr:sp macro="" textlink="">
      <xdr:nvSpPr>
        <xdr:cNvPr id="6" name="正方形/長方形 5">
          <a:extLst>
            <a:ext uri="{FF2B5EF4-FFF2-40B4-BE49-F238E27FC236}">
              <a16:creationId xmlns:a16="http://schemas.microsoft.com/office/drawing/2014/main" id="{00000000-0008-0000-1900-000006000000}"/>
            </a:ext>
          </a:extLst>
        </xdr:cNvPr>
        <xdr:cNvSpPr/>
      </xdr:nvSpPr>
      <xdr:spPr>
        <a:xfrm>
          <a:off x="6836148" y="2579595"/>
          <a:ext cx="3324224" cy="653863"/>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100"/>
            </a:lnSpc>
          </a:pPr>
          <a:r>
            <a:rPr kumimoji="1" lang="en-US" altLang="ja-JP" sz="1100" b="1">
              <a:solidFill>
                <a:srgbClr val="FF0000"/>
              </a:solidFill>
            </a:rPr>
            <a:t>※R4.1</a:t>
          </a:r>
          <a:r>
            <a:rPr kumimoji="1" lang="ja-JP" altLang="en-US" sz="1100" b="1">
              <a:solidFill>
                <a:srgbClr val="FF0000"/>
              </a:solidFill>
            </a:rPr>
            <a:t>時点の情報と異なる場合は関数の上から、上書き修正して下さい。</a:t>
          </a:r>
          <a:endParaRPr kumimoji="1" lang="en-US" altLang="ja-JP" sz="1100" b="1">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38100</xdr:colOff>
      <xdr:row>24</xdr:row>
      <xdr:rowOff>19051</xdr:rowOff>
    </xdr:from>
    <xdr:to>
      <xdr:col>6</xdr:col>
      <xdr:colOff>1143000</xdr:colOff>
      <xdr:row>30</xdr:row>
      <xdr:rowOff>95250</xdr:rowOff>
    </xdr:to>
    <xdr:sp macro="" textlink="">
      <xdr:nvSpPr>
        <xdr:cNvPr id="2" name="テキスト ボックス 1">
          <a:extLst>
            <a:ext uri="{FF2B5EF4-FFF2-40B4-BE49-F238E27FC236}">
              <a16:creationId xmlns:a16="http://schemas.microsoft.com/office/drawing/2014/main" id="{607F92DA-4752-464F-95EA-6EB835D6C7E9}"/>
            </a:ext>
          </a:extLst>
        </xdr:cNvPr>
        <xdr:cNvSpPr txBox="1"/>
      </xdr:nvSpPr>
      <xdr:spPr>
        <a:xfrm>
          <a:off x="695325" y="2324101"/>
          <a:ext cx="6238875" cy="1276349"/>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このシートの取り扱いについて</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・４・５歳児児童数を入力してください。</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・加算単価については、</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R6</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年度単価を使用しております。実績報告時には改定される可能性がありますのでご留意ください。</a:t>
          </a:r>
          <a:endParaRPr lang="ja-JP"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ndParaRPr>
        </a:p>
      </xdr:txBody>
    </xdr:sp>
    <xdr:clientData/>
  </xdr:twoCellAnchor>
  <xdr:twoCellAnchor>
    <xdr:from>
      <xdr:col>7</xdr:col>
      <xdr:colOff>419100</xdr:colOff>
      <xdr:row>24</xdr:row>
      <xdr:rowOff>28575</xdr:rowOff>
    </xdr:from>
    <xdr:to>
      <xdr:col>9</xdr:col>
      <xdr:colOff>984249</xdr:colOff>
      <xdr:row>32</xdr:row>
      <xdr:rowOff>19050</xdr:rowOff>
    </xdr:to>
    <xdr:sp macro="" textlink="">
      <xdr:nvSpPr>
        <xdr:cNvPr id="5" name="テキスト ボックス 4">
          <a:extLst>
            <a:ext uri="{FF2B5EF4-FFF2-40B4-BE49-F238E27FC236}">
              <a16:creationId xmlns:a16="http://schemas.microsoft.com/office/drawing/2014/main" id="{5F002625-EC12-45B4-9AC6-3C0FE7D64A9A}"/>
            </a:ext>
          </a:extLst>
        </xdr:cNvPr>
        <xdr:cNvSpPr txBox="1"/>
      </xdr:nvSpPr>
      <xdr:spPr>
        <a:xfrm>
          <a:off x="7419975" y="2333625"/>
          <a:ext cx="2984499"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latinLnBrk="0" hangingPunct="1"/>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【4</a:t>
          </a:r>
          <a:r>
            <a:rPr kumimoji="1" lang="ja-JP" altLang="en-US" sz="1100" b="1" u="none">
              <a:solidFill>
                <a:schemeClr val="dk1"/>
              </a:solidFill>
              <a:effectLst/>
              <a:latin typeface="BIZ UDPゴシック" panose="020B0400000000000000" pitchFamily="50" charset="-128"/>
              <a:ea typeface="BIZ UDPゴシック" panose="020B0400000000000000" pitchFamily="50" charset="-128"/>
              <a:cs typeface="+mn-cs"/>
            </a:rPr>
            <a:t>歳以上児配置改善加算相当額算出方法</a:t>
          </a:r>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a:t>
          </a:r>
        </a:p>
        <a:p>
          <a:pPr rtl="0" eaLnBrk="1" latinLnBrk="0" hangingPunct="1"/>
          <a:endParaRPr kumimoji="1" lang="en-US" altLang="ja-JP" sz="1100" b="1" u="sng">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Ａ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4</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5</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歳児児童数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Ｂ</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加算単価</a:t>
          </a:r>
          <a:endParaRPr lang="ja-JP" altLang="ja-JP">
            <a:solidFill>
              <a:srgbClr val="FF0000"/>
            </a:solidFill>
            <a:effectLst/>
            <a:latin typeface="BIZ UDPゴシック" panose="020B0400000000000000" pitchFamily="50" charset="-128"/>
            <a:ea typeface="BIZ UDPゴシック" panose="020B0400000000000000" pitchFamily="50" charset="-128"/>
          </a:endParaRPr>
        </a:p>
        <a:p>
          <a:pPr rtl="0" eaLnBrk="1" latinLnBrk="0" hangingPunct="1"/>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Ａ　各園が入力した児童数</a:t>
          </a:r>
          <a:endParaRPr lang="ja-JP" altLang="ja-JP">
            <a:effectLst/>
            <a:latin typeface="BIZ UDPゴシック" panose="020B0400000000000000" pitchFamily="50" charset="-128"/>
            <a:ea typeface="BIZ UDPゴシック" panose="020B0400000000000000" pitchFamily="50" charset="-128"/>
          </a:endParaRPr>
        </a:p>
        <a:p>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Ｂ　園ごとの加算単価</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R6</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年度ベース）</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78442</xdr:colOff>
      <xdr:row>14</xdr:row>
      <xdr:rowOff>168088</xdr:rowOff>
    </xdr:from>
    <xdr:to>
      <xdr:col>17</xdr:col>
      <xdr:colOff>224118</xdr:colOff>
      <xdr:row>15</xdr:row>
      <xdr:rowOff>212912</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bwMode="auto">
        <a:xfrm>
          <a:off x="7117417" y="4044763"/>
          <a:ext cx="2631701" cy="330574"/>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各金額は自動で計算されます。</a:t>
          </a:r>
          <a:endParaRPr kumimoji="1" lang="en-US" altLang="ja-JP" sz="1100"/>
        </a:p>
      </xdr:txBody>
    </xdr:sp>
    <xdr:clientData/>
  </xdr:twoCellAnchor>
  <xdr:twoCellAnchor>
    <xdr:from>
      <xdr:col>12</xdr:col>
      <xdr:colOff>89646</xdr:colOff>
      <xdr:row>8</xdr:row>
      <xdr:rowOff>179294</xdr:rowOff>
    </xdr:from>
    <xdr:to>
      <xdr:col>22</xdr:col>
      <xdr:colOff>502023</xdr:colOff>
      <xdr:row>11</xdr:row>
      <xdr:rowOff>243728</xdr:rowOff>
    </xdr:to>
    <xdr:sp macro="" textlink="">
      <xdr:nvSpPr>
        <xdr:cNvPr id="9" name="テキスト ボックス 8">
          <a:extLst>
            <a:ext uri="{FF2B5EF4-FFF2-40B4-BE49-F238E27FC236}">
              <a16:creationId xmlns:a16="http://schemas.microsoft.com/office/drawing/2014/main" id="{7724793A-24EA-4EDC-AF7A-F5777832EA30}"/>
            </a:ext>
          </a:extLst>
        </xdr:cNvPr>
        <xdr:cNvSpPr txBox="1"/>
      </xdr:nvSpPr>
      <xdr:spPr>
        <a:xfrm>
          <a:off x="6701117" y="2431676"/>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BIZ UDPゴシック" panose="020B0400000000000000" pitchFamily="50" charset="-128"/>
              <a:ea typeface="BIZ UDPゴシック" panose="020B0400000000000000" pitchFamily="50" charset="-128"/>
            </a:rPr>
            <a:t>・「園毎の固有番号」に基づき、</a:t>
          </a:r>
          <a:r>
            <a:rPr kumimoji="1" lang="ja-JP" altLang="en-US" sz="1200" u="sng">
              <a:solidFill>
                <a:srgbClr val="FF0000"/>
              </a:solidFill>
              <a:latin typeface="BIZ UDPゴシック" panose="020B0400000000000000" pitchFamily="50" charset="-128"/>
              <a:ea typeface="BIZ UDPゴシック" panose="020B0400000000000000" pitchFamily="50" charset="-128"/>
            </a:rPr>
            <a:t>３月１日時点の情報</a:t>
          </a:r>
          <a:r>
            <a:rPr kumimoji="1" lang="ja-JP" altLang="en-US" sz="1200">
              <a:latin typeface="BIZ UDPゴシック" panose="020B0400000000000000" pitchFamily="50" charset="-128"/>
              <a:ea typeface="BIZ UDPゴシック" panose="020B0400000000000000" pitchFamily="50" charset="-128"/>
            </a:rPr>
            <a:t>を記載しております。</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a:t>
          </a:r>
          <a:r>
            <a:rPr kumimoji="1" lang="ja-JP" altLang="en-US" sz="1200" u="sng">
              <a:solidFill>
                <a:srgbClr val="FF0000"/>
              </a:solidFill>
              <a:latin typeface="BIZ UDPゴシック" panose="020B0400000000000000" pitchFamily="50" charset="-128"/>
              <a:ea typeface="BIZ UDPゴシック" panose="020B0400000000000000" pitchFamily="50" charset="-128"/>
            </a:rPr>
            <a:t>令和７年４月時点で修正があった場合は</a:t>
          </a:r>
          <a:r>
            <a:rPr kumimoji="1" lang="ja-JP" altLang="en-US" sz="1200">
              <a:latin typeface="BIZ UDPゴシック" panose="020B0400000000000000" pitchFamily="50" charset="-128"/>
              <a:ea typeface="BIZ UDPゴシック" panose="020B0400000000000000" pitchFamily="50" charset="-128"/>
            </a:rPr>
            <a:t>恐縮ですが、</a:t>
          </a:r>
          <a:r>
            <a:rPr kumimoji="1" lang="ja-JP" altLang="en-US" sz="1200" u="sng">
              <a:solidFill>
                <a:srgbClr val="FF0000"/>
              </a:solidFill>
              <a:latin typeface="BIZ UDPゴシック" panose="020B0400000000000000" pitchFamily="50" charset="-128"/>
              <a:ea typeface="BIZ UDPゴシック" panose="020B0400000000000000" pitchFamily="50" charset="-128"/>
            </a:rPr>
            <a:t>関数の上から上書き</a:t>
          </a:r>
          <a:r>
            <a:rPr kumimoji="1" lang="ja-JP" altLang="en-US" sz="1200">
              <a:latin typeface="BIZ UDPゴシック" panose="020B0400000000000000" pitchFamily="50" charset="-128"/>
              <a:ea typeface="BIZ UDPゴシック" panose="020B0400000000000000" pitchFamily="50" charset="-128"/>
            </a:rPr>
            <a:t>願います。</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23</xdr:col>
      <xdr:colOff>136874</xdr:colOff>
      <xdr:row>18</xdr:row>
      <xdr:rowOff>43221</xdr:rowOff>
    </xdr:from>
    <xdr:to>
      <xdr:col>24</xdr:col>
      <xdr:colOff>408216</xdr:colOff>
      <xdr:row>18</xdr:row>
      <xdr:rowOff>326570</xdr:rowOff>
    </xdr:to>
    <xdr:sp macro="" textlink="">
      <xdr:nvSpPr>
        <xdr:cNvPr id="2" name="矢印: 下 1">
          <a:extLst>
            <a:ext uri="{FF2B5EF4-FFF2-40B4-BE49-F238E27FC236}">
              <a16:creationId xmlns:a16="http://schemas.microsoft.com/office/drawing/2014/main" id="{00000000-0008-0000-1B00-000002000000}"/>
            </a:ext>
          </a:extLst>
        </xdr:cNvPr>
        <xdr:cNvSpPr/>
      </xdr:nvSpPr>
      <xdr:spPr>
        <a:xfrm>
          <a:off x="7842599" y="4872396"/>
          <a:ext cx="747592" cy="28334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296182</xdr:colOff>
      <xdr:row>36</xdr:row>
      <xdr:rowOff>0</xdr:rowOff>
    </xdr:from>
    <xdr:to>
      <xdr:col>7</xdr:col>
      <xdr:colOff>296182</xdr:colOff>
      <xdr:row>44</xdr:row>
      <xdr:rowOff>3229</xdr:rowOff>
    </xdr:to>
    <xdr:cxnSp macro="">
      <xdr:nvCxnSpPr>
        <xdr:cNvPr id="3" name="直線コネクタ 2">
          <a:extLst>
            <a:ext uri="{FF2B5EF4-FFF2-40B4-BE49-F238E27FC236}">
              <a16:creationId xmlns:a16="http://schemas.microsoft.com/office/drawing/2014/main" id="{00000000-0008-0000-1B00-000003000000}"/>
            </a:ext>
          </a:extLst>
        </xdr:cNvPr>
        <xdr:cNvCxnSpPr/>
      </xdr:nvCxnSpPr>
      <xdr:spPr>
        <a:xfrm>
          <a:off x="2458917" y="11172265"/>
          <a:ext cx="0" cy="203149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204107</xdr:colOff>
      <xdr:row>40</xdr:row>
      <xdr:rowOff>13607</xdr:rowOff>
    </xdr:from>
    <xdr:to>
      <xdr:col>24</xdr:col>
      <xdr:colOff>217714</xdr:colOff>
      <xdr:row>43</xdr:row>
      <xdr:rowOff>163286</xdr:rowOff>
    </xdr:to>
    <xdr:cxnSp macro="">
      <xdr:nvCxnSpPr>
        <xdr:cNvPr id="4" name="直線コネクタ 3">
          <a:extLst>
            <a:ext uri="{FF2B5EF4-FFF2-40B4-BE49-F238E27FC236}">
              <a16:creationId xmlns:a16="http://schemas.microsoft.com/office/drawing/2014/main" id="{00000000-0008-0000-1B00-000004000000}"/>
            </a:ext>
          </a:extLst>
        </xdr:cNvPr>
        <xdr:cNvCxnSpPr/>
      </xdr:nvCxnSpPr>
      <xdr:spPr>
        <a:xfrm>
          <a:off x="8386082" y="11034032"/>
          <a:ext cx="13607" cy="673554"/>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285750</xdr:colOff>
      <xdr:row>43</xdr:row>
      <xdr:rowOff>136072</xdr:rowOff>
    </xdr:from>
    <xdr:to>
      <xdr:col>24</xdr:col>
      <xdr:colOff>231321</xdr:colOff>
      <xdr:row>43</xdr:row>
      <xdr:rowOff>149679</xdr:rowOff>
    </xdr:to>
    <xdr:cxnSp macro="">
      <xdr:nvCxnSpPr>
        <xdr:cNvPr id="5" name="直線コネクタ 4">
          <a:extLst>
            <a:ext uri="{FF2B5EF4-FFF2-40B4-BE49-F238E27FC236}">
              <a16:creationId xmlns:a16="http://schemas.microsoft.com/office/drawing/2014/main" id="{00000000-0008-0000-1B00-000005000000}"/>
            </a:ext>
          </a:extLst>
        </xdr:cNvPr>
        <xdr:cNvCxnSpPr/>
      </xdr:nvCxnSpPr>
      <xdr:spPr>
        <a:xfrm flipV="1">
          <a:off x="2419350" y="11680372"/>
          <a:ext cx="5993946" cy="1360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54428</xdr:colOff>
      <xdr:row>43</xdr:row>
      <xdr:rowOff>163287</xdr:rowOff>
    </xdr:from>
    <xdr:to>
      <xdr:col>17</xdr:col>
      <xdr:colOff>54429</xdr:colOff>
      <xdr:row>46</xdr:row>
      <xdr:rowOff>27214</xdr:rowOff>
    </xdr:to>
    <xdr:cxnSp macro="">
      <xdr:nvCxnSpPr>
        <xdr:cNvPr id="6" name="直線コネクタ 5">
          <a:extLst>
            <a:ext uri="{FF2B5EF4-FFF2-40B4-BE49-F238E27FC236}">
              <a16:creationId xmlns:a16="http://schemas.microsoft.com/office/drawing/2014/main" id="{00000000-0008-0000-1B00-000006000000}"/>
            </a:ext>
          </a:extLst>
        </xdr:cNvPr>
        <xdr:cNvCxnSpPr/>
      </xdr:nvCxnSpPr>
      <xdr:spPr>
        <a:xfrm flipH="1">
          <a:off x="5617028" y="11707587"/>
          <a:ext cx="1" cy="37827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231321</xdr:colOff>
      <xdr:row>45</xdr:row>
      <xdr:rowOff>108857</xdr:rowOff>
    </xdr:from>
    <xdr:to>
      <xdr:col>21</xdr:col>
      <xdr:colOff>326571</xdr:colOff>
      <xdr:row>49</xdr:row>
      <xdr:rowOff>40822</xdr:rowOff>
    </xdr:to>
    <xdr:sp macro="" textlink="">
      <xdr:nvSpPr>
        <xdr:cNvPr id="7" name="テキスト ボックス 6">
          <a:extLst>
            <a:ext uri="{FF2B5EF4-FFF2-40B4-BE49-F238E27FC236}">
              <a16:creationId xmlns:a16="http://schemas.microsoft.com/office/drawing/2014/main" id="{00000000-0008-0000-1B00-000007000000}"/>
            </a:ext>
          </a:extLst>
        </xdr:cNvPr>
        <xdr:cNvSpPr txBox="1"/>
      </xdr:nvSpPr>
      <xdr:spPr>
        <a:xfrm>
          <a:off x="4079421" y="11996057"/>
          <a:ext cx="3152775" cy="617765"/>
        </a:xfrm>
        <a:prstGeom prst="rect">
          <a:avLst/>
        </a:prstGeom>
        <a:solidFill>
          <a:srgbClr val="FFFF00"/>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HGｺﾞｼｯｸE" panose="020B0909000000000000" pitchFamily="49" charset="-128"/>
              <a:ea typeface="HGｺﾞｼｯｸE" panose="020B0909000000000000" pitchFamily="49" charset="-128"/>
            </a:rPr>
            <a:t>ここの数字を比較</a:t>
          </a:r>
        </a:p>
      </xdr:txBody>
    </xdr:sp>
    <xdr:clientData/>
  </xdr:twoCellAnchor>
  <xdr:twoCellAnchor>
    <xdr:from>
      <xdr:col>21</xdr:col>
      <xdr:colOff>104881</xdr:colOff>
      <xdr:row>0</xdr:row>
      <xdr:rowOff>67236</xdr:rowOff>
    </xdr:from>
    <xdr:to>
      <xdr:col>39</xdr:col>
      <xdr:colOff>213661</xdr:colOff>
      <xdr:row>18</xdr:row>
      <xdr:rowOff>129615</xdr:rowOff>
    </xdr:to>
    <xdr:sp macro="" textlink="">
      <xdr:nvSpPr>
        <xdr:cNvPr id="8" name="正方形/長方形 7">
          <a:extLst>
            <a:ext uri="{FF2B5EF4-FFF2-40B4-BE49-F238E27FC236}">
              <a16:creationId xmlns:a16="http://schemas.microsoft.com/office/drawing/2014/main" id="{00000000-0008-0000-1B00-000008000000}"/>
            </a:ext>
          </a:extLst>
        </xdr:cNvPr>
        <xdr:cNvSpPr/>
      </xdr:nvSpPr>
      <xdr:spPr>
        <a:xfrm>
          <a:off x="7130969" y="67236"/>
          <a:ext cx="10933663" cy="498176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600" b="1" u="sng">
              <a:solidFill>
                <a:sysClr val="windowText" lastClr="000000"/>
              </a:solidFill>
              <a:effectLst/>
              <a:latin typeface="HGｺﾞｼｯｸM" panose="020B0609000000000000" pitchFamily="49" charset="-128"/>
              <a:ea typeface="HGｺﾞｼｯｸM" panose="020B0609000000000000" pitchFamily="49" charset="-128"/>
              <a:cs typeface="+mn-cs"/>
            </a:rPr>
            <a:t>■第二期の分割請求を希望しない場合</a:t>
          </a:r>
          <a:endParaRPr kumimoji="1" lang="en-US" altLang="ja-JP" sz="1600" b="1" u="sng">
            <a:solidFill>
              <a:sysClr val="windowText" lastClr="000000"/>
            </a:solidFill>
            <a:effectLst/>
            <a:latin typeface="HGｺﾞｼｯｸM" panose="020B0609000000000000" pitchFamily="49" charset="-128"/>
            <a:ea typeface="HGｺﾞｼｯｸM" panose="020B0609000000000000" pitchFamily="49" charset="-128"/>
            <a:cs typeface="+mn-cs"/>
          </a:endParaRPr>
        </a:p>
        <a:p>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こちらは提出不要です。</a:t>
          </a:r>
        </a:p>
        <a:p>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　</a:t>
          </a:r>
          <a:r>
            <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特段の作業は発生しません</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a:t>
          </a:r>
          <a:endParaRPr lang="ja-JP" altLang="ja-JP" sz="1400">
            <a:solidFill>
              <a:sysClr val="windowText" lastClr="000000"/>
            </a:solidFill>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sng">
              <a:solidFill>
                <a:sysClr val="windowText" lastClr="000000"/>
              </a:solidFill>
              <a:effectLst/>
              <a:latin typeface="HGｺﾞｼｯｸM" panose="020B0609000000000000" pitchFamily="49" charset="-128"/>
              <a:ea typeface="HGｺﾞｼｯｸM" panose="020B0609000000000000" pitchFamily="49" charset="-128"/>
              <a:cs typeface="+mn-cs"/>
            </a:rPr>
            <a:t>■第二期の分割請求を希望する場合</a:t>
          </a:r>
          <a:endParaRPr kumimoji="1" lang="en-US" altLang="ja-JP" sz="1600" b="1" u="sng">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１　以下の</a:t>
          </a:r>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「今回入力した数字を基にした交付決定額」</a:t>
          </a: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を確認</a:t>
          </a: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①～</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⑪</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のシートに入力いただいた数字を基に</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した交付決定額が</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以下の「今回入力した数字を基にした交付決定額」に、表示されていますので、お間違いないか確認ください（エラーがあれば①～⑪のシートを適宜修正ください。）。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HGｺﾞｼｯｸM" panose="020B0609000000000000" pitchFamily="49" charset="-128"/>
              <a:ea typeface="HGｺﾞｼｯｸM" panose="020B0609000000000000" pitchFamily="49" charset="-128"/>
              <a:cs typeface="+mn-cs"/>
            </a:rPr>
            <a:t>２　数字を比較（具体例参照）</a:t>
          </a:r>
          <a:endParaRPr kumimoji="1" lang="en-US" altLang="ja-JP" sz="16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（１）</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「令和</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6</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年</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月に交付決定した額（左の</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「補助金の交付決定額（</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F</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J</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「今回入力した数字を基にした交付決定額」</a:t>
          </a:r>
          <a:endParaRPr lang="ja-JP" altLang="ja-JP" sz="1400" b="1">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第二期の分割支払いが可能です。</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chemeClr val="dk1"/>
              </a:solidFill>
              <a:effectLst/>
              <a:latin typeface="HGｺﾞｼｯｸM" panose="020B0609000000000000" pitchFamily="49" charset="-128"/>
              <a:ea typeface="HGｺﾞｼｯｸM" panose="020B0609000000000000" pitchFamily="49" charset="-128"/>
              <a:cs typeface="+mn-cs"/>
            </a:rPr>
            <a:t>園毎の固有番号</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」に基づいて、千葉市が把握している情報が表示されますので、</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記載して頂く項目は</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　　　　原則ありません</a:t>
          </a:r>
          <a:r>
            <a:rPr kumimoji="1" lang="ja-JP" altLang="en-US" sz="1400">
              <a:solidFill>
                <a:schemeClr val="dk1"/>
              </a:solidFill>
              <a:effectLst/>
              <a:latin typeface="HGｺﾞｼｯｸM" panose="020B0609000000000000" pitchFamily="49" charset="-128"/>
              <a:ea typeface="HGｺﾞｼｯｸM" panose="020B0609000000000000" pitchFamily="49" charset="-128"/>
              <a:cs typeface="+mn-cs"/>
            </a:rPr>
            <a:t>が、</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念のためご確認いただき、万が一誤りがあれば、関数の上からご修正ください。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〇なお、「今回の請求額</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（左の</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P</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列～</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T</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列に記載の数字）</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」は減額することが可能です（増額は不可）。</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変更する場合は、表示されている数字を直接修正ください。</a:t>
          </a: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eaLnBrk="1" fontAlgn="auto" latinLnBrk="0" hangingPunct="1"/>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２</a:t>
          </a:r>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「令和</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6</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年</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月に交付決定した額（左の「補助金の交付決定額（</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F</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J</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「今回入力した数字を基にした交付決定額」</a:t>
          </a:r>
          <a:endParaRPr lang="ja-JP" altLang="ja-JP" sz="1400" b="1">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戻入が発生する可能性があるため</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第二期の分割支払い</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は原則できません</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この場合は</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17</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行目に警告メッセージ（</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赤字</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）が出ます。</a:t>
          </a:r>
          <a:endParaRPr kumimoji="1" lang="ja-JP" altLang="en-US"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twoCellAnchor editAs="oneCell">
    <xdr:from>
      <xdr:col>27</xdr:col>
      <xdr:colOff>123264</xdr:colOff>
      <xdr:row>19</xdr:row>
      <xdr:rowOff>56030</xdr:rowOff>
    </xdr:from>
    <xdr:to>
      <xdr:col>40</xdr:col>
      <xdr:colOff>420781</xdr:colOff>
      <xdr:row>32</xdr:row>
      <xdr:rowOff>321610</xdr:rowOff>
    </xdr:to>
    <xdr:pic>
      <xdr:nvPicPr>
        <xdr:cNvPr id="9" name="図 8">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63735" y="5311589"/>
          <a:ext cx="8791575" cy="478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969509</xdr:colOff>
      <xdr:row>17</xdr:row>
      <xdr:rowOff>50026</xdr:rowOff>
    </xdr:from>
    <xdr:to>
      <xdr:col>41</xdr:col>
      <xdr:colOff>247331</xdr:colOff>
      <xdr:row>18</xdr:row>
      <xdr:rowOff>258735</xdr:rowOff>
    </xdr:to>
    <xdr:sp macro="" textlink="">
      <xdr:nvSpPr>
        <xdr:cNvPr id="10" name="テキスト ボックス 9">
          <a:extLst>
            <a:ext uri="{FF2B5EF4-FFF2-40B4-BE49-F238E27FC236}">
              <a16:creationId xmlns:a16="http://schemas.microsoft.com/office/drawing/2014/main" id="{00000000-0008-0000-1B00-00000A000000}"/>
            </a:ext>
          </a:extLst>
        </xdr:cNvPr>
        <xdr:cNvSpPr txBox="1"/>
      </xdr:nvSpPr>
      <xdr:spPr>
        <a:xfrm>
          <a:off x="12758097" y="4666850"/>
          <a:ext cx="6707322" cy="500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HGｺﾞｼｯｸM" panose="020B0609000000000000" pitchFamily="49" charset="-128"/>
              <a:ea typeface="HGｺﾞｼｯｸM" panose="020B0609000000000000" pitchFamily="49" charset="-128"/>
              <a:cs typeface="+mn-cs"/>
            </a:rPr>
            <a:t>警告メッセージ（赤字）</a:t>
          </a:r>
          <a:r>
            <a:rPr lang="ja-JP" altLang="ja-JP" sz="1100">
              <a:solidFill>
                <a:schemeClr val="dk1"/>
              </a:solidFill>
              <a:effectLst/>
              <a:latin typeface="HGｺﾞｼｯｸM" panose="020B0609000000000000" pitchFamily="49" charset="-128"/>
              <a:ea typeface="HGｺﾞｼｯｸM" panose="020B0609000000000000" pitchFamily="49" charset="-128"/>
              <a:cs typeface="+mn-cs"/>
            </a:rPr>
            <a:t>が表示されるものの、当初交付申請時（令和</a:t>
          </a:r>
          <a:r>
            <a:rPr lang="ja-JP" altLang="en-US" sz="1100">
              <a:solidFill>
                <a:schemeClr val="dk1"/>
              </a:solidFill>
              <a:effectLst/>
              <a:latin typeface="HGｺﾞｼｯｸM" panose="020B0609000000000000" pitchFamily="49" charset="-128"/>
              <a:ea typeface="HGｺﾞｼｯｸM" panose="020B0609000000000000" pitchFamily="49" charset="-128"/>
              <a:cs typeface="+mn-cs"/>
            </a:rPr>
            <a:t>６</a:t>
          </a:r>
          <a:r>
            <a:rPr lang="ja-JP" altLang="ja-JP" sz="1100">
              <a:solidFill>
                <a:schemeClr val="dk1"/>
              </a:solidFill>
              <a:effectLst/>
              <a:latin typeface="HGｺﾞｼｯｸM" panose="020B0609000000000000" pitchFamily="49" charset="-128"/>
              <a:ea typeface="HGｺﾞｼｯｸM" panose="020B0609000000000000" pitchFamily="49" charset="-128"/>
              <a:cs typeface="+mn-cs"/>
            </a:rPr>
            <a:t>年４月～５月）の当課とのやり取りを踏まえ、戻入の可能性がないと思われる場合は、データを送付の上、お電話等でご相談ください。</a:t>
          </a:r>
          <a:endParaRPr kumimoji="1" lang="ja-JP" altLang="en-US" sz="1100">
            <a:latin typeface="HGｺﾞｼｯｸM" panose="020B0609000000000000" pitchFamily="49" charset="-128"/>
            <a:ea typeface="HGｺﾞｼｯｸM" panose="020B0609000000000000" pitchFamily="49" charset="-128"/>
          </a:endParaRPr>
        </a:p>
      </xdr:txBody>
    </xdr:sp>
    <xdr:clientData/>
  </xdr:twoCellAnchor>
  <xdr:twoCellAnchor>
    <xdr:from>
      <xdr:col>28</xdr:col>
      <xdr:colOff>134471</xdr:colOff>
      <xdr:row>36</xdr:row>
      <xdr:rowOff>0</xdr:rowOff>
    </xdr:from>
    <xdr:to>
      <xdr:col>34</xdr:col>
      <xdr:colOff>164914</xdr:colOff>
      <xdr:row>37</xdr:row>
      <xdr:rowOff>221637</xdr:rowOff>
    </xdr:to>
    <xdr:sp macro="" textlink="">
      <xdr:nvSpPr>
        <xdr:cNvPr id="13" name="テキスト ボックス 12">
          <a:extLst>
            <a:ext uri="{FF2B5EF4-FFF2-40B4-BE49-F238E27FC236}">
              <a16:creationId xmlns:a16="http://schemas.microsoft.com/office/drawing/2014/main" id="{089BDF10-B410-4D0D-891C-57A9E0345E14}"/>
            </a:ext>
          </a:extLst>
        </xdr:cNvPr>
        <xdr:cNvSpPr txBox="1"/>
      </xdr:nvSpPr>
      <xdr:spPr>
        <a:xfrm>
          <a:off x="10533530" y="11172265"/>
          <a:ext cx="4064560" cy="569019"/>
        </a:xfrm>
        <a:prstGeom prst="rect">
          <a:avLst/>
        </a:prstGeom>
        <a:solidFill>
          <a:schemeClr val="bg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a:latin typeface="HGｺﾞｼｯｸE" panose="020B0909000000000000" pitchFamily="49" charset="-128"/>
              <a:ea typeface="HGｺﾞｼｯｸE" panose="020B0909000000000000" pitchFamily="49" charset="-128"/>
            </a:rPr>
            <a:t>４歳以上児配置改善加算</a:t>
          </a:r>
        </a:p>
      </xdr:txBody>
    </xdr:sp>
    <xdr:clientData/>
  </xdr:twoCellAnchor>
  <xdr:twoCellAnchor>
    <xdr:from>
      <xdr:col>27</xdr:col>
      <xdr:colOff>123264</xdr:colOff>
      <xdr:row>36</xdr:row>
      <xdr:rowOff>164914</xdr:rowOff>
    </xdr:from>
    <xdr:to>
      <xdr:col>28</xdr:col>
      <xdr:colOff>67235</xdr:colOff>
      <xdr:row>37</xdr:row>
      <xdr:rowOff>44824</xdr:rowOff>
    </xdr:to>
    <xdr:sp macro="" textlink="">
      <xdr:nvSpPr>
        <xdr:cNvPr id="14" name="矢印: 右 13">
          <a:extLst>
            <a:ext uri="{FF2B5EF4-FFF2-40B4-BE49-F238E27FC236}">
              <a16:creationId xmlns:a16="http://schemas.microsoft.com/office/drawing/2014/main" id="{AD4F464B-E83E-47B5-822A-271F15F06F61}"/>
            </a:ext>
          </a:extLst>
        </xdr:cNvPr>
        <xdr:cNvSpPr/>
      </xdr:nvSpPr>
      <xdr:spPr>
        <a:xfrm rot="10800000">
          <a:off x="10163735" y="11337179"/>
          <a:ext cx="302559" cy="22729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38100</xdr:colOff>
      <xdr:row>8</xdr:row>
      <xdr:rowOff>219075</xdr:rowOff>
    </xdr:from>
    <xdr:to>
      <xdr:col>19</xdr:col>
      <xdr:colOff>477371</xdr:colOff>
      <xdr:row>13</xdr:row>
      <xdr:rowOff>16996</xdr:rowOff>
    </xdr:to>
    <xdr:sp macro="" textlink="">
      <xdr:nvSpPr>
        <xdr:cNvPr id="7" name="テキスト ボックス 6">
          <a:extLst>
            <a:ext uri="{FF2B5EF4-FFF2-40B4-BE49-F238E27FC236}">
              <a16:creationId xmlns:a16="http://schemas.microsoft.com/office/drawing/2014/main" id="{DD0EE04F-F897-40A2-B966-6E7C229CF1E6}"/>
            </a:ext>
          </a:extLst>
        </xdr:cNvPr>
        <xdr:cNvSpPr txBox="1"/>
      </xdr:nvSpPr>
      <xdr:spPr>
        <a:xfrm>
          <a:off x="6667500" y="2143125"/>
          <a:ext cx="7068671" cy="10647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３月１日時点の情報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令和７年４月時点で修正があった場合は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8</xdr:col>
      <xdr:colOff>77164</xdr:colOff>
      <xdr:row>13</xdr:row>
      <xdr:rowOff>192155</xdr:rowOff>
    </xdr:from>
    <xdr:to>
      <xdr:col>17</xdr:col>
      <xdr:colOff>193261</xdr:colOff>
      <xdr:row>34</xdr:row>
      <xdr:rowOff>76612</xdr:rowOff>
    </xdr:to>
    <xdr:sp macro="" textlink="">
      <xdr:nvSpPr>
        <xdr:cNvPr id="2" name="正方形/長方形 1">
          <a:extLst>
            <a:ext uri="{FF2B5EF4-FFF2-40B4-BE49-F238E27FC236}">
              <a16:creationId xmlns:a16="http://schemas.microsoft.com/office/drawing/2014/main" id="{CCD30B7C-AFE4-4172-A201-7F7B8BA54AE8}"/>
            </a:ext>
          </a:extLst>
        </xdr:cNvPr>
        <xdr:cNvSpPr/>
      </xdr:nvSpPr>
      <xdr:spPr>
        <a:xfrm>
          <a:off x="6706564" y="3383030"/>
          <a:ext cx="5373897" cy="4465982"/>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lang="ja-JP" altLang="en-US" sz="1100">
              <a:solidFill>
                <a:schemeClr val="dk1"/>
              </a:solidFill>
              <a:effectLst/>
              <a:latin typeface="+mn-lt"/>
              <a:ea typeface="+mn-ea"/>
              <a:cs typeface="+mn-cs"/>
            </a:rPr>
            <a:t>交付決定額は、</a:t>
          </a:r>
          <a:r>
            <a:rPr lang="ja-JP" altLang="en-US" sz="1100" u="sng">
              <a:solidFill>
                <a:srgbClr val="FF0000"/>
              </a:solidFill>
              <a:effectLst/>
              <a:latin typeface="+mn-lt"/>
              <a:ea typeface="+mn-ea"/>
              <a:cs typeface="+mn-cs"/>
            </a:rPr>
            <a:t>交付申請額の３／４（千円未満切り捨て）</a:t>
          </a:r>
          <a:r>
            <a:rPr lang="ja-JP" altLang="en-US" sz="1100">
              <a:solidFill>
                <a:schemeClr val="dk1"/>
              </a:solidFill>
              <a:effectLst/>
              <a:latin typeface="+mn-lt"/>
              <a:ea typeface="+mn-ea"/>
              <a:cs typeface="+mn-cs"/>
            </a:rPr>
            <a:t>です。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配置基準補助金は</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回に分けて、</a:t>
          </a:r>
          <a:r>
            <a:rPr lang="ja-JP" altLang="en-US" sz="1100">
              <a:solidFill>
                <a:schemeClr val="dk1"/>
              </a:solidFill>
              <a:effectLst/>
              <a:latin typeface="+mn-lt"/>
              <a:ea typeface="+mn-ea"/>
              <a:cs typeface="+mn-cs"/>
            </a:rPr>
            <a:t>次</a:t>
          </a:r>
          <a:r>
            <a:rPr lang="ja-JP" altLang="ja-JP" sz="1100">
              <a:solidFill>
                <a:schemeClr val="dk1"/>
              </a:solidFill>
              <a:effectLst/>
              <a:latin typeface="+mn-lt"/>
              <a:ea typeface="+mn-ea"/>
              <a:cs typeface="+mn-cs"/>
            </a:rPr>
            <a:t>の金額をそれぞれお支払いします。</a:t>
          </a:r>
        </a:p>
        <a:p>
          <a:r>
            <a:rPr lang="ja-JP" altLang="ja-JP" sz="1100">
              <a:solidFill>
                <a:schemeClr val="dk1"/>
              </a:solidFill>
              <a:effectLst/>
              <a:latin typeface="+mn-lt"/>
              <a:ea typeface="+mn-ea"/>
              <a:cs typeface="+mn-cs"/>
            </a:rPr>
            <a:t>★１回目　</a:t>
          </a:r>
          <a:r>
            <a:rPr lang="ja-JP" altLang="en-US" sz="1100">
              <a:solidFill>
                <a:schemeClr val="dk1"/>
              </a:solidFill>
              <a:effectLst/>
              <a:latin typeface="+mn-lt"/>
              <a:ea typeface="+mn-ea"/>
              <a:cs typeface="+mn-cs"/>
            </a:rPr>
            <a:t>令和７</a:t>
          </a:r>
          <a:r>
            <a:rPr lang="ja-JP" altLang="ja-JP" sz="1100">
              <a:solidFill>
                <a:schemeClr val="dk1"/>
              </a:solidFill>
              <a:effectLst/>
              <a:latin typeface="+mn-lt"/>
              <a:ea typeface="+mn-ea"/>
              <a:cs typeface="+mn-cs"/>
            </a:rPr>
            <a:t>年５月</a:t>
          </a:r>
          <a:r>
            <a:rPr lang="ja-JP" altLang="en-US" sz="1100">
              <a:solidFill>
                <a:schemeClr val="dk1"/>
              </a:solidFill>
              <a:effectLst/>
              <a:latin typeface="+mn-lt"/>
              <a:ea typeface="+mn-ea"/>
              <a:cs typeface="+mn-cs"/>
            </a:rPr>
            <a:t>３０</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（交付決定額の２／３）</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回目　</a:t>
          </a:r>
          <a:r>
            <a:rPr lang="ja-JP" altLang="en-US" sz="1100">
              <a:solidFill>
                <a:schemeClr val="dk1"/>
              </a:solidFill>
              <a:effectLst/>
              <a:latin typeface="+mn-lt"/>
              <a:ea typeface="+mn-ea"/>
              <a:cs typeface="+mn-cs"/>
            </a:rPr>
            <a:t>令和７</a:t>
          </a:r>
          <a:r>
            <a:rPr lang="ja-JP" altLang="ja-JP" sz="1100">
              <a:solidFill>
                <a:schemeClr val="dk1"/>
              </a:solidFill>
              <a:effectLst/>
              <a:latin typeface="+mn-lt"/>
              <a:ea typeface="+mn-ea"/>
              <a:cs typeface="+mn-cs"/>
            </a:rPr>
            <a:t>年１０月</a:t>
          </a:r>
          <a:r>
            <a:rPr lang="ja-JP" altLang="en-US" sz="1100">
              <a:solidFill>
                <a:schemeClr val="dk1"/>
              </a:solidFill>
              <a:effectLst/>
              <a:latin typeface="+mn-lt"/>
              <a:ea typeface="+mn-ea"/>
              <a:cs typeface="+mn-cs"/>
            </a:rPr>
            <a:t>３１</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（交付決定額の１／３）</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回目　</a:t>
          </a:r>
          <a:r>
            <a:rPr lang="ja-JP" altLang="en-US" sz="1100">
              <a:solidFill>
                <a:schemeClr val="dk1"/>
              </a:solidFill>
              <a:effectLst/>
              <a:latin typeface="+mn-lt"/>
              <a:ea typeface="+mn-ea"/>
              <a:cs typeface="+mn-cs"/>
            </a:rPr>
            <a:t>令和８</a:t>
          </a:r>
          <a:r>
            <a:rPr lang="ja-JP" altLang="ja-JP" sz="1100">
              <a:solidFill>
                <a:schemeClr val="dk1"/>
              </a:solidFill>
              <a:effectLst/>
              <a:latin typeface="+mn-lt"/>
              <a:ea typeface="+mn-ea"/>
              <a:cs typeface="+mn-cs"/>
            </a:rPr>
            <a:t>年４月</a:t>
          </a:r>
          <a:r>
            <a:rPr lang="ja-JP" altLang="en-US" sz="1100">
              <a:solidFill>
                <a:schemeClr val="dk1"/>
              </a:solidFill>
              <a:effectLst/>
              <a:latin typeface="+mn-lt"/>
              <a:ea typeface="+mn-ea"/>
              <a:cs typeface="+mn-cs"/>
            </a:rPr>
            <a:t>３０</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（実績額と概算払い済額の差額）</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実績額が概算払い済額を下回る場合、令和８年５月末までに、</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en-US" sz="1100" u="sng">
              <a:solidFill>
                <a:srgbClr val="FF0000"/>
              </a:solidFill>
              <a:effectLst/>
              <a:latin typeface="+mn-lt"/>
              <a:ea typeface="+mn-ea"/>
              <a:cs typeface="+mn-cs"/>
            </a:rPr>
            <a:t>過払い額を</a:t>
          </a:r>
          <a:r>
            <a:rPr lang="ja-JP" altLang="ja-JP" sz="1100" u="sng">
              <a:solidFill>
                <a:srgbClr val="FF0000"/>
              </a:solidFill>
              <a:effectLst/>
              <a:latin typeface="+mn-lt"/>
              <a:ea typeface="+mn-ea"/>
              <a:cs typeface="+mn-cs"/>
            </a:rPr>
            <a:t>返還</a:t>
          </a:r>
          <a:r>
            <a:rPr lang="ja-JP" altLang="ja-JP" sz="1100">
              <a:solidFill>
                <a:schemeClr val="dk1"/>
              </a:solidFill>
              <a:effectLst/>
              <a:latin typeface="+mn-lt"/>
              <a:ea typeface="+mn-ea"/>
              <a:cs typeface="+mn-cs"/>
            </a:rPr>
            <a:t>していただ</a:t>
          </a:r>
          <a:r>
            <a:rPr lang="ja-JP" altLang="en-US" sz="1100">
              <a:solidFill>
                <a:schemeClr val="dk1"/>
              </a:solidFill>
              <a:effectLst/>
              <a:latin typeface="+mn-lt"/>
              <a:ea typeface="+mn-ea"/>
              <a:cs typeface="+mn-cs"/>
            </a:rPr>
            <a:t>きます</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）概算払いは、</a:t>
          </a:r>
          <a:r>
            <a:rPr lang="ja-JP" altLang="en-US" sz="1100" u="sng">
              <a:solidFill>
                <a:srgbClr val="FF0000"/>
              </a:solidFill>
              <a:effectLst/>
              <a:latin typeface="+mn-lt"/>
              <a:ea typeface="+mn-ea"/>
              <a:cs typeface="+mn-cs"/>
            </a:rPr>
            <a:t>補助金返還が生じるおそれがある場合には請求しない</a:t>
          </a:r>
          <a:endParaRPr lang="en-US" altLang="ja-JP" sz="1100" u="sng">
            <a:solidFill>
              <a:srgbClr val="FF0000"/>
            </a:solidFill>
            <a:effectLst/>
            <a:latin typeface="+mn-lt"/>
            <a:ea typeface="+mn-ea"/>
            <a:cs typeface="+mn-cs"/>
          </a:endParaRPr>
        </a:p>
        <a:p>
          <a:r>
            <a:rPr lang="ja-JP" altLang="en-US" sz="1100">
              <a:solidFill>
                <a:schemeClr val="dk1"/>
              </a:solidFill>
              <a:effectLst/>
              <a:latin typeface="+mn-lt"/>
              <a:ea typeface="+mn-ea"/>
              <a:cs typeface="+mn-cs"/>
            </a:rPr>
            <a:t>　　扱いにすることもできます。</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）１回目の概算払いをしない場合でも、２回目の概算払いを受ける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ことができます。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児童数の増加</a:t>
          </a:r>
          <a:r>
            <a:rPr lang="ja-JP" altLang="en-US" sz="1100" b="1">
              <a:solidFill>
                <a:schemeClr val="dk1"/>
              </a:solidFill>
              <a:effectLst/>
              <a:latin typeface="+mn-lt"/>
              <a:ea typeface="+mn-ea"/>
              <a:cs typeface="+mn-cs"/>
            </a:rPr>
            <a:t>に伴う必要配置保育士数の増加</a:t>
          </a:r>
          <a:r>
            <a:rPr lang="ja-JP" altLang="ja-JP" sz="1100" b="1">
              <a:solidFill>
                <a:schemeClr val="dk1"/>
              </a:solidFill>
              <a:effectLst/>
              <a:latin typeface="+mn-lt"/>
              <a:ea typeface="+mn-ea"/>
              <a:cs typeface="+mn-cs"/>
            </a:rPr>
            <a:t>や保育士数の減少により、４月</a:t>
          </a:r>
          <a:r>
            <a:rPr lang="ja-JP" altLang="en-US" sz="1100" b="1">
              <a:solidFill>
                <a:schemeClr val="dk1"/>
              </a:solidFill>
              <a:effectLst/>
              <a:latin typeface="+mn-lt"/>
              <a:ea typeface="+mn-ea"/>
              <a:cs typeface="+mn-cs"/>
            </a:rPr>
            <a:t>以降</a:t>
          </a:r>
          <a:r>
            <a:rPr lang="ja-JP" altLang="ja-JP" sz="1100" b="1">
              <a:solidFill>
                <a:schemeClr val="dk1"/>
              </a:solidFill>
              <a:effectLst/>
              <a:latin typeface="+mn-lt"/>
              <a:ea typeface="+mn-ea"/>
              <a:cs typeface="+mn-cs"/>
            </a:rPr>
            <a:t>の加配</a:t>
          </a:r>
          <a:r>
            <a:rPr lang="ja-JP" altLang="en-US" sz="1100" b="1">
              <a:solidFill>
                <a:schemeClr val="dk1"/>
              </a:solidFill>
              <a:effectLst/>
              <a:latin typeface="+mn-lt"/>
              <a:ea typeface="+mn-ea"/>
              <a:cs typeface="+mn-cs"/>
            </a:rPr>
            <a:t>が</a:t>
          </a:r>
          <a:r>
            <a:rPr lang="ja-JP" altLang="ja-JP" sz="1100" b="1">
              <a:solidFill>
                <a:schemeClr val="dk1"/>
              </a:solidFill>
              <a:effectLst/>
              <a:latin typeface="+mn-lt"/>
              <a:ea typeface="+mn-ea"/>
              <a:cs typeface="+mn-cs"/>
            </a:rPr>
            <a:t>減少する場合には、</a:t>
          </a:r>
          <a:r>
            <a:rPr lang="ja-JP" altLang="en-US" sz="1100" b="1">
              <a:solidFill>
                <a:schemeClr val="dk1"/>
              </a:solidFill>
              <a:effectLst/>
              <a:latin typeface="+mn-lt"/>
              <a:ea typeface="+mn-ea"/>
              <a:cs typeface="+mn-cs"/>
            </a:rPr>
            <a:t>返還金発生の恐れ</a:t>
          </a:r>
          <a:r>
            <a:rPr lang="ja-JP" altLang="ja-JP" sz="1100" b="1">
              <a:solidFill>
                <a:schemeClr val="dk1"/>
              </a:solidFill>
              <a:effectLst/>
              <a:latin typeface="+mn-lt"/>
              <a:ea typeface="+mn-ea"/>
              <a:cs typeface="+mn-cs"/>
            </a:rPr>
            <a:t>があります</a:t>
          </a:r>
          <a:r>
            <a:rPr lang="ja-JP" altLang="en-US" sz="1100" b="1">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pPr>
            <a:lnSpc>
              <a:spcPts val="1100"/>
            </a:lnSpc>
          </a:pPr>
          <a:endParaRPr lang="ja-JP"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25401</xdr:colOff>
      <xdr:row>22</xdr:row>
      <xdr:rowOff>200025</xdr:rowOff>
    </xdr:from>
    <xdr:to>
      <xdr:col>17</xdr:col>
      <xdr:colOff>15876</xdr:colOff>
      <xdr:row>29</xdr:row>
      <xdr:rowOff>47624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5401" y="2476500"/>
          <a:ext cx="7286625" cy="14287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ｺﾞｼｯｸM" panose="020B0609000000000000" pitchFamily="49" charset="-128"/>
              <a:ea typeface="HGｺﾞｼｯｸM" panose="020B0609000000000000" pitchFamily="49" charset="-128"/>
            </a:rPr>
            <a:t>Ａ　太枠部分（補助人工の数字と、その職種の人工内訳）を踏まえ、黄色セルを入力</a:t>
          </a:r>
          <a:endParaRPr kumimoji="1" lang="en-US" altLang="ja-JP" sz="1100">
            <a:latin typeface="HGｺﾞｼｯｸM" panose="020B0609000000000000" pitchFamily="49" charset="-128"/>
            <a:ea typeface="HGｺﾞｼｯｸM" panose="020B0609000000000000" pitchFamily="49" charset="-128"/>
          </a:endParaRPr>
        </a:p>
        <a:p>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Ｂ　加配数と児童数を確認し、特定加算分１、特定加算分２を取得できるときは、一般加算分に優先して取得</a:t>
          </a:r>
          <a:endParaRPr kumimoji="1" lang="en-US" altLang="ja-JP" sz="1100">
            <a:latin typeface="HGｺﾞｼｯｸM" panose="020B0609000000000000" pitchFamily="49" charset="-128"/>
            <a:ea typeface="HGｺﾞｼｯｸM" panose="020B0609000000000000" pitchFamily="49" charset="-128"/>
          </a:endParaRPr>
        </a:p>
        <a:p>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Ｃ　判定欄が〇になるか確認</a:t>
          </a:r>
          <a:endParaRPr kumimoji="1" lang="en-US" altLang="ja-JP" sz="1100">
            <a:latin typeface="HGｺﾞｼｯｸM" panose="020B0609000000000000" pitchFamily="49" charset="-128"/>
            <a:ea typeface="HGｺﾞｼｯｸM" panose="020B0609000000000000" pitchFamily="49" charset="-128"/>
          </a:endParaRPr>
        </a:p>
        <a:p>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Ｄ　⑤～⑪のシートと合致しているか確認</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44823</xdr:colOff>
      <xdr:row>8</xdr:row>
      <xdr:rowOff>123265</xdr:rowOff>
    </xdr:from>
    <xdr:to>
      <xdr:col>8</xdr:col>
      <xdr:colOff>235323</xdr:colOff>
      <xdr:row>13</xdr:row>
      <xdr:rowOff>30817</xdr:rowOff>
    </xdr:to>
    <xdr:sp macro="" textlink="">
      <xdr:nvSpPr>
        <xdr:cNvPr id="3" name="右大かっこ 2">
          <a:extLst>
            <a:ext uri="{FF2B5EF4-FFF2-40B4-BE49-F238E27FC236}">
              <a16:creationId xmlns:a16="http://schemas.microsoft.com/office/drawing/2014/main" id="{00000000-0008-0000-1D00-000003000000}"/>
            </a:ext>
          </a:extLst>
        </xdr:cNvPr>
        <xdr:cNvSpPr/>
      </xdr:nvSpPr>
      <xdr:spPr>
        <a:xfrm>
          <a:off x="6835588" y="1748118"/>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257734</xdr:colOff>
      <xdr:row>9</xdr:row>
      <xdr:rowOff>162485</xdr:rowOff>
    </xdr:from>
    <xdr:to>
      <xdr:col>9</xdr:col>
      <xdr:colOff>168087</xdr:colOff>
      <xdr:row>10</xdr:row>
      <xdr:rowOff>70037</xdr:rowOff>
    </xdr:to>
    <xdr:sp macro="" textlink="">
      <xdr:nvSpPr>
        <xdr:cNvPr id="4" name="矢印: 右 3">
          <a:extLst>
            <a:ext uri="{FF2B5EF4-FFF2-40B4-BE49-F238E27FC236}">
              <a16:creationId xmlns:a16="http://schemas.microsoft.com/office/drawing/2014/main" id="{00000000-0008-0000-1D00-000004000000}"/>
            </a:ext>
          </a:extLst>
        </xdr:cNvPr>
        <xdr:cNvSpPr/>
      </xdr:nvSpPr>
      <xdr:spPr>
        <a:xfrm>
          <a:off x="7048499" y="2157132"/>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168088</xdr:colOff>
      <xdr:row>8</xdr:row>
      <xdr:rowOff>78441</xdr:rowOff>
    </xdr:from>
    <xdr:to>
      <xdr:col>20</xdr:col>
      <xdr:colOff>434789</xdr:colOff>
      <xdr:row>14</xdr:row>
      <xdr:rowOff>19611</xdr:rowOff>
    </xdr:to>
    <xdr:sp macro="" textlink="">
      <xdr:nvSpPr>
        <xdr:cNvPr id="5" name="テキスト ボックス 4">
          <a:extLst>
            <a:ext uri="{FF2B5EF4-FFF2-40B4-BE49-F238E27FC236}">
              <a16:creationId xmlns:a16="http://schemas.microsoft.com/office/drawing/2014/main" id="{00000000-0008-0000-1D00-000005000000}"/>
            </a:ext>
          </a:extLst>
        </xdr:cNvPr>
        <xdr:cNvSpPr txBox="1"/>
      </xdr:nvSpPr>
      <xdr:spPr>
        <a:xfrm>
          <a:off x="7451912" y="1703294"/>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２月１日時点の情報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令和７年３月時点で修正があった場合は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10</xdr:col>
      <xdr:colOff>304239</xdr:colOff>
      <xdr:row>34</xdr:row>
      <xdr:rowOff>280146</xdr:rowOff>
    </xdr:from>
    <xdr:to>
      <xdr:col>16</xdr:col>
      <xdr:colOff>152026</xdr:colOff>
      <xdr:row>37</xdr:row>
      <xdr:rowOff>148850</xdr:rowOff>
    </xdr:to>
    <xdr:sp macro="" textlink="">
      <xdr:nvSpPr>
        <xdr:cNvPr id="2" name="テキスト ボックス 1">
          <a:extLst>
            <a:ext uri="{FF2B5EF4-FFF2-40B4-BE49-F238E27FC236}">
              <a16:creationId xmlns:a16="http://schemas.microsoft.com/office/drawing/2014/main" id="{4AC4C2DC-33FE-4268-8472-A0E5764F4589}"/>
            </a:ext>
          </a:extLst>
        </xdr:cNvPr>
        <xdr:cNvSpPr txBox="1"/>
      </xdr:nvSpPr>
      <xdr:spPr>
        <a:xfrm>
          <a:off x="7946651" y="8494058"/>
          <a:ext cx="3814669" cy="7427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333001</xdr:colOff>
      <xdr:row>35</xdr:row>
      <xdr:rowOff>38472</xdr:rowOff>
    </xdr:from>
    <xdr:to>
      <xdr:col>10</xdr:col>
      <xdr:colOff>172944</xdr:colOff>
      <xdr:row>36</xdr:row>
      <xdr:rowOff>289857</xdr:rowOff>
    </xdr:to>
    <xdr:sp macro="" textlink="">
      <xdr:nvSpPr>
        <xdr:cNvPr id="6" name="矢印: 右 5">
          <a:extLst>
            <a:ext uri="{FF2B5EF4-FFF2-40B4-BE49-F238E27FC236}">
              <a16:creationId xmlns:a16="http://schemas.microsoft.com/office/drawing/2014/main" id="{86B224AB-F419-46B9-B8A8-33CD74302021}"/>
            </a:ext>
          </a:extLst>
        </xdr:cNvPr>
        <xdr:cNvSpPr/>
      </xdr:nvSpPr>
      <xdr:spPr>
        <a:xfrm rot="10800000">
          <a:off x="7123766" y="8543737"/>
          <a:ext cx="691590"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302185</xdr:colOff>
      <xdr:row>34</xdr:row>
      <xdr:rowOff>82550</xdr:rowOff>
    </xdr:from>
    <xdr:to>
      <xdr:col>15</xdr:col>
      <xdr:colOff>581025</xdr:colOff>
      <xdr:row>36</xdr:row>
      <xdr:rowOff>133163</xdr:rowOff>
    </xdr:to>
    <xdr:sp macro="" textlink="">
      <xdr:nvSpPr>
        <xdr:cNvPr id="2" name="テキスト ボックス 1">
          <a:extLst>
            <a:ext uri="{FF2B5EF4-FFF2-40B4-BE49-F238E27FC236}">
              <a16:creationId xmlns:a16="http://schemas.microsoft.com/office/drawing/2014/main" id="{5B9981FB-9ED2-466C-B7BF-A85135E9E35C}"/>
            </a:ext>
          </a:extLst>
        </xdr:cNvPr>
        <xdr:cNvSpPr txBox="1"/>
      </xdr:nvSpPr>
      <xdr:spPr>
        <a:xfrm>
          <a:off x="7703110" y="10398125"/>
          <a:ext cx="3222065" cy="7364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339725</xdr:colOff>
      <xdr:row>34</xdr:row>
      <xdr:rowOff>135404</xdr:rowOff>
    </xdr:from>
    <xdr:to>
      <xdr:col>10</xdr:col>
      <xdr:colOff>170890</xdr:colOff>
      <xdr:row>35</xdr:row>
      <xdr:rowOff>335242</xdr:rowOff>
    </xdr:to>
    <xdr:sp macro="" textlink="">
      <xdr:nvSpPr>
        <xdr:cNvPr id="3" name="矢印: 右 2">
          <a:extLst>
            <a:ext uri="{FF2B5EF4-FFF2-40B4-BE49-F238E27FC236}">
              <a16:creationId xmlns:a16="http://schemas.microsoft.com/office/drawing/2014/main" id="{0204185B-64AB-4FA7-8640-973DC2299103}"/>
            </a:ext>
          </a:extLst>
        </xdr:cNvPr>
        <xdr:cNvSpPr/>
      </xdr:nvSpPr>
      <xdr:spPr>
        <a:xfrm rot="10800000">
          <a:off x="6883400" y="10450979"/>
          <a:ext cx="688415"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47625</xdr:colOff>
      <xdr:row>8</xdr:row>
      <xdr:rowOff>187699</xdr:rowOff>
    </xdr:from>
    <xdr:to>
      <xdr:col>8</xdr:col>
      <xdr:colOff>238125</xdr:colOff>
      <xdr:row>11</xdr:row>
      <xdr:rowOff>194423</xdr:rowOff>
    </xdr:to>
    <xdr:sp macro="" textlink="">
      <xdr:nvSpPr>
        <xdr:cNvPr id="3" name="右大かっこ 2">
          <a:extLst>
            <a:ext uri="{FF2B5EF4-FFF2-40B4-BE49-F238E27FC236}">
              <a16:creationId xmlns:a16="http://schemas.microsoft.com/office/drawing/2014/main" id="{00000000-0008-0000-1F00-000003000000}"/>
            </a:ext>
          </a:extLst>
        </xdr:cNvPr>
        <xdr:cNvSpPr/>
      </xdr:nvSpPr>
      <xdr:spPr>
        <a:xfrm>
          <a:off x="6648450" y="1625974"/>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260536</xdr:colOff>
      <xdr:row>9</xdr:row>
      <xdr:rowOff>225238</xdr:rowOff>
    </xdr:from>
    <xdr:to>
      <xdr:col>9</xdr:col>
      <xdr:colOff>168648</xdr:colOff>
      <xdr:row>10</xdr:row>
      <xdr:rowOff>71158</xdr:rowOff>
    </xdr:to>
    <xdr:sp macro="" textlink="">
      <xdr:nvSpPr>
        <xdr:cNvPr id="4" name="矢印: 右 3">
          <a:extLst>
            <a:ext uri="{FF2B5EF4-FFF2-40B4-BE49-F238E27FC236}">
              <a16:creationId xmlns:a16="http://schemas.microsoft.com/office/drawing/2014/main" id="{00000000-0008-0000-1F00-000004000000}"/>
            </a:ext>
          </a:extLst>
        </xdr:cNvPr>
        <xdr:cNvSpPr/>
      </xdr:nvSpPr>
      <xdr:spPr>
        <a:xfrm>
          <a:off x="6861361" y="2034988"/>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168649</xdr:colOff>
      <xdr:row>8</xdr:row>
      <xdr:rowOff>142875</xdr:rowOff>
    </xdr:from>
    <xdr:to>
      <xdr:col>20</xdr:col>
      <xdr:colOff>417420</xdr:colOff>
      <xdr:row>11</xdr:row>
      <xdr:rowOff>239246</xdr:rowOff>
    </xdr:to>
    <xdr:sp macro="" textlink="">
      <xdr:nvSpPr>
        <xdr:cNvPr id="5" name="テキスト ボックス 4">
          <a:extLst>
            <a:ext uri="{FF2B5EF4-FFF2-40B4-BE49-F238E27FC236}">
              <a16:creationId xmlns:a16="http://schemas.microsoft.com/office/drawing/2014/main" id="{00000000-0008-0000-1F00-000005000000}"/>
            </a:ext>
          </a:extLst>
        </xdr:cNvPr>
        <xdr:cNvSpPr txBox="1"/>
      </xdr:nvSpPr>
      <xdr:spPr>
        <a:xfrm>
          <a:off x="7264774" y="1581150"/>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２月１日時点の情報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令和７年３月時点で修正があった場合は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10</xdr:col>
      <xdr:colOff>254560</xdr:colOff>
      <xdr:row>49</xdr:row>
      <xdr:rowOff>82550</xdr:rowOff>
    </xdr:from>
    <xdr:to>
      <xdr:col>16</xdr:col>
      <xdr:colOff>94129</xdr:colOff>
      <xdr:row>53</xdr:row>
      <xdr:rowOff>47438</xdr:rowOff>
    </xdr:to>
    <xdr:sp macro="" textlink="">
      <xdr:nvSpPr>
        <xdr:cNvPr id="2" name="テキスト ボックス 1">
          <a:extLst>
            <a:ext uri="{FF2B5EF4-FFF2-40B4-BE49-F238E27FC236}">
              <a16:creationId xmlns:a16="http://schemas.microsoft.com/office/drawing/2014/main" id="{D97F1BB1-D1AE-4EE5-92FC-E3E55F7F1EEE}"/>
            </a:ext>
          </a:extLst>
        </xdr:cNvPr>
        <xdr:cNvSpPr txBox="1"/>
      </xdr:nvSpPr>
      <xdr:spPr>
        <a:xfrm>
          <a:off x="7712635" y="9969500"/>
          <a:ext cx="3811494" cy="7364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292100</xdr:colOff>
      <xdr:row>49</xdr:row>
      <xdr:rowOff>132229</xdr:rowOff>
    </xdr:from>
    <xdr:to>
      <xdr:col>10</xdr:col>
      <xdr:colOff>123265</xdr:colOff>
      <xdr:row>52</xdr:row>
      <xdr:rowOff>220942</xdr:rowOff>
    </xdr:to>
    <xdr:sp macro="" textlink="">
      <xdr:nvSpPr>
        <xdr:cNvPr id="6" name="矢印: 右 5">
          <a:extLst>
            <a:ext uri="{FF2B5EF4-FFF2-40B4-BE49-F238E27FC236}">
              <a16:creationId xmlns:a16="http://schemas.microsoft.com/office/drawing/2014/main" id="{728107A1-7E4C-4745-BBB5-2FCE418DDC2E}"/>
            </a:ext>
          </a:extLst>
        </xdr:cNvPr>
        <xdr:cNvSpPr/>
      </xdr:nvSpPr>
      <xdr:spPr>
        <a:xfrm rot="10800000">
          <a:off x="6892925" y="10019179"/>
          <a:ext cx="688415" cy="54591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9</xdr:row>
      <xdr:rowOff>152400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3467100" y="2447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628650</xdr:colOff>
      <xdr:row>7</xdr:row>
      <xdr:rowOff>0</xdr:rowOff>
    </xdr:from>
    <xdr:to>
      <xdr:col>6</xdr:col>
      <xdr:colOff>19050</xdr:colOff>
      <xdr:row>9</xdr:row>
      <xdr:rowOff>95250</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3467100" y="1790700"/>
          <a:ext cx="76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5</xdr:row>
      <xdr:rowOff>0</xdr:rowOff>
    </xdr:from>
    <xdr:ext cx="76200" cy="209550"/>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3467100" y="1485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628650</xdr:colOff>
      <xdr:row>8</xdr:row>
      <xdr:rowOff>0</xdr:rowOff>
    </xdr:from>
    <xdr:to>
      <xdr:col>6</xdr:col>
      <xdr:colOff>19050</xdr:colOff>
      <xdr:row>9</xdr:row>
      <xdr:rowOff>152400</xdr:rowOff>
    </xdr:to>
    <xdr:sp macro="" textlink="">
      <xdr:nvSpPr>
        <xdr:cNvPr id="9" name="Text Box 1">
          <a:extLst>
            <a:ext uri="{FF2B5EF4-FFF2-40B4-BE49-F238E27FC236}">
              <a16:creationId xmlns:a16="http://schemas.microsoft.com/office/drawing/2014/main" id="{7C60EB70-D8D9-413C-973C-DCAE1A6E51C8}"/>
            </a:ext>
          </a:extLst>
        </xdr:cNvPr>
        <xdr:cNvSpPr txBox="1">
          <a:spLocks noChangeArrowheads="1"/>
        </xdr:cNvSpPr>
      </xdr:nvSpPr>
      <xdr:spPr bwMode="auto">
        <a:xfrm>
          <a:off x="3467100" y="2447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628650</xdr:colOff>
      <xdr:row>7</xdr:row>
      <xdr:rowOff>0</xdr:rowOff>
    </xdr:from>
    <xdr:to>
      <xdr:col>6</xdr:col>
      <xdr:colOff>19050</xdr:colOff>
      <xdr:row>9</xdr:row>
      <xdr:rowOff>95250</xdr:rowOff>
    </xdr:to>
    <xdr:sp macro="" textlink="">
      <xdr:nvSpPr>
        <xdr:cNvPr id="10" name="Text Box 1">
          <a:extLst>
            <a:ext uri="{FF2B5EF4-FFF2-40B4-BE49-F238E27FC236}">
              <a16:creationId xmlns:a16="http://schemas.microsoft.com/office/drawing/2014/main" id="{25FAE7C9-A6CE-4F3E-9573-802A88DDA174}"/>
            </a:ext>
          </a:extLst>
        </xdr:cNvPr>
        <xdr:cNvSpPr txBox="1">
          <a:spLocks noChangeArrowheads="1"/>
        </xdr:cNvSpPr>
      </xdr:nvSpPr>
      <xdr:spPr bwMode="auto">
        <a:xfrm>
          <a:off x="3467100" y="1790700"/>
          <a:ext cx="76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5</xdr:row>
      <xdr:rowOff>0</xdr:rowOff>
    </xdr:from>
    <xdr:ext cx="76200" cy="209550"/>
    <xdr:sp macro="" textlink="">
      <xdr:nvSpPr>
        <xdr:cNvPr id="11" name="Text Box 1">
          <a:extLst>
            <a:ext uri="{FF2B5EF4-FFF2-40B4-BE49-F238E27FC236}">
              <a16:creationId xmlns:a16="http://schemas.microsoft.com/office/drawing/2014/main" id="{61BA3476-3777-42FC-AA94-66F4E46E916B}"/>
            </a:ext>
          </a:extLst>
        </xdr:cNvPr>
        <xdr:cNvSpPr txBox="1">
          <a:spLocks noChangeArrowheads="1"/>
        </xdr:cNvSpPr>
      </xdr:nvSpPr>
      <xdr:spPr bwMode="auto">
        <a:xfrm>
          <a:off x="3467100" y="1485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38101</xdr:colOff>
      <xdr:row>21</xdr:row>
      <xdr:rowOff>47625</xdr:rowOff>
    </xdr:from>
    <xdr:to>
      <xdr:col>13</xdr:col>
      <xdr:colOff>390525</xdr:colOff>
      <xdr:row>29</xdr:row>
      <xdr:rowOff>161925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6201" y="4333875"/>
          <a:ext cx="5686424" cy="2019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ｺﾞｼｯｸM" panose="020B0609000000000000" pitchFamily="49" charset="-128"/>
              <a:ea typeface="HGｺﾞｼｯｸM" panose="020B0609000000000000" pitchFamily="49" charset="-128"/>
            </a:rPr>
            <a:t>Ａ　太枠部分（補助人工の数字と、その職種の人工内訳）を踏まえ、黄色セルを入力</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Ｂ　加配数と児童数を確認し、特定加算分１、特定加算分２を取得できるときは、一般加算分に優先して取得</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Ｃ　判定欄が〇になるか確認</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Ｄ　⑤～⑪のシートと金額が合致しているか確認</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戻入ないか確認</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要配慮がいて基本１しか取れない時の特定加算分１への振り替え注意</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基本１を取らずに一般１とれない</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他市在住の要配慮児童がいる場合は、補助額を引っこ抜いて補助</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8</xdr:row>
      <xdr:rowOff>209550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467100" y="4400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6</xdr:row>
      <xdr:rowOff>0</xdr:rowOff>
    </xdr:from>
    <xdr:ext cx="76200" cy="20955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3467100" y="4095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11</xdr:col>
      <xdr:colOff>285750</xdr:colOff>
      <xdr:row>2</xdr:row>
      <xdr:rowOff>57150</xdr:rowOff>
    </xdr:from>
    <xdr:to>
      <xdr:col>18</xdr:col>
      <xdr:colOff>232410</xdr:colOff>
      <xdr:row>2</xdr:row>
      <xdr:rowOff>971550</xdr:rowOff>
    </xdr:to>
    <xdr:sp macro="" textlink="">
      <xdr:nvSpPr>
        <xdr:cNvPr id="6" name="テキスト ボックス 3">
          <a:extLst>
            <a:ext uri="{FF2B5EF4-FFF2-40B4-BE49-F238E27FC236}">
              <a16:creationId xmlns:a16="http://schemas.microsoft.com/office/drawing/2014/main" id="{00000000-0008-0000-0700-000006000000}"/>
            </a:ext>
          </a:extLst>
        </xdr:cNvPr>
        <xdr:cNvSpPr txBox="1"/>
      </xdr:nvSpPr>
      <xdr:spPr>
        <a:xfrm>
          <a:off x="7181850" y="733425"/>
          <a:ext cx="4747260" cy="9144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【補足： 常勤保育士及び短時間保育士の定義】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当該補助金については、令和４年度以前と同様、以下の定義で入力をお願いします。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　常　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以上</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非常勤：園の就業規則で定める常勤時間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未満</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1000">
              <a:effectLst/>
              <a:latin typeface="ＭＳ Ｐゴシック" panose="020B0600070205080204" pitchFamily="50" charset="-128"/>
              <a:ea typeface="HG丸ｺﾞｼｯｸM-PRO" panose="020F0600000000000000" pitchFamily="50" charset="-128"/>
              <a:cs typeface="ＭＳ Ｐゴシック" panose="020B0600070205080204" pitchFamily="50" charset="-128"/>
            </a:rPr>
            <a:t>　※今後、国等の動向を踏まえ、変更する場合は別途ご連絡いたします。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8</xdr:row>
      <xdr:rowOff>209550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467100" y="468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6</xdr:row>
      <xdr:rowOff>0</xdr:rowOff>
    </xdr:from>
    <xdr:ext cx="76200" cy="209550"/>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3467100" y="4381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5</xdr:col>
      <xdr:colOff>628650</xdr:colOff>
      <xdr:row>9</xdr:row>
      <xdr:rowOff>0</xdr:rowOff>
    </xdr:from>
    <xdr:to>
      <xdr:col>6</xdr:col>
      <xdr:colOff>19050</xdr:colOff>
      <xdr:row>9</xdr:row>
      <xdr:rowOff>209550</xdr:rowOff>
    </xdr:to>
    <xdr:sp macro="" textlink="">
      <xdr:nvSpPr>
        <xdr:cNvPr id="2" name="Text Box 1">
          <a:extLst>
            <a:ext uri="{FF2B5EF4-FFF2-40B4-BE49-F238E27FC236}">
              <a16:creationId xmlns:a16="http://schemas.microsoft.com/office/drawing/2014/main" id="{F7A7C121-6D6D-4376-A91B-6DC0788765AF}"/>
            </a:ext>
          </a:extLst>
        </xdr:cNvPr>
        <xdr:cNvSpPr txBox="1">
          <a:spLocks noChangeArrowheads="1"/>
        </xdr:cNvSpPr>
      </xdr:nvSpPr>
      <xdr:spPr bwMode="auto">
        <a:xfrm>
          <a:off x="3467100" y="206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1</xdr:row>
      <xdr:rowOff>47625</xdr:rowOff>
    </xdr:from>
    <xdr:to>
      <xdr:col>4</xdr:col>
      <xdr:colOff>200025</xdr:colOff>
      <xdr:row>1</xdr:row>
      <xdr:rowOff>371475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6700" y="333375"/>
          <a:ext cx="1905000" cy="3238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黄色セル：入力願います</a:t>
          </a:r>
        </a:p>
      </xdr:txBody>
    </xdr:sp>
    <xdr:clientData/>
  </xdr:twoCellAnchor>
  <xdr:twoCellAnchor>
    <xdr:from>
      <xdr:col>4</xdr:col>
      <xdr:colOff>314325</xdr:colOff>
      <xdr:row>1</xdr:row>
      <xdr:rowOff>47623</xdr:rowOff>
    </xdr:from>
    <xdr:to>
      <xdr:col>16</xdr:col>
      <xdr:colOff>457200</xdr:colOff>
      <xdr:row>1</xdr:row>
      <xdr:rowOff>590550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286000" y="333373"/>
          <a:ext cx="6686550" cy="54292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水色セル：「園毎の固有番号</a:t>
          </a:r>
          <a:r>
            <a:rPr kumimoji="1" lang="ja-JP" altLang="ja-JP" sz="1000">
              <a:solidFill>
                <a:schemeClr val="dk1"/>
              </a:solidFill>
              <a:effectLst/>
              <a:latin typeface="+mn-lt"/>
              <a:ea typeface="+mn-ea"/>
              <a:cs typeface="+mn-cs"/>
            </a:rPr>
            <a:t>」</a:t>
          </a:r>
          <a:r>
            <a:rPr kumimoji="1" lang="ja-JP" altLang="en-US" sz="1000"/>
            <a:t>に基づいて、千葉市が把握している情報が表示されます。</a:t>
          </a:r>
          <a:endParaRPr kumimoji="1" lang="en-US" altLang="ja-JP" sz="1000"/>
        </a:p>
        <a:p>
          <a:pPr algn="l"/>
          <a:r>
            <a:rPr kumimoji="1" lang="ja-JP" altLang="en-US" sz="1000"/>
            <a:t>　　　　　念のためご確認いただき、万が一誤りがあれば、関数の上からご修正ください</a:t>
          </a:r>
        </a:p>
      </xdr:txBody>
    </xdr:sp>
    <xdr:clientData/>
  </xdr:twoCellAnchor>
  <xdr:twoCellAnchor>
    <xdr:from>
      <xdr:col>5</xdr:col>
      <xdr:colOff>518432</xdr:colOff>
      <xdr:row>24</xdr:row>
      <xdr:rowOff>3174</xdr:rowOff>
    </xdr:from>
    <xdr:to>
      <xdr:col>16</xdr:col>
      <xdr:colOff>518486</xdr:colOff>
      <xdr:row>42</xdr:row>
      <xdr:rowOff>22678</xdr:rowOff>
    </xdr:to>
    <xdr:sp macro="" textlink="">
      <xdr:nvSpPr>
        <xdr:cNvPr id="3" name="テキスト ボックス 2">
          <a:extLst>
            <a:ext uri="{FF2B5EF4-FFF2-40B4-BE49-F238E27FC236}">
              <a16:creationId xmlns:a16="http://schemas.microsoft.com/office/drawing/2014/main" id="{A11BFF30-3494-422F-A2F8-F063DB1DEE80}"/>
            </a:ext>
          </a:extLst>
        </xdr:cNvPr>
        <xdr:cNvSpPr txBox="1"/>
      </xdr:nvSpPr>
      <xdr:spPr>
        <a:xfrm>
          <a:off x="3262539" y="4629603"/>
          <a:ext cx="5737733" cy="2718254"/>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47171</xdr:colOff>
          <xdr:row>0</xdr:row>
          <xdr:rowOff>105228</xdr:rowOff>
        </xdr:from>
        <xdr:to>
          <xdr:col>37</xdr:col>
          <xdr:colOff>5391150</xdr:colOff>
          <xdr:row>31</xdr:row>
          <xdr:rowOff>53974</xdr:rowOff>
        </xdr:to>
        <xdr:pic>
          <xdr:nvPicPr>
            <xdr:cNvPr id="13" name="図 12">
              <a:extLst>
                <a:ext uri="{FF2B5EF4-FFF2-40B4-BE49-F238E27FC236}">
                  <a16:creationId xmlns:a16="http://schemas.microsoft.com/office/drawing/2014/main" id="{8ECBE3E8-1827-E440-43DA-9B260E0284DE}"/>
                </a:ext>
              </a:extLst>
            </xdr:cNvPr>
            <xdr:cNvPicPr>
              <a:picLocks noChangeAspect="1" noChangeArrowheads="1"/>
              <a:extLst>
                <a:ext uri="{84589F7E-364E-4C9E-8A38-B11213B215E9}">
                  <a14:cameraTool cellRange="カメラ!$B$4:$C$24" spid="_x0000_s9295"/>
                </a:ext>
              </a:extLst>
            </xdr:cNvPicPr>
          </xdr:nvPicPr>
          <xdr:blipFill>
            <a:blip xmlns:r="http://schemas.openxmlformats.org/officeDocument/2006/relationships" r:embed="rId1"/>
            <a:srcRect/>
            <a:stretch>
              <a:fillRect/>
            </a:stretch>
          </xdr:blipFill>
          <xdr:spPr bwMode="auto">
            <a:xfrm>
              <a:off x="9050564" y="105228"/>
              <a:ext cx="7305675" cy="59245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2%20&#35469;&#23450;&#12371;&#12393;&#12418;&#22290;\&#32207;&#25324;&#34920;&#19968;&#35239;\6&#26376;&#32102;&#20184;&#36027;\4%20&#12454;&#12451;&#12474;&#12480;&#12512;&#12490;&#12540;&#12469;&#12522;&#12540;&#12473;&#12463;&#12540;&#125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8251;&#24188;&#20445;&#36939;&#21942;&#35506;&#20491;&#20154;&#29992;\28%20&#27665;&#38291;&#20445;&#32946;&#22290;&#31561;&#21517;&#31807;%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20445;&#32946;&#25152;&#29256;&#65288;Ver.1.0.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02%20&#26093;&#12534;&#19992;&#20445;&#32946;&#2229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27665;&#25913;&#36027;&#25215;&#35469;&#38306;&#20418;\&#65298;&#65298;&#24180;&#24230;\&#27665;&#25913;22&#65288;&#32232;&#38598;&#29992;&#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1%20&#20445;&#32946;&#22763;&#31561;&#37197;&#32622;&#22522;&#28310;&#25913;&#21892;&#20107;&#26989;&#35036;&#21161;&#37329;/&#9733;&#20445;&#32946;&#22763;&#37197;&#32622;&#22522;&#28310;&#35036;&#21161;&#37329;/R5/01%20%20&#24403;&#21021;&#20132;&#20184;/01%20%20&#27096;&#24335;&#26696;/02%20%20&#35469;&#23450;&#12371;&#12393;&#12418;&#22290;/&#21442;&#32771;/&#21442;&#32771;01_&#12304;&#37197;&#32622;&#22522;&#28310;&#12305;&#65330;&#65300;&#24403;&#21021;&#30003;&#35531;&#26360;&#24335;&#65288;&#35469;&#23450;&#12371;&#12393;&#12418;&#22290;&#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1%20&#20445;&#32946;&#22763;&#31561;&#37197;&#32622;&#22522;&#28310;&#25913;&#21892;&#20107;&#26989;&#35036;&#21161;&#37329;/&#9733;&#20445;&#32946;&#22763;&#37197;&#32622;&#22522;&#28310;&#35036;&#21161;&#37329;/R4/01%20%20&#30003;&#35531;&#12539;&#12405;&#12426;&#12371;&#12415;&#36039;&#26009;/01%20%20&#24403;&#21021;&#20132;&#20184;/01%20%20&#27665;&#38291;/01_&#12304;&#37197;&#32622;&#22522;&#28310;&#12305;&#65330;&#65300;&#24403;&#21021;&#30003;&#35531;&#26360;&#24335;&#65288;&#27665;&#38291;&#20445;&#32946;&#2229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Users\YYWYO\APPDATA\LOCAL\TEMP\wz5c1f\&#35469;&#23450;&#12371;&#12393;&#12418;&#22290;&#29256;&#65288;Ver.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1%20&#20445;&#32946;&#22763;&#31561;&#37197;&#32622;&#22522;&#28310;&#25913;&#21892;&#20107;&#26989;&#35036;&#21161;&#37329;/&#9733;&#20445;&#32946;&#22763;&#37197;&#32622;&#22522;&#28310;&#35036;&#21161;&#37329;/R3/01%20%20&#30003;&#35531;&#12539;&#12405;&#12426;&#12371;&#12415;&#36039;&#26009;/04%20%20&#23455;&#32318;&#22577;&#21578;/&#12304;&#21442;&#32771;&#65306;&#26152;&#24180;&#24230;&#23455;&#32318;&#12305;01_&#12304;&#37197;&#32622;&#22522;&#28310;&#12305;&#22793;&#26356;&#30003;&#35531;&#26360;&#24335;&#65288;2&#26376;26&#26085;&#24046;&#12375;&#26367;&#1236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1%20&#20445;&#32946;&#22763;&#31561;&#37197;&#32622;&#22522;&#28310;&#25913;&#21892;&#20107;&#26989;&#35036;&#21161;&#37329;\&#9733;&#20445;&#32946;&#22763;&#37197;&#32622;&#22522;&#28310;&#35036;&#21161;&#37329;\R3\01%20%20&#30003;&#35531;&#12539;&#12405;&#12426;&#12371;&#12415;&#36039;&#26009;\02%20%20&#31532;&#20108;&#26399;&#20998;&#21106;\&#12304;&#26152;&#24180;&#29256;&#12305;01_&#12304;&#37197;&#32622;&#22522;&#28310;&#12305;&#31532;2&#26399;&#20998;&#21106;&#35531;&#27714;&#12398;&#21487;&#21542;&#30906;&#35469;&#12487;&#12540;&#12479;&#65288;&#27665;&#38291;&#20445;&#32946;&#22290;&#65289;R2.10.6&#24046;&#12375;&#26367;&#12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1%20&#20445;&#32946;&#22763;&#31561;&#37197;&#32622;&#22522;&#28310;&#25913;&#21892;&#20107;&#26989;&#35036;&#21161;&#37329;/&#9733;&#20445;&#32946;&#22763;&#37197;&#32622;&#22522;&#28310;&#35036;&#21161;&#37329;/R3/01%20%20&#30003;&#35531;&#12539;&#12405;&#12426;&#12371;&#12415;&#36039;&#26009;/02%20%20&#31532;&#20108;&#26399;&#20998;&#21106;/&#12304;&#26152;&#24180;&#29256;&#12305;01_&#12304;&#37197;&#32622;&#22522;&#28310;&#12305;&#31532;2&#26399;&#20998;&#21106;&#35531;&#27714;&#12398;&#21487;&#21542;&#30906;&#35469;&#12487;&#12540;&#12479;&#65288;&#27665;&#38291;&#20445;&#32946;&#22290;&#65289;R2.10.6&#24046;&#12375;&#26367;&#12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1%20&#20445;&#32946;&#22763;&#31561;&#37197;&#32622;&#22522;&#28310;&#25913;&#21892;&#20107;&#26989;&#35036;&#21161;&#37329;\&#9733;&#20445;&#32946;&#22763;&#37197;&#32622;&#22522;&#28310;&#35036;&#21161;&#37329;\R3\03%20%20&#31532;&#20108;&#26399;&#25903;&#25173;\&#12304;&#26152;&#24180;&#29256;&#12305;01_&#12304;&#37197;&#32622;&#22522;&#28310;&#12305;&#31532;2&#26399;&#20998;&#21106;&#35531;&#27714;&#12398;&#21487;&#21542;&#30906;&#35469;&#12487;&#12540;&#12479;&#65288;&#27665;&#38291;&#20445;&#32946;&#22290;&#65289;R2.10.6&#24046;&#12375;&#26367;&#123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18_&#12371;&#12393;&#12418;&#26410;&#26469;&#23616;\18105000_&#12371;&#12393;&#12418;&#26410;&#26469;&#23616;&#12371;&#12393;&#12418;&#26410;&#26469;&#37096;&#24188;&#20445;&#36939;&#21942;&#35506;\&#9670;100%20&#9678;&#20849;&#26377;&#12501;&#12457;&#12523;&#12480;&#65288;&#20445;&#32946;&#25903;&#25588;&#35506;&#12289;&#20445;&#32946;&#36939;&#21942;&#35506;&#12289;&#21508;&#21306;&#12371;&#12393;&#12418;&#23478;&#24237;&#35506;&#65289;\&#9733;&#9733;&#9312;&#27665;&#38291;&#20445;&#32946;&#22290;&#31561;&#21517;&#31807;&#12289;&#9313;&#20844;&#31435;&#20445;&#32946;&#25152;&#21517;&#31807;&#12289;&#9314;&#22290;&#25968;&#12289;&#9315;&#35469;&#21487;&#22806;&#21517;&#31807;&#12289;&#9316;&#27665;&#20445;&#21332;&#21152;&#30431;&#22290;&#12394;&#12393;&#9733;&#9733;\09&#20445;&#32946;&#20418;\20%20&#35469;&#21487;&#22806;&#20445;&#32946;&#26045;&#35373;&#38306;&#20418;\&#9733;&#35469;&#21487;&#22806;&#12539;&#12523;&#12540;&#12512;&#19968;&#35239;&#12288;&#12521;&#12505;&#12523;\27\&#9734;&#9734;27&#20445;&#32946;&#65433;&#65392;&#65425;&#12539;&#35469;&#21487;&#22806;&#32207;&#25324;&#19968;&#35239;&#9734;&#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s>
    <sheetDataSet>
      <sheetData sheetId="0"/>
      <sheetData sheetId="1"/>
      <sheetData sheetId="2"/>
      <sheetData sheetId="3"/>
      <sheetData sheetId="4"/>
      <sheetData sheetId="5"/>
      <sheetData sheetId="6">
        <row r="3">
          <cell r="C3" t="str">
            <v>18/100地域</v>
          </cell>
          <cell r="I3" t="str">
            <v>×</v>
          </cell>
          <cell r="L3" t="str">
            <v>0日</v>
          </cell>
          <cell r="P3" t="str">
            <v>認可施設</v>
          </cell>
        </row>
        <row r="4">
          <cell r="I4" t="str">
            <v>○</v>
          </cell>
          <cell r="L4" t="str">
            <v>1日</v>
          </cell>
          <cell r="P4" t="str">
            <v>機能部分</v>
          </cell>
        </row>
        <row r="5">
          <cell r="L5" t="str">
            <v>2日</v>
          </cell>
        </row>
        <row r="6">
          <cell r="L6" t="str">
            <v>3日</v>
          </cell>
        </row>
        <row r="7">
          <cell r="L7" t="str">
            <v>4日</v>
          </cell>
        </row>
        <row r="8">
          <cell r="L8" t="str">
            <v>5日</v>
          </cell>
        </row>
      </sheetData>
      <sheetData sheetId="7"/>
      <sheetData sheetId="8"/>
      <sheetData sheetId="9"/>
      <sheetData sheetId="10"/>
      <sheetData sheetId="11"/>
      <sheetData sheetId="12"/>
      <sheetData sheetId="13"/>
      <sheetData sheetId="14"/>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E49">
            <v>0</v>
          </cell>
          <cell r="I49">
            <v>0</v>
          </cell>
        </row>
        <row r="50">
          <cell r="A50">
            <v>47</v>
          </cell>
          <cell r="B50">
            <v>0</v>
          </cell>
          <cell r="C50">
            <v>0</v>
          </cell>
          <cell r="D50">
            <v>0</v>
          </cell>
          <cell r="E50">
            <v>0</v>
          </cell>
          <cell r="I50">
            <v>0</v>
          </cell>
        </row>
        <row r="51">
          <cell r="A51">
            <v>48</v>
          </cell>
          <cell r="B51">
            <v>0</v>
          </cell>
          <cell r="C51">
            <v>0</v>
          </cell>
          <cell r="D51">
            <v>0</v>
          </cell>
          <cell r="E51">
            <v>0</v>
          </cell>
          <cell r="I51">
            <v>0</v>
          </cell>
        </row>
        <row r="52">
          <cell r="A52">
            <v>49</v>
          </cell>
          <cell r="B52">
            <v>0</v>
          </cell>
          <cell r="C52">
            <v>0</v>
          </cell>
          <cell r="D52">
            <v>0</v>
          </cell>
          <cell r="E52">
            <v>0</v>
          </cell>
          <cell r="I52">
            <v>0</v>
          </cell>
        </row>
        <row r="53">
          <cell r="A53">
            <v>50</v>
          </cell>
          <cell r="B53">
            <v>0</v>
          </cell>
          <cell r="C53">
            <v>0</v>
          </cell>
          <cell r="D53">
            <v>0</v>
          </cell>
          <cell r="E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J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I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I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I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I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I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G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対応表"/>
      <sheetName val="質改善前"/>
      <sheetName val="質改善前②"/>
      <sheetName val="質改善後"/>
      <sheetName val="質改善後②"/>
      <sheetName val="Ver."/>
    </sheetNames>
    <sheetDataSet>
      <sheetData sheetId="0"/>
      <sheetData sheetId="1"/>
      <sheetData sheetId="2">
        <row r="3">
          <cell r="J3" t="str">
            <v>質改善前</v>
          </cell>
          <cell r="M3" t="str">
            <v>1級地</v>
          </cell>
          <cell r="P3" t="str">
            <v>A地域</v>
          </cell>
          <cell r="Q3" t="str">
            <v>a地域</v>
          </cell>
          <cell r="R3" t="str">
            <v>標準</v>
          </cell>
          <cell r="S3" t="str">
            <v>なし</v>
          </cell>
        </row>
        <row r="4">
          <cell r="J4" t="str">
            <v>質改善後</v>
          </cell>
          <cell r="M4" t="str">
            <v>2級地</v>
          </cell>
          <cell r="P4" t="str">
            <v>B地域</v>
          </cell>
          <cell r="Q4" t="str">
            <v>b地域</v>
          </cell>
          <cell r="R4" t="str">
            <v>都市部</v>
          </cell>
          <cell r="S4" t="str">
            <v>400時間以上 800時間未満</v>
          </cell>
        </row>
        <row r="5">
          <cell r="M5" t="str">
            <v>3級地</v>
          </cell>
          <cell r="P5" t="str">
            <v>C地域</v>
          </cell>
          <cell r="Q5" t="str">
            <v>c地域</v>
          </cell>
          <cell r="S5" t="str">
            <v>800時間以上 1200時間未満</v>
          </cell>
        </row>
        <row r="6">
          <cell r="M6" t="str">
            <v>4級地</v>
          </cell>
          <cell r="P6" t="str">
            <v>D地域</v>
          </cell>
          <cell r="Q6" t="str">
            <v>d地域</v>
          </cell>
          <cell r="S6" t="str">
            <v>1200時間以上</v>
          </cell>
        </row>
        <row r="7">
          <cell r="M7" t="str">
            <v>その他の地域</v>
          </cell>
        </row>
      </sheetData>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
      <sheetName val="請求書（白紙）"/>
      <sheetName val="内訳表（市内用）"/>
      <sheetName val="内訳表 (管外請求用)"/>
      <sheetName val="処遇改善等加算計算シート"/>
      <sheetName val="計算シート"/>
      <sheetName val="入力シート"/>
      <sheetName val="対応表"/>
      <sheetName val="質改善前"/>
      <sheetName val="質改善前②"/>
      <sheetName val="質改善後"/>
      <sheetName val="質改善後②"/>
      <sheetName val="Ver."/>
    </sheetNames>
    <sheetDataSet>
      <sheetData sheetId="0"/>
      <sheetData sheetId="1"/>
      <sheetData sheetId="2"/>
      <sheetData sheetId="3"/>
      <sheetData sheetId="4"/>
      <sheetData sheetId="5"/>
      <sheetData sheetId="6"/>
      <sheetData sheetId="7">
        <row r="3">
          <cell r="C3" t="str">
            <v>18/100地域</v>
          </cell>
          <cell r="I3" t="str">
            <v>×</v>
          </cell>
          <cell r="J3" t="str">
            <v>質改善前</v>
          </cell>
          <cell r="M3" t="str">
            <v>1級地</v>
          </cell>
          <cell r="P3" t="str">
            <v>A地域</v>
          </cell>
          <cell r="Q3" t="str">
            <v>a地域</v>
          </cell>
          <cell r="R3" t="str">
            <v>標準</v>
          </cell>
          <cell r="S3" t="str">
            <v>なし</v>
          </cell>
        </row>
        <row r="4">
          <cell r="C4" t="str">
            <v>15/100地域</v>
          </cell>
          <cell r="I4" t="str">
            <v>○</v>
          </cell>
          <cell r="J4" t="str">
            <v>質改善後</v>
          </cell>
          <cell r="M4" t="str">
            <v>2級地</v>
          </cell>
          <cell r="P4" t="str">
            <v>B地域</v>
          </cell>
          <cell r="Q4" t="str">
            <v>b地域</v>
          </cell>
          <cell r="R4" t="str">
            <v>都市部</v>
          </cell>
          <cell r="S4" t="str">
            <v>400時間以上 800時間未満</v>
          </cell>
        </row>
        <row r="5">
          <cell r="C5" t="str">
            <v>12/100地域</v>
          </cell>
          <cell r="M5" t="str">
            <v>3級地</v>
          </cell>
          <cell r="P5" t="str">
            <v>C地域</v>
          </cell>
          <cell r="Q5" t="str">
            <v>c地域</v>
          </cell>
          <cell r="S5" t="str">
            <v>800時間以上 1200時間未満</v>
          </cell>
        </row>
        <row r="6">
          <cell r="C6" t="str">
            <v>10/100地域</v>
          </cell>
          <cell r="M6" t="str">
            <v>4級地</v>
          </cell>
          <cell r="P6" t="str">
            <v>D地域</v>
          </cell>
          <cell r="Q6" t="str">
            <v>d地域</v>
          </cell>
          <cell r="S6" t="str">
            <v>1200時間以上</v>
          </cell>
        </row>
        <row r="7">
          <cell r="C7" t="str">
            <v>6/100地域</v>
          </cell>
          <cell r="M7" t="str">
            <v>その他の地域</v>
          </cell>
        </row>
        <row r="8">
          <cell r="C8" t="str">
            <v>3/100地域</v>
          </cell>
        </row>
        <row r="9">
          <cell r="C9" t="str">
            <v>その他地域</v>
          </cell>
        </row>
      </sheetData>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人数"/>
      <sheetName val="保育単価"/>
      <sheetName val="単価民改"/>
      <sheetName val="日割内訳"/>
      <sheetName val="差額内訳"/>
      <sheetName val="手紙添付用"/>
    </sheetNames>
    <sheetDataSet>
      <sheetData sheetId="0"/>
      <sheetData sheetId="1">
        <row r="4">
          <cell r="A4">
            <v>1</v>
          </cell>
          <cell r="B4" t="str">
            <v>院内保育園</v>
          </cell>
          <cell r="C4">
            <v>90</v>
          </cell>
          <cell r="D4">
            <v>12</v>
          </cell>
          <cell r="E4">
            <v>161360</v>
          </cell>
          <cell r="F4">
            <v>94960</v>
          </cell>
          <cell r="G4">
            <v>45400</v>
          </cell>
          <cell r="H4">
            <v>38770</v>
          </cell>
          <cell r="I4">
            <v>18210</v>
          </cell>
          <cell r="J4">
            <v>10240</v>
          </cell>
          <cell r="K4">
            <v>4660</v>
          </cell>
          <cell r="L4">
            <v>3870</v>
          </cell>
          <cell r="M4">
            <v>510</v>
          </cell>
          <cell r="N4">
            <v>60</v>
          </cell>
          <cell r="O4">
            <v>180140</v>
          </cell>
          <cell r="P4">
            <v>105770</v>
          </cell>
          <cell r="Q4">
            <v>180140</v>
          </cell>
          <cell r="R4">
            <v>105770</v>
          </cell>
          <cell r="S4">
            <v>50630</v>
          </cell>
          <cell r="T4">
            <v>43210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10</v>
          </cell>
          <cell r="E8">
            <v>154310</v>
          </cell>
          <cell r="F8">
            <v>87910</v>
          </cell>
          <cell r="G8">
            <v>38350</v>
          </cell>
          <cell r="H8">
            <v>31720</v>
          </cell>
          <cell r="I8">
            <v>14470</v>
          </cell>
          <cell r="J8">
            <v>7830</v>
          </cell>
          <cell r="K8">
            <v>3180</v>
          </cell>
          <cell r="L8">
            <v>2520</v>
          </cell>
          <cell r="M8">
            <v>380</v>
          </cell>
          <cell r="N8">
            <v>30</v>
          </cell>
          <cell r="O8">
            <v>169190</v>
          </cell>
          <cell r="P8">
            <v>96150</v>
          </cell>
          <cell r="Q8">
            <v>169190</v>
          </cell>
          <cell r="R8">
            <v>96150</v>
          </cell>
          <cell r="S8">
            <v>41940</v>
          </cell>
          <cell r="T8">
            <v>34650</v>
          </cell>
        </row>
        <row r="9">
          <cell r="A9">
            <v>6</v>
          </cell>
          <cell r="B9" t="str">
            <v>今井保育園</v>
          </cell>
          <cell r="C9">
            <v>120</v>
          </cell>
          <cell r="D9">
            <v>10</v>
          </cell>
          <cell r="E9">
            <v>154310</v>
          </cell>
          <cell r="F9">
            <v>87910</v>
          </cell>
          <cell r="G9">
            <v>38350</v>
          </cell>
          <cell r="H9">
            <v>31720</v>
          </cell>
          <cell r="I9">
            <v>14470</v>
          </cell>
          <cell r="J9">
            <v>7830</v>
          </cell>
          <cell r="K9">
            <v>3180</v>
          </cell>
          <cell r="L9">
            <v>2520</v>
          </cell>
          <cell r="M9">
            <v>380</v>
          </cell>
          <cell r="N9">
            <v>30</v>
          </cell>
          <cell r="O9">
            <v>169190</v>
          </cell>
          <cell r="P9">
            <v>96150</v>
          </cell>
          <cell r="Q9">
            <v>169190</v>
          </cell>
          <cell r="R9">
            <v>96150</v>
          </cell>
          <cell r="S9">
            <v>41940</v>
          </cell>
          <cell r="T9">
            <v>34650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510</v>
          </cell>
          <cell r="N11">
            <v>40</v>
          </cell>
          <cell r="O11">
            <v>174050</v>
          </cell>
          <cell r="P11">
            <v>102330</v>
          </cell>
          <cell r="Q11">
            <v>174050</v>
          </cell>
          <cell r="R11">
            <v>102330</v>
          </cell>
          <cell r="S11">
            <v>49060</v>
          </cell>
          <cell r="T11">
            <v>41900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1150</v>
          </cell>
          <cell r="N12">
            <v>90</v>
          </cell>
          <cell r="O12">
            <v>174840</v>
          </cell>
          <cell r="P12">
            <v>113880</v>
          </cell>
          <cell r="Q12">
            <v>174840</v>
          </cell>
          <cell r="R12">
            <v>113880</v>
          </cell>
          <cell r="S12">
            <v>68600</v>
          </cell>
          <cell r="T12">
            <v>62520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1150</v>
          </cell>
          <cell r="N13">
            <v>90</v>
          </cell>
          <cell r="O13">
            <v>174840</v>
          </cell>
          <cell r="P13">
            <v>113880</v>
          </cell>
          <cell r="Q13">
            <v>174840</v>
          </cell>
          <cell r="R13">
            <v>113880</v>
          </cell>
          <cell r="S13">
            <v>68600</v>
          </cell>
          <cell r="T13">
            <v>62520</v>
          </cell>
        </row>
        <row r="14">
          <cell r="B14" t="str">
            <v>千葉寺定員超分</v>
          </cell>
          <cell r="C14">
            <v>8</v>
          </cell>
          <cell r="D14">
            <v>8</v>
          </cell>
          <cell r="E14">
            <v>151950</v>
          </cell>
          <cell r="F14">
            <v>85550</v>
          </cell>
          <cell r="G14">
            <v>35990</v>
          </cell>
          <cell r="H14">
            <v>29360</v>
          </cell>
          <cell r="I14">
            <v>11390</v>
          </cell>
          <cell r="J14">
            <v>6070</v>
          </cell>
          <cell r="K14">
            <v>2360</v>
          </cell>
          <cell r="L14">
            <v>1830</v>
          </cell>
          <cell r="M14">
            <v>300</v>
          </cell>
          <cell r="N14">
            <v>20</v>
          </cell>
          <cell r="O14">
            <v>91940</v>
          </cell>
          <cell r="P14">
            <v>38670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10</v>
          </cell>
          <cell r="E16">
            <v>154310</v>
          </cell>
          <cell r="F16">
            <v>87910</v>
          </cell>
          <cell r="G16">
            <v>38350</v>
          </cell>
          <cell r="H16">
            <v>31720</v>
          </cell>
          <cell r="I16">
            <v>14470</v>
          </cell>
          <cell r="J16">
            <v>7830</v>
          </cell>
          <cell r="K16">
            <v>3180</v>
          </cell>
          <cell r="L16">
            <v>2520</v>
          </cell>
          <cell r="M16">
            <v>380</v>
          </cell>
          <cell r="N16">
            <v>30</v>
          </cell>
          <cell r="O16">
            <v>169190</v>
          </cell>
          <cell r="P16">
            <v>96150</v>
          </cell>
          <cell r="Q16">
            <v>169190</v>
          </cell>
          <cell r="R16">
            <v>96150</v>
          </cell>
          <cell r="S16">
            <v>41940</v>
          </cell>
          <cell r="T16">
            <v>34650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10</v>
          </cell>
          <cell r="E24">
            <v>161360</v>
          </cell>
          <cell r="F24">
            <v>94960</v>
          </cell>
          <cell r="G24">
            <v>45400</v>
          </cell>
          <cell r="H24">
            <v>38770</v>
          </cell>
          <cell r="I24">
            <v>15180</v>
          </cell>
          <cell r="J24">
            <v>8540</v>
          </cell>
          <cell r="K24">
            <v>3890</v>
          </cell>
          <cell r="L24">
            <v>3230</v>
          </cell>
          <cell r="M24">
            <v>510</v>
          </cell>
          <cell r="N24">
            <v>50</v>
          </cell>
          <cell r="O24">
            <v>177100</v>
          </cell>
          <cell r="P24">
            <v>104060</v>
          </cell>
          <cell r="Q24">
            <v>177100</v>
          </cell>
          <cell r="R24">
            <v>104060</v>
          </cell>
          <cell r="S24">
            <v>49850</v>
          </cell>
          <cell r="T24">
            <v>42560</v>
          </cell>
        </row>
        <row r="25">
          <cell r="A25">
            <v>19</v>
          </cell>
          <cell r="B25" t="str">
            <v>すずらん保育園</v>
          </cell>
          <cell r="C25">
            <v>90</v>
          </cell>
          <cell r="D25">
            <v>10</v>
          </cell>
          <cell r="E25">
            <v>161360</v>
          </cell>
          <cell r="F25">
            <v>94960</v>
          </cell>
          <cell r="G25">
            <v>45400</v>
          </cell>
          <cell r="H25">
            <v>38770</v>
          </cell>
          <cell r="I25">
            <v>15180</v>
          </cell>
          <cell r="J25">
            <v>8540</v>
          </cell>
          <cell r="K25">
            <v>3890</v>
          </cell>
          <cell r="L25">
            <v>3230</v>
          </cell>
          <cell r="M25">
            <v>510</v>
          </cell>
          <cell r="N25">
            <v>50</v>
          </cell>
          <cell r="O25">
            <v>177100</v>
          </cell>
          <cell r="P25">
            <v>104060</v>
          </cell>
          <cell r="Q25">
            <v>177100</v>
          </cell>
          <cell r="R25">
            <v>104060</v>
          </cell>
          <cell r="S25">
            <v>49850</v>
          </cell>
          <cell r="T25">
            <v>42560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4</v>
          </cell>
          <cell r="E31">
            <v>154310</v>
          </cell>
          <cell r="F31">
            <v>87910</v>
          </cell>
          <cell r="G31">
            <v>38350</v>
          </cell>
          <cell r="H31">
            <v>31720</v>
          </cell>
          <cell r="I31">
            <v>5790</v>
          </cell>
          <cell r="J31">
            <v>3130</v>
          </cell>
          <cell r="K31">
            <v>1270</v>
          </cell>
          <cell r="L31">
            <v>1010</v>
          </cell>
          <cell r="M31">
            <v>380</v>
          </cell>
          <cell r="N31">
            <v>10</v>
          </cell>
          <cell r="O31">
            <v>160490</v>
          </cell>
          <cell r="P31">
            <v>91430</v>
          </cell>
          <cell r="Q31">
            <v>160490</v>
          </cell>
          <cell r="R31">
            <v>91430</v>
          </cell>
          <cell r="S31">
            <v>40010</v>
          </cell>
          <cell r="T31">
            <v>33120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4</v>
          </cell>
          <cell r="E35">
            <v>163740</v>
          </cell>
          <cell r="F35">
            <v>97340</v>
          </cell>
          <cell r="G35">
            <v>47780</v>
          </cell>
          <cell r="H35">
            <v>41150</v>
          </cell>
          <cell r="I35">
            <v>6160</v>
          </cell>
          <cell r="J35">
            <v>3500</v>
          </cell>
          <cell r="K35">
            <v>1640</v>
          </cell>
          <cell r="L35">
            <v>1380</v>
          </cell>
          <cell r="M35">
            <v>570</v>
          </cell>
          <cell r="N35">
            <v>20</v>
          </cell>
          <cell r="O35">
            <v>170490</v>
          </cell>
          <cell r="P35">
            <v>101430</v>
          </cell>
          <cell r="Q35">
            <v>170490</v>
          </cell>
          <cell r="R35">
            <v>101430</v>
          </cell>
          <cell r="S35">
            <v>50010</v>
          </cell>
          <cell r="T35">
            <v>43120</v>
          </cell>
        </row>
        <row r="36">
          <cell r="A36">
            <v>30</v>
          </cell>
          <cell r="B36" t="str">
            <v>明徳土気保育園</v>
          </cell>
          <cell r="C36">
            <v>120</v>
          </cell>
          <cell r="D36">
            <v>8</v>
          </cell>
          <cell r="E36">
            <v>154310</v>
          </cell>
          <cell r="F36">
            <v>87910</v>
          </cell>
          <cell r="G36">
            <v>38350</v>
          </cell>
          <cell r="H36">
            <v>31720</v>
          </cell>
          <cell r="I36">
            <v>11580</v>
          </cell>
          <cell r="J36">
            <v>6260</v>
          </cell>
          <cell r="K36">
            <v>2550</v>
          </cell>
          <cell r="L36">
            <v>2020</v>
          </cell>
          <cell r="M36">
            <v>380</v>
          </cell>
          <cell r="N36">
            <v>30</v>
          </cell>
          <cell r="O36">
            <v>166300</v>
          </cell>
          <cell r="P36">
            <v>94580</v>
          </cell>
          <cell r="Q36">
            <v>166300</v>
          </cell>
          <cell r="R36">
            <v>94580</v>
          </cell>
          <cell r="S36">
            <v>41310</v>
          </cell>
          <cell r="T36">
            <v>34150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4</v>
          </cell>
          <cell r="E38">
            <v>154310</v>
          </cell>
          <cell r="F38">
            <v>87910</v>
          </cell>
          <cell r="G38">
            <v>38350</v>
          </cell>
          <cell r="H38">
            <v>31720</v>
          </cell>
          <cell r="I38">
            <v>5790</v>
          </cell>
          <cell r="J38">
            <v>3130</v>
          </cell>
          <cell r="K38">
            <v>1270</v>
          </cell>
          <cell r="L38">
            <v>1010</v>
          </cell>
          <cell r="M38">
            <v>380</v>
          </cell>
          <cell r="N38">
            <v>10</v>
          </cell>
          <cell r="O38">
            <v>160490</v>
          </cell>
          <cell r="P38">
            <v>91430</v>
          </cell>
          <cell r="Q38">
            <v>160490</v>
          </cell>
          <cell r="R38">
            <v>91430</v>
          </cell>
          <cell r="S38">
            <v>40010</v>
          </cell>
          <cell r="T38">
            <v>33120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4</v>
          </cell>
          <cell r="E42">
            <v>189830</v>
          </cell>
          <cell r="F42">
            <v>123430</v>
          </cell>
          <cell r="G42">
            <v>73870</v>
          </cell>
          <cell r="H42">
            <v>67240</v>
          </cell>
          <cell r="I42">
            <v>7210</v>
          </cell>
          <cell r="J42">
            <v>4550</v>
          </cell>
          <cell r="K42">
            <v>2690</v>
          </cell>
          <cell r="L42">
            <v>2430</v>
          </cell>
          <cell r="M42">
            <v>1150</v>
          </cell>
          <cell r="N42">
            <v>40</v>
          </cell>
          <cell r="O42">
            <v>198230</v>
          </cell>
          <cell r="P42">
            <v>129170</v>
          </cell>
          <cell r="Q42">
            <v>198230</v>
          </cell>
          <cell r="R42">
            <v>129170</v>
          </cell>
          <cell r="S42">
            <v>77750</v>
          </cell>
          <cell r="T42">
            <v>70860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4</v>
          </cell>
          <cell r="E44">
            <v>189830</v>
          </cell>
          <cell r="F44">
            <v>123430</v>
          </cell>
          <cell r="G44">
            <v>73870</v>
          </cell>
          <cell r="H44">
            <v>67240</v>
          </cell>
          <cell r="I44">
            <v>7210</v>
          </cell>
          <cell r="J44">
            <v>4550</v>
          </cell>
          <cell r="K44">
            <v>2690</v>
          </cell>
          <cell r="L44">
            <v>2430</v>
          </cell>
          <cell r="M44">
            <v>1150</v>
          </cell>
          <cell r="N44">
            <v>40</v>
          </cell>
          <cell r="O44">
            <v>198230</v>
          </cell>
          <cell r="P44">
            <v>129170</v>
          </cell>
          <cell r="Q44">
            <v>198230</v>
          </cell>
          <cell r="R44">
            <v>129170</v>
          </cell>
          <cell r="S44">
            <v>77750</v>
          </cell>
          <cell r="T44">
            <v>70860</v>
          </cell>
        </row>
        <row r="45">
          <cell r="A45">
            <v>39</v>
          </cell>
          <cell r="B45" t="str">
            <v>アスク海浜幕張保育園</v>
          </cell>
          <cell r="C45">
            <v>59</v>
          </cell>
          <cell r="D45">
            <v>4</v>
          </cell>
          <cell r="E45">
            <v>170800</v>
          </cell>
          <cell r="F45">
            <v>104400</v>
          </cell>
          <cell r="G45">
            <v>54840</v>
          </cell>
          <cell r="H45">
            <v>48210</v>
          </cell>
          <cell r="I45">
            <v>6440</v>
          </cell>
          <cell r="J45">
            <v>3780</v>
          </cell>
          <cell r="K45">
            <v>1920</v>
          </cell>
          <cell r="L45">
            <v>1660</v>
          </cell>
          <cell r="M45">
            <v>760</v>
          </cell>
          <cell r="N45">
            <v>30</v>
          </cell>
          <cell r="O45">
            <v>178030</v>
          </cell>
          <cell r="P45">
            <v>108970</v>
          </cell>
          <cell r="Q45">
            <v>178030</v>
          </cell>
          <cell r="R45">
            <v>108970</v>
          </cell>
          <cell r="S45">
            <v>57550</v>
          </cell>
          <cell r="T45">
            <v>50660</v>
          </cell>
        </row>
        <row r="46">
          <cell r="A46">
            <v>40</v>
          </cell>
          <cell r="B46" t="str">
            <v>明徳浜野駅保育園</v>
          </cell>
          <cell r="C46">
            <v>36</v>
          </cell>
          <cell r="D46">
            <v>4</v>
          </cell>
          <cell r="E46">
            <v>178700</v>
          </cell>
          <cell r="F46">
            <v>112300</v>
          </cell>
          <cell r="G46">
            <v>62740</v>
          </cell>
          <cell r="H46">
            <v>56110</v>
          </cell>
          <cell r="I46">
            <v>6760</v>
          </cell>
          <cell r="J46">
            <v>4100</v>
          </cell>
          <cell r="K46">
            <v>2240</v>
          </cell>
          <cell r="L46">
            <v>1980</v>
          </cell>
          <cell r="M46">
            <v>1150</v>
          </cell>
          <cell r="N46">
            <v>40</v>
          </cell>
          <cell r="O46">
            <v>186650</v>
          </cell>
          <cell r="P46">
            <v>117590</v>
          </cell>
          <cell r="Q46">
            <v>186650</v>
          </cell>
          <cell r="R46">
            <v>117590</v>
          </cell>
          <cell r="S46">
            <v>66170</v>
          </cell>
          <cell r="T46">
            <v>59280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4</v>
          </cell>
          <cell r="E48">
            <v>189830</v>
          </cell>
          <cell r="F48">
            <v>123430</v>
          </cell>
          <cell r="G48">
            <v>73870</v>
          </cell>
          <cell r="H48">
            <v>67240</v>
          </cell>
          <cell r="I48">
            <v>7210</v>
          </cell>
          <cell r="J48">
            <v>4550</v>
          </cell>
          <cell r="K48">
            <v>2690</v>
          </cell>
          <cell r="L48">
            <v>2430</v>
          </cell>
          <cell r="M48">
            <v>1150</v>
          </cell>
          <cell r="N48">
            <v>40</v>
          </cell>
          <cell r="O48">
            <v>198230</v>
          </cell>
          <cell r="P48">
            <v>129170</v>
          </cell>
          <cell r="Q48">
            <v>198230</v>
          </cell>
          <cell r="R48">
            <v>129170</v>
          </cell>
          <cell r="S48">
            <v>77750</v>
          </cell>
          <cell r="T48">
            <v>70860</v>
          </cell>
        </row>
        <row r="49">
          <cell r="A49">
            <v>43</v>
          </cell>
          <cell r="B49" t="str">
            <v>千葉聖心保育園</v>
          </cell>
          <cell r="C49">
            <v>45</v>
          </cell>
          <cell r="D49">
            <v>4</v>
          </cell>
          <cell r="E49">
            <v>176590</v>
          </cell>
          <cell r="F49">
            <v>110190</v>
          </cell>
          <cell r="G49">
            <v>60630</v>
          </cell>
          <cell r="H49">
            <v>54000</v>
          </cell>
          <cell r="I49">
            <v>6680</v>
          </cell>
          <cell r="J49">
            <v>4020</v>
          </cell>
          <cell r="K49">
            <v>2160</v>
          </cell>
          <cell r="L49">
            <v>1900</v>
          </cell>
          <cell r="M49">
            <v>920</v>
          </cell>
          <cell r="N49">
            <v>30</v>
          </cell>
          <cell r="O49">
            <v>184220</v>
          </cell>
          <cell r="P49">
            <v>115160</v>
          </cell>
          <cell r="Q49">
            <v>184220</v>
          </cell>
          <cell r="R49">
            <v>115160</v>
          </cell>
          <cell r="S49">
            <v>63740</v>
          </cell>
          <cell r="T49">
            <v>56850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2">
        <row r="4">
          <cell r="A4">
            <v>1</v>
          </cell>
          <cell r="B4" t="str">
            <v>院内保育園</v>
          </cell>
          <cell r="C4">
            <v>90</v>
          </cell>
          <cell r="D4">
            <v>10</v>
          </cell>
          <cell r="E4">
            <v>161360</v>
          </cell>
          <cell r="F4">
            <v>94960</v>
          </cell>
          <cell r="G4">
            <v>45400</v>
          </cell>
          <cell r="H4">
            <v>38770</v>
          </cell>
          <cell r="I4">
            <v>15180</v>
          </cell>
          <cell r="J4">
            <v>8540</v>
          </cell>
          <cell r="K4">
            <v>3890</v>
          </cell>
          <cell r="L4">
            <v>3230</v>
          </cell>
          <cell r="M4">
            <v>510</v>
          </cell>
          <cell r="N4">
            <v>50</v>
          </cell>
          <cell r="O4">
            <v>177100</v>
          </cell>
          <cell r="P4">
            <v>104060</v>
          </cell>
          <cell r="Q4">
            <v>177100</v>
          </cell>
          <cell r="R4">
            <v>104060</v>
          </cell>
          <cell r="S4">
            <v>49850</v>
          </cell>
          <cell r="T4">
            <v>42560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12</v>
          </cell>
          <cell r="E8">
            <v>154310</v>
          </cell>
          <cell r="F8">
            <v>87910</v>
          </cell>
          <cell r="G8">
            <v>38350</v>
          </cell>
          <cell r="H8">
            <v>31720</v>
          </cell>
          <cell r="I8">
            <v>17370</v>
          </cell>
          <cell r="J8">
            <v>9400</v>
          </cell>
          <cell r="K8">
            <v>3820</v>
          </cell>
          <cell r="L8">
            <v>3030</v>
          </cell>
          <cell r="M8">
            <v>380</v>
          </cell>
          <cell r="N8">
            <v>40</v>
          </cell>
          <cell r="O8">
            <v>172100</v>
          </cell>
          <cell r="P8">
            <v>97730</v>
          </cell>
          <cell r="Q8">
            <v>172100</v>
          </cell>
          <cell r="R8">
            <v>97730</v>
          </cell>
          <cell r="S8">
            <v>42590</v>
          </cell>
          <cell r="T8">
            <v>35170</v>
          </cell>
        </row>
        <row r="9">
          <cell r="A9">
            <v>6</v>
          </cell>
          <cell r="B9" t="str">
            <v>今井保育園</v>
          </cell>
          <cell r="C9">
            <v>120</v>
          </cell>
          <cell r="D9">
            <v>12</v>
          </cell>
          <cell r="E9">
            <v>154310</v>
          </cell>
          <cell r="F9">
            <v>87910</v>
          </cell>
          <cell r="G9">
            <v>38350</v>
          </cell>
          <cell r="H9">
            <v>31720</v>
          </cell>
          <cell r="I9">
            <v>17370</v>
          </cell>
          <cell r="J9">
            <v>9400</v>
          </cell>
          <cell r="K9">
            <v>3820</v>
          </cell>
          <cell r="L9">
            <v>3030</v>
          </cell>
          <cell r="M9">
            <v>380</v>
          </cell>
          <cell r="N9">
            <v>40</v>
          </cell>
          <cell r="O9">
            <v>172100</v>
          </cell>
          <cell r="P9">
            <v>97730</v>
          </cell>
          <cell r="Q9">
            <v>172100</v>
          </cell>
          <cell r="R9">
            <v>97730</v>
          </cell>
          <cell r="S9">
            <v>42590</v>
          </cell>
          <cell r="T9">
            <v>35170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300</v>
          </cell>
          <cell r="N11">
            <v>20</v>
          </cell>
          <cell r="O11">
            <v>173820</v>
          </cell>
          <cell r="P11">
            <v>102100</v>
          </cell>
          <cell r="Q11">
            <v>173820</v>
          </cell>
          <cell r="R11">
            <v>102100</v>
          </cell>
          <cell r="S11">
            <v>48830</v>
          </cell>
          <cell r="T11">
            <v>41670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300</v>
          </cell>
          <cell r="N12">
            <v>20</v>
          </cell>
          <cell r="O12">
            <v>173920</v>
          </cell>
          <cell r="P12">
            <v>112960</v>
          </cell>
          <cell r="Q12">
            <v>173920</v>
          </cell>
          <cell r="R12">
            <v>112960</v>
          </cell>
          <cell r="S12">
            <v>67680</v>
          </cell>
          <cell r="T12">
            <v>61600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300</v>
          </cell>
          <cell r="N13">
            <v>20</v>
          </cell>
          <cell r="O13">
            <v>173920</v>
          </cell>
          <cell r="P13">
            <v>112960</v>
          </cell>
          <cell r="Q13">
            <v>173920</v>
          </cell>
          <cell r="R13">
            <v>112960</v>
          </cell>
          <cell r="S13">
            <v>67680</v>
          </cell>
          <cell r="T13">
            <v>61600</v>
          </cell>
        </row>
        <row r="14">
          <cell r="B14" t="str">
            <v>千葉寺定員超分</v>
          </cell>
          <cell r="C14">
            <v>151950</v>
          </cell>
          <cell r="D14">
            <v>85550</v>
          </cell>
          <cell r="E14">
            <v>151950</v>
          </cell>
          <cell r="F14">
            <v>85550</v>
          </cell>
          <cell r="G14">
            <v>35990</v>
          </cell>
          <cell r="H14">
            <v>29360</v>
          </cell>
          <cell r="I14">
            <v>11390</v>
          </cell>
          <cell r="J14">
            <v>6070</v>
          </cell>
          <cell r="K14">
            <v>2360</v>
          </cell>
          <cell r="L14">
            <v>1830</v>
          </cell>
          <cell r="M14">
            <v>300</v>
          </cell>
          <cell r="N14">
            <v>20</v>
          </cell>
          <cell r="O14">
            <v>38670</v>
          </cell>
          <cell r="P14">
            <v>31510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8</v>
          </cell>
          <cell r="E16">
            <v>154310</v>
          </cell>
          <cell r="F16">
            <v>87910</v>
          </cell>
          <cell r="G16">
            <v>38350</v>
          </cell>
          <cell r="H16">
            <v>31720</v>
          </cell>
          <cell r="I16">
            <v>11580</v>
          </cell>
          <cell r="J16">
            <v>6260</v>
          </cell>
          <cell r="K16">
            <v>2550</v>
          </cell>
          <cell r="L16">
            <v>2020</v>
          </cell>
          <cell r="M16">
            <v>380</v>
          </cell>
          <cell r="N16">
            <v>30</v>
          </cell>
          <cell r="O16">
            <v>166300</v>
          </cell>
          <cell r="P16">
            <v>94580</v>
          </cell>
          <cell r="Q16">
            <v>166300</v>
          </cell>
          <cell r="R16">
            <v>94580</v>
          </cell>
          <cell r="S16">
            <v>41310</v>
          </cell>
          <cell r="T16">
            <v>34150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12</v>
          </cell>
          <cell r="E24">
            <v>161360</v>
          </cell>
          <cell r="F24">
            <v>94960</v>
          </cell>
          <cell r="G24">
            <v>45400</v>
          </cell>
          <cell r="H24">
            <v>38770</v>
          </cell>
          <cell r="I24">
            <v>18210</v>
          </cell>
          <cell r="J24">
            <v>10240</v>
          </cell>
          <cell r="K24">
            <v>4660</v>
          </cell>
          <cell r="L24">
            <v>3870</v>
          </cell>
          <cell r="M24">
            <v>510</v>
          </cell>
          <cell r="N24">
            <v>60</v>
          </cell>
          <cell r="O24">
            <v>180140</v>
          </cell>
          <cell r="P24">
            <v>105770</v>
          </cell>
          <cell r="Q24">
            <v>180140</v>
          </cell>
          <cell r="R24">
            <v>105770</v>
          </cell>
          <cell r="S24">
            <v>50630</v>
          </cell>
          <cell r="T24">
            <v>43210</v>
          </cell>
        </row>
        <row r="25">
          <cell r="A25">
            <v>19</v>
          </cell>
          <cell r="B25" t="str">
            <v>すずらん保育園</v>
          </cell>
          <cell r="C25">
            <v>90</v>
          </cell>
          <cell r="D25">
            <v>12</v>
          </cell>
          <cell r="E25">
            <v>161360</v>
          </cell>
          <cell r="F25">
            <v>94960</v>
          </cell>
          <cell r="G25">
            <v>45400</v>
          </cell>
          <cell r="H25">
            <v>38770</v>
          </cell>
          <cell r="I25">
            <v>18210</v>
          </cell>
          <cell r="J25">
            <v>10240</v>
          </cell>
          <cell r="K25">
            <v>4660</v>
          </cell>
          <cell r="L25">
            <v>3870</v>
          </cell>
          <cell r="M25">
            <v>510</v>
          </cell>
          <cell r="N25">
            <v>60</v>
          </cell>
          <cell r="O25">
            <v>180140</v>
          </cell>
          <cell r="P25">
            <v>105770</v>
          </cell>
          <cell r="Q25">
            <v>180140</v>
          </cell>
          <cell r="R25">
            <v>105770</v>
          </cell>
          <cell r="S25">
            <v>50630</v>
          </cell>
          <cell r="T25">
            <v>43210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8</v>
          </cell>
          <cell r="E31">
            <v>154310</v>
          </cell>
          <cell r="F31">
            <v>87910</v>
          </cell>
          <cell r="G31">
            <v>38350</v>
          </cell>
          <cell r="H31">
            <v>31720</v>
          </cell>
          <cell r="I31">
            <v>11580</v>
          </cell>
          <cell r="J31">
            <v>6260</v>
          </cell>
          <cell r="K31">
            <v>2550</v>
          </cell>
          <cell r="L31">
            <v>2020</v>
          </cell>
          <cell r="M31">
            <v>380</v>
          </cell>
          <cell r="N31">
            <v>30</v>
          </cell>
          <cell r="O31">
            <v>166300</v>
          </cell>
          <cell r="P31">
            <v>94580</v>
          </cell>
          <cell r="Q31">
            <v>166300</v>
          </cell>
          <cell r="R31">
            <v>94580</v>
          </cell>
          <cell r="S31">
            <v>41310</v>
          </cell>
          <cell r="T31">
            <v>34150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8</v>
          </cell>
          <cell r="E35">
            <v>163740</v>
          </cell>
          <cell r="F35">
            <v>97340</v>
          </cell>
          <cell r="G35">
            <v>47780</v>
          </cell>
          <cell r="H35">
            <v>41150</v>
          </cell>
          <cell r="I35">
            <v>12330</v>
          </cell>
          <cell r="J35">
            <v>7010</v>
          </cell>
          <cell r="K35">
            <v>3300</v>
          </cell>
          <cell r="L35">
            <v>2770</v>
          </cell>
          <cell r="M35">
            <v>570</v>
          </cell>
          <cell r="N35">
            <v>40</v>
          </cell>
          <cell r="O35">
            <v>176680</v>
          </cell>
          <cell r="P35">
            <v>104960</v>
          </cell>
          <cell r="Q35">
            <v>176680</v>
          </cell>
          <cell r="R35">
            <v>104960</v>
          </cell>
          <cell r="S35">
            <v>51690</v>
          </cell>
          <cell r="T35">
            <v>44530</v>
          </cell>
        </row>
        <row r="36">
          <cell r="A36">
            <v>30</v>
          </cell>
          <cell r="B36" t="str">
            <v>明徳土気保育園</v>
          </cell>
          <cell r="C36">
            <v>120</v>
          </cell>
          <cell r="D36">
            <v>10</v>
          </cell>
          <cell r="E36">
            <v>154310</v>
          </cell>
          <cell r="F36">
            <v>87910</v>
          </cell>
          <cell r="G36">
            <v>38350</v>
          </cell>
          <cell r="H36">
            <v>31720</v>
          </cell>
          <cell r="I36">
            <v>14470</v>
          </cell>
          <cell r="J36">
            <v>7830</v>
          </cell>
          <cell r="K36">
            <v>3180</v>
          </cell>
          <cell r="L36">
            <v>2520</v>
          </cell>
          <cell r="M36">
            <v>380</v>
          </cell>
          <cell r="N36">
            <v>30</v>
          </cell>
          <cell r="O36">
            <v>169190</v>
          </cell>
          <cell r="P36">
            <v>96150</v>
          </cell>
          <cell r="Q36">
            <v>169190</v>
          </cell>
          <cell r="R36">
            <v>96150</v>
          </cell>
          <cell r="S36">
            <v>41940</v>
          </cell>
          <cell r="T36">
            <v>34650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8</v>
          </cell>
          <cell r="E38">
            <v>154310</v>
          </cell>
          <cell r="F38">
            <v>87910</v>
          </cell>
          <cell r="G38">
            <v>38350</v>
          </cell>
          <cell r="H38">
            <v>31720</v>
          </cell>
          <cell r="I38">
            <v>11580</v>
          </cell>
          <cell r="J38">
            <v>6260</v>
          </cell>
          <cell r="K38">
            <v>2550</v>
          </cell>
          <cell r="L38">
            <v>2020</v>
          </cell>
          <cell r="M38">
            <v>380</v>
          </cell>
          <cell r="N38">
            <v>30</v>
          </cell>
          <cell r="O38">
            <v>166300</v>
          </cell>
          <cell r="P38">
            <v>94580</v>
          </cell>
          <cell r="Q38">
            <v>166300</v>
          </cell>
          <cell r="R38">
            <v>94580</v>
          </cell>
          <cell r="S38">
            <v>41310</v>
          </cell>
          <cell r="T38">
            <v>34150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8</v>
          </cell>
          <cell r="E42">
            <v>189830</v>
          </cell>
          <cell r="F42">
            <v>123430</v>
          </cell>
          <cell r="G42">
            <v>73870</v>
          </cell>
          <cell r="H42">
            <v>67240</v>
          </cell>
          <cell r="I42">
            <v>14420</v>
          </cell>
          <cell r="J42">
            <v>9100</v>
          </cell>
          <cell r="K42">
            <v>5390</v>
          </cell>
          <cell r="L42">
            <v>4860</v>
          </cell>
          <cell r="M42">
            <v>1150</v>
          </cell>
          <cell r="N42">
            <v>90</v>
          </cell>
          <cell r="O42">
            <v>205490</v>
          </cell>
          <cell r="P42">
            <v>133770</v>
          </cell>
          <cell r="Q42">
            <v>205490</v>
          </cell>
          <cell r="R42">
            <v>133770</v>
          </cell>
          <cell r="S42">
            <v>80500</v>
          </cell>
          <cell r="T42">
            <v>73340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8</v>
          </cell>
          <cell r="E44">
            <v>189830</v>
          </cell>
          <cell r="F44">
            <v>123430</v>
          </cell>
          <cell r="G44">
            <v>73870</v>
          </cell>
          <cell r="H44">
            <v>67240</v>
          </cell>
          <cell r="I44">
            <v>14420</v>
          </cell>
          <cell r="J44">
            <v>9100</v>
          </cell>
          <cell r="K44">
            <v>5390</v>
          </cell>
          <cell r="L44">
            <v>4860</v>
          </cell>
          <cell r="M44">
            <v>1150</v>
          </cell>
          <cell r="N44">
            <v>90</v>
          </cell>
          <cell r="O44">
            <v>205490</v>
          </cell>
          <cell r="P44">
            <v>133770</v>
          </cell>
          <cell r="Q44">
            <v>205490</v>
          </cell>
          <cell r="R44">
            <v>133770</v>
          </cell>
          <cell r="S44">
            <v>80500</v>
          </cell>
          <cell r="T44">
            <v>73340</v>
          </cell>
        </row>
        <row r="45">
          <cell r="A45">
            <v>39</v>
          </cell>
          <cell r="B45" t="str">
            <v>アスク海浜幕張保育園</v>
          </cell>
          <cell r="C45">
            <v>59</v>
          </cell>
          <cell r="D45">
            <v>8</v>
          </cell>
          <cell r="E45">
            <v>170800</v>
          </cell>
          <cell r="F45">
            <v>104400</v>
          </cell>
          <cell r="G45">
            <v>54840</v>
          </cell>
          <cell r="H45">
            <v>48210</v>
          </cell>
          <cell r="I45">
            <v>12890</v>
          </cell>
          <cell r="J45">
            <v>7570</v>
          </cell>
          <cell r="K45">
            <v>3860</v>
          </cell>
          <cell r="L45">
            <v>3330</v>
          </cell>
          <cell r="M45">
            <v>760</v>
          </cell>
          <cell r="N45">
            <v>60</v>
          </cell>
          <cell r="O45">
            <v>184510</v>
          </cell>
          <cell r="P45">
            <v>112790</v>
          </cell>
          <cell r="Q45">
            <v>184510</v>
          </cell>
          <cell r="R45">
            <v>112790</v>
          </cell>
          <cell r="S45">
            <v>59520</v>
          </cell>
          <cell r="T45">
            <v>52360</v>
          </cell>
        </row>
        <row r="46">
          <cell r="A46">
            <v>40</v>
          </cell>
          <cell r="B46" t="str">
            <v>明徳浜野駅保育園</v>
          </cell>
          <cell r="C46">
            <v>36</v>
          </cell>
          <cell r="D46">
            <v>8</v>
          </cell>
          <cell r="E46">
            <v>178700</v>
          </cell>
          <cell r="F46">
            <v>112300</v>
          </cell>
          <cell r="G46">
            <v>62740</v>
          </cell>
          <cell r="H46">
            <v>56110</v>
          </cell>
          <cell r="I46">
            <v>13530</v>
          </cell>
          <cell r="J46">
            <v>8210</v>
          </cell>
          <cell r="K46">
            <v>4500</v>
          </cell>
          <cell r="L46">
            <v>3970</v>
          </cell>
          <cell r="M46">
            <v>1150</v>
          </cell>
          <cell r="N46">
            <v>90</v>
          </cell>
          <cell r="O46">
            <v>193470</v>
          </cell>
          <cell r="P46">
            <v>121750</v>
          </cell>
          <cell r="Q46">
            <v>193470</v>
          </cell>
          <cell r="R46">
            <v>121750</v>
          </cell>
          <cell r="S46">
            <v>68480</v>
          </cell>
          <cell r="T46">
            <v>61320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8</v>
          </cell>
          <cell r="E48">
            <v>189830</v>
          </cell>
          <cell r="F48">
            <v>123430</v>
          </cell>
          <cell r="G48">
            <v>73870</v>
          </cell>
          <cell r="H48">
            <v>67240</v>
          </cell>
          <cell r="I48">
            <v>14420</v>
          </cell>
          <cell r="J48">
            <v>9100</v>
          </cell>
          <cell r="K48">
            <v>5390</v>
          </cell>
          <cell r="L48">
            <v>4860</v>
          </cell>
          <cell r="M48">
            <v>1150</v>
          </cell>
          <cell r="N48">
            <v>90</v>
          </cell>
          <cell r="O48">
            <v>205490</v>
          </cell>
          <cell r="P48">
            <v>133770</v>
          </cell>
          <cell r="Q48">
            <v>205490</v>
          </cell>
          <cell r="R48">
            <v>133770</v>
          </cell>
          <cell r="S48">
            <v>80500</v>
          </cell>
          <cell r="T48">
            <v>73340</v>
          </cell>
        </row>
        <row r="49">
          <cell r="A49">
            <v>43</v>
          </cell>
          <cell r="B49" t="str">
            <v>千葉聖心保育園</v>
          </cell>
          <cell r="C49">
            <v>45</v>
          </cell>
          <cell r="D49">
            <v>8</v>
          </cell>
          <cell r="E49">
            <v>176590</v>
          </cell>
          <cell r="F49">
            <v>110190</v>
          </cell>
          <cell r="G49">
            <v>60630</v>
          </cell>
          <cell r="H49">
            <v>54000</v>
          </cell>
          <cell r="I49">
            <v>13360</v>
          </cell>
          <cell r="J49">
            <v>8040</v>
          </cell>
          <cell r="K49">
            <v>4330</v>
          </cell>
          <cell r="L49">
            <v>3800</v>
          </cell>
          <cell r="M49">
            <v>920</v>
          </cell>
          <cell r="N49">
            <v>70</v>
          </cell>
          <cell r="O49">
            <v>190940</v>
          </cell>
          <cell r="P49">
            <v>119220</v>
          </cell>
          <cell r="Q49">
            <v>190940</v>
          </cell>
          <cell r="R49">
            <v>119220</v>
          </cell>
          <cell r="S49">
            <v>65950</v>
          </cell>
          <cell r="T49">
            <v>58790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補助転記"/>
      <sheetName val="⓪ファイルの説明 "/>
      <sheetName val="修正等箇所"/>
      <sheetName val="①基本情報"/>
      <sheetName val="②-1職員名簿"/>
      <sheetName val="②-2勤務時間数入力"/>
      <sheetName val="③児童数及び職員定数 (2)-(1)"/>
      <sheetName val="④-1月別配置内訳書(2)-(2)-(A)"/>
      <sheetName val="④-2月別配置内訳書(2)-(2)-(B)"/>
      <sheetName val="④-3月別配置内訳書(2)-(2)-(C)・(D)"/>
      <sheetName val="④-４月別配置内訳書(2)-(2)-(E)"/>
      <sheetName val="判定"/>
      <sheetName val="⑤基本加算１"/>
      <sheetName val="⑥基本加算２"/>
      <sheetName val="⑦基本加算３"/>
      <sheetName val="⑧一般加算１"/>
      <sheetName val="⑨一般加算２"/>
      <sheetName val="⑩特定加算１"/>
      <sheetName val="⑪特定加算２"/>
      <sheetName val="様式３（第二期）"/>
      <sheetName val="様式１"/>
      <sheetName val="様式３"/>
      <sheetName val="様式４"/>
      <sheetName val="様式６"/>
      <sheetName val="様式８"/>
      <sheetName val="精算書"/>
    </sheetNames>
    <sheetDataSet>
      <sheetData sheetId="0" refreshError="1"/>
      <sheetData sheetId="1" refreshError="1"/>
      <sheetData sheetId="2" refreshError="1">
        <row r="5">
          <cell r="C5">
            <v>1</v>
          </cell>
          <cell r="D5" t="str">
            <v>院内保育園</v>
          </cell>
          <cell r="E5" t="str">
            <v>無</v>
          </cell>
          <cell r="F5">
            <v>90</v>
          </cell>
          <cell r="H5">
            <v>54</v>
          </cell>
          <cell r="I5">
            <v>36</v>
          </cell>
          <cell r="O5">
            <v>1189000</v>
          </cell>
          <cell r="P5">
            <v>2094000</v>
          </cell>
          <cell r="Q5">
            <v>2627000</v>
          </cell>
          <cell r="R5">
            <v>1631000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t="str">
            <v>令和3年4月1日</v>
          </cell>
          <cell r="AM5" t="str">
            <v>3号</v>
          </cell>
          <cell r="AN5" t="str">
            <v>有</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J5" t="str">
            <v>-</v>
          </cell>
          <cell r="BK5" t="str">
            <v>-</v>
          </cell>
          <cell r="BL5" t="str">
            <v>-</v>
          </cell>
          <cell r="CW5" t="str">
            <v>無</v>
          </cell>
          <cell r="CX5">
            <v>0</v>
          </cell>
          <cell r="CY5" t="str">
            <v>有</v>
          </cell>
          <cell r="CZ5" t="str">
            <v>有</v>
          </cell>
          <cell r="DA5" t="str">
            <v>有</v>
          </cell>
          <cell r="DB5" t="str">
            <v>有</v>
          </cell>
          <cell r="DC5" t="str">
            <v>有</v>
          </cell>
          <cell r="DD5" t="str">
            <v>有</v>
          </cell>
          <cell r="DE5" t="str">
            <v>有</v>
          </cell>
          <cell r="DF5" t="str">
            <v>有</v>
          </cell>
          <cell r="DG5" t="str">
            <v>有</v>
          </cell>
          <cell r="DH5" t="str">
            <v>有</v>
          </cell>
          <cell r="DI5" t="str">
            <v>有</v>
          </cell>
          <cell r="DJ5" t="str">
            <v>有</v>
          </cell>
          <cell r="DK5" t="str">
            <v>-</v>
          </cell>
          <cell r="DL5" t="str">
            <v>-</v>
          </cell>
          <cell r="DM5" t="str">
            <v>-</v>
          </cell>
          <cell r="DN5" t="str">
            <v>-</v>
          </cell>
          <cell r="DO5" t="str">
            <v>-</v>
          </cell>
          <cell r="DP5" t="str">
            <v>-</v>
          </cell>
          <cell r="DQ5" t="str">
            <v>-</v>
          </cell>
          <cell r="DR5" t="str">
            <v>-</v>
          </cell>
          <cell r="DS5" t="str">
            <v>-</v>
          </cell>
          <cell r="DT5" t="str">
            <v>-</v>
          </cell>
          <cell r="DU5" t="str">
            <v>-</v>
          </cell>
          <cell r="DV5" t="str">
            <v>-</v>
          </cell>
          <cell r="DW5" t="str">
            <v>有</v>
          </cell>
          <cell r="DX5" t="str">
            <v>有</v>
          </cell>
          <cell r="DY5" t="str">
            <v>有</v>
          </cell>
          <cell r="DZ5" t="str">
            <v>有</v>
          </cell>
          <cell r="EA5" t="str">
            <v>有</v>
          </cell>
          <cell r="EB5" t="str">
            <v>有</v>
          </cell>
          <cell r="EC5" t="str">
            <v>有</v>
          </cell>
          <cell r="ED5" t="str">
            <v>有</v>
          </cell>
          <cell r="EE5" t="str">
            <v>有</v>
          </cell>
          <cell r="EF5" t="str">
            <v>有</v>
          </cell>
          <cell r="EG5" t="str">
            <v>有</v>
          </cell>
          <cell r="EH5" t="str">
            <v>有</v>
          </cell>
          <cell r="EI5" t="str">
            <v>配置</v>
          </cell>
          <cell r="EJ5" t="str">
            <v>配置</v>
          </cell>
          <cell r="EK5" t="str">
            <v>配置</v>
          </cell>
          <cell r="EL5" t="str">
            <v>配置</v>
          </cell>
          <cell r="EM5" t="str">
            <v>配置</v>
          </cell>
          <cell r="EN5" t="str">
            <v>配置</v>
          </cell>
          <cell r="EO5" t="str">
            <v>配置</v>
          </cell>
          <cell r="EP5" t="str">
            <v>配置</v>
          </cell>
          <cell r="EQ5" t="str">
            <v>配置</v>
          </cell>
          <cell r="ER5" t="str">
            <v>配置</v>
          </cell>
          <cell r="ES5" t="str">
            <v>配置</v>
          </cell>
          <cell r="ET5" t="str">
            <v>配置</v>
          </cell>
          <cell r="EU5">
            <v>76960</v>
          </cell>
          <cell r="EV5">
            <v>76960</v>
          </cell>
          <cell r="EW5">
            <v>76960</v>
          </cell>
          <cell r="EX5">
            <v>76960</v>
          </cell>
          <cell r="EY5">
            <v>76960</v>
          </cell>
          <cell r="EZ5">
            <v>76960</v>
          </cell>
          <cell r="FA5">
            <v>76960</v>
          </cell>
          <cell r="FB5">
            <v>76960</v>
          </cell>
          <cell r="FC5">
            <v>76960</v>
          </cell>
          <cell r="FD5">
            <v>76960</v>
          </cell>
          <cell r="FE5">
            <v>76960</v>
          </cell>
          <cell r="FF5">
            <v>76960</v>
          </cell>
        </row>
        <row r="6">
          <cell r="C6">
            <v>2</v>
          </cell>
          <cell r="D6" t="str">
            <v>旭ヶ丘保育園</v>
          </cell>
          <cell r="E6" t="str">
            <v>無</v>
          </cell>
          <cell r="F6">
            <v>120</v>
          </cell>
          <cell r="H6">
            <v>75</v>
          </cell>
          <cell r="I6">
            <v>45</v>
          </cell>
          <cell r="O6">
            <v>1189000</v>
          </cell>
          <cell r="P6">
            <v>2627000</v>
          </cell>
          <cell r="Q6">
            <v>2627000</v>
          </cell>
          <cell r="R6">
            <v>1028000</v>
          </cell>
          <cell r="S6">
            <v>0</v>
          </cell>
          <cell r="T6">
            <v>5946000</v>
          </cell>
          <cell r="U6">
            <v>0</v>
          </cell>
          <cell r="V6">
            <v>792000</v>
          </cell>
          <cell r="W6">
            <v>1751000</v>
          </cell>
          <cell r="X6">
            <v>1751000</v>
          </cell>
          <cell r="Y6">
            <v>685000</v>
          </cell>
          <cell r="Z6">
            <v>0</v>
          </cell>
          <cell r="AA6">
            <v>3964000</v>
          </cell>
          <cell r="AB6">
            <v>0</v>
          </cell>
          <cell r="AC6">
            <v>397000</v>
          </cell>
          <cell r="AD6">
            <v>876000</v>
          </cell>
          <cell r="AE6">
            <v>876000</v>
          </cell>
          <cell r="AF6">
            <v>343000</v>
          </cell>
          <cell r="AG6">
            <v>0</v>
          </cell>
          <cell r="AH6">
            <v>1982000</v>
          </cell>
          <cell r="AI6">
            <v>0</v>
          </cell>
          <cell r="AJ6" t="str">
            <v>令和3年4月1日</v>
          </cell>
          <cell r="AK6" t="str">
            <v>令和3年5月31日交付</v>
          </cell>
          <cell r="AL6" t="str">
            <v>令和3年10月29日交付</v>
          </cell>
          <cell r="AM6" t="str">
            <v>3号の2</v>
          </cell>
          <cell r="AN6" t="str">
            <v>有</v>
          </cell>
          <cell r="AO6" t="str">
            <v>一般型</v>
          </cell>
          <cell r="AP6" t="str">
            <v>一般型</v>
          </cell>
          <cell r="AQ6" t="str">
            <v>一般型</v>
          </cell>
          <cell r="AR6" t="str">
            <v>一般型</v>
          </cell>
          <cell r="AS6" t="str">
            <v>一般型</v>
          </cell>
          <cell r="AT6" t="str">
            <v>一般型</v>
          </cell>
          <cell r="AU6" t="str">
            <v>一般型</v>
          </cell>
          <cell r="AV6" t="str">
            <v>一般型</v>
          </cell>
          <cell r="AW6" t="str">
            <v>一般型</v>
          </cell>
          <cell r="AX6" t="str">
            <v>一般型</v>
          </cell>
          <cell r="AY6" t="str">
            <v>一般型</v>
          </cell>
          <cell r="AZ6" t="str">
            <v>一般型</v>
          </cell>
          <cell r="BA6" t="str">
            <v>-</v>
          </cell>
          <cell r="BB6" t="str">
            <v>-</v>
          </cell>
          <cell r="BC6" t="str">
            <v>-</v>
          </cell>
          <cell r="BD6" t="str">
            <v>-</v>
          </cell>
          <cell r="BE6" t="str">
            <v>-</v>
          </cell>
          <cell r="BF6" t="str">
            <v>-</v>
          </cell>
          <cell r="BG6" t="str">
            <v>-</v>
          </cell>
          <cell r="BH6" t="str">
            <v>-</v>
          </cell>
          <cell r="BI6" t="str">
            <v>-</v>
          </cell>
          <cell r="BJ6" t="str">
            <v>-</v>
          </cell>
          <cell r="BK6" t="str">
            <v>-</v>
          </cell>
          <cell r="BL6" t="str">
            <v>-</v>
          </cell>
          <cell r="BM6">
            <v>3</v>
          </cell>
          <cell r="BN6">
            <v>3</v>
          </cell>
          <cell r="BO6">
            <v>3</v>
          </cell>
          <cell r="BP6">
            <v>3</v>
          </cell>
          <cell r="BQ6">
            <v>3</v>
          </cell>
          <cell r="BR6">
            <v>3</v>
          </cell>
          <cell r="BS6">
            <v>3</v>
          </cell>
          <cell r="BT6">
            <v>3</v>
          </cell>
          <cell r="BU6">
            <v>3</v>
          </cell>
          <cell r="BV6">
            <v>3</v>
          </cell>
          <cell r="BW6">
            <v>3</v>
          </cell>
          <cell r="BX6">
            <v>3</v>
          </cell>
          <cell r="CK6">
            <v>0</v>
          </cell>
          <cell r="CL6">
            <v>0</v>
          </cell>
          <cell r="CM6">
            <v>0</v>
          </cell>
          <cell r="CN6">
            <v>0</v>
          </cell>
          <cell r="CO6">
            <v>0</v>
          </cell>
          <cell r="CP6">
            <v>0</v>
          </cell>
          <cell r="CQ6">
            <v>0</v>
          </cell>
          <cell r="CR6">
            <v>0</v>
          </cell>
          <cell r="CS6">
            <v>0</v>
          </cell>
          <cell r="CT6">
            <v>0</v>
          </cell>
          <cell r="CU6">
            <v>0</v>
          </cell>
          <cell r="CV6">
            <v>0</v>
          </cell>
          <cell r="CW6" t="str">
            <v>無</v>
          </cell>
          <cell r="CX6">
            <v>0</v>
          </cell>
          <cell r="CY6" t="str">
            <v>有</v>
          </cell>
          <cell r="CZ6" t="str">
            <v>有</v>
          </cell>
          <cell r="DA6" t="str">
            <v>有</v>
          </cell>
          <cell r="DB6" t="str">
            <v>有</v>
          </cell>
          <cell r="DC6" t="str">
            <v>有</v>
          </cell>
          <cell r="DD6" t="str">
            <v>有</v>
          </cell>
          <cell r="DE6" t="str">
            <v>有</v>
          </cell>
          <cell r="DF6" t="str">
            <v>有</v>
          </cell>
          <cell r="DG6" t="str">
            <v>有</v>
          </cell>
          <cell r="DH6" t="str">
            <v>有</v>
          </cell>
          <cell r="DI6" t="str">
            <v>有</v>
          </cell>
          <cell r="DJ6" t="str">
            <v>有</v>
          </cell>
          <cell r="DK6" t="str">
            <v>賃金改善</v>
          </cell>
          <cell r="DL6" t="str">
            <v>賃金改善</v>
          </cell>
          <cell r="DM6" t="str">
            <v>賃金改善</v>
          </cell>
          <cell r="DN6" t="str">
            <v>賃金改善</v>
          </cell>
          <cell r="DO6" t="str">
            <v>賃金改善</v>
          </cell>
          <cell r="DP6" t="str">
            <v>賃金改善</v>
          </cell>
          <cell r="DQ6" t="str">
            <v>賃金改善</v>
          </cell>
          <cell r="DR6" t="str">
            <v>賃金改善</v>
          </cell>
          <cell r="DS6" t="str">
            <v>賃金改善</v>
          </cell>
          <cell r="DT6" t="str">
            <v>賃金改善</v>
          </cell>
          <cell r="DU6" t="str">
            <v>賃金改善</v>
          </cell>
          <cell r="DV6" t="str">
            <v>賃金改善</v>
          </cell>
          <cell r="DW6" t="str">
            <v>有</v>
          </cell>
          <cell r="DX6" t="str">
            <v>有</v>
          </cell>
          <cell r="DY6" t="str">
            <v>有</v>
          </cell>
          <cell r="DZ6" t="str">
            <v>有</v>
          </cell>
          <cell r="EA6" t="str">
            <v>有</v>
          </cell>
          <cell r="EB6" t="str">
            <v>有</v>
          </cell>
          <cell r="EC6" t="str">
            <v>有</v>
          </cell>
          <cell r="ED6" t="str">
            <v>有</v>
          </cell>
          <cell r="EE6" t="str">
            <v>有</v>
          </cell>
          <cell r="EF6" t="str">
            <v>有</v>
          </cell>
          <cell r="EG6" t="str">
            <v>有</v>
          </cell>
          <cell r="EH6" t="str">
            <v>有</v>
          </cell>
          <cell r="EI6" t="str">
            <v>配置</v>
          </cell>
          <cell r="EJ6" t="str">
            <v>配置</v>
          </cell>
          <cell r="EK6" t="str">
            <v>配置</v>
          </cell>
          <cell r="EL6" t="str">
            <v>配置</v>
          </cell>
          <cell r="EM6" t="str">
            <v>配置</v>
          </cell>
          <cell r="EN6" t="str">
            <v>配置</v>
          </cell>
          <cell r="EO6" t="str">
            <v>配置</v>
          </cell>
          <cell r="EP6" t="str">
            <v>配置</v>
          </cell>
          <cell r="EQ6" t="str">
            <v>配置</v>
          </cell>
          <cell r="ER6" t="str">
            <v>配置</v>
          </cell>
          <cell r="ES6" t="str">
            <v>配置</v>
          </cell>
          <cell r="ET6" t="str">
            <v>配置</v>
          </cell>
          <cell r="EU6">
            <v>76960</v>
          </cell>
          <cell r="EV6">
            <v>76960</v>
          </cell>
          <cell r="EW6">
            <v>76960</v>
          </cell>
          <cell r="EX6">
            <v>76960</v>
          </cell>
          <cell r="EY6">
            <v>76960</v>
          </cell>
          <cell r="EZ6">
            <v>76960</v>
          </cell>
          <cell r="FA6">
            <v>76960</v>
          </cell>
          <cell r="FB6">
            <v>76960</v>
          </cell>
          <cell r="FC6">
            <v>76960</v>
          </cell>
          <cell r="FD6">
            <v>76960</v>
          </cell>
          <cell r="FE6">
            <v>76960</v>
          </cell>
          <cell r="FF6">
            <v>76960</v>
          </cell>
        </row>
        <row r="7">
          <cell r="C7">
            <v>3</v>
          </cell>
          <cell r="D7" t="str">
            <v>稲毛保育園</v>
          </cell>
          <cell r="E7" t="str">
            <v>無</v>
          </cell>
          <cell r="F7">
            <v>140</v>
          </cell>
          <cell r="H7">
            <v>84</v>
          </cell>
          <cell r="I7">
            <v>56</v>
          </cell>
          <cell r="O7">
            <v>1189000</v>
          </cell>
          <cell r="P7">
            <v>2627000</v>
          </cell>
          <cell r="Q7">
            <v>2627000</v>
          </cell>
          <cell r="R7">
            <v>1631000</v>
          </cell>
          <cell r="S7">
            <v>0</v>
          </cell>
          <cell r="T7">
            <v>0</v>
          </cell>
          <cell r="U7">
            <v>1982000</v>
          </cell>
          <cell r="V7">
            <v>792000</v>
          </cell>
          <cell r="W7">
            <v>1751000</v>
          </cell>
          <cell r="X7">
            <v>1751000</v>
          </cell>
          <cell r="Y7">
            <v>1087000</v>
          </cell>
          <cell r="Z7">
            <v>0</v>
          </cell>
          <cell r="AA7">
            <v>0</v>
          </cell>
          <cell r="AB7">
            <v>1321000</v>
          </cell>
          <cell r="AC7">
            <v>0</v>
          </cell>
          <cell r="AD7">
            <v>0</v>
          </cell>
          <cell r="AE7">
            <v>0</v>
          </cell>
          <cell r="AF7">
            <v>0</v>
          </cell>
          <cell r="AG7">
            <v>0</v>
          </cell>
          <cell r="AH7">
            <v>0</v>
          </cell>
          <cell r="AI7">
            <v>0</v>
          </cell>
          <cell r="AJ7" t="str">
            <v>令和3年4月1日</v>
          </cell>
          <cell r="AK7" t="str">
            <v>令和3年5月31日交付</v>
          </cell>
          <cell r="AM7" t="str">
            <v>3号の3</v>
          </cell>
          <cell r="AN7" t="str">
            <v>有</v>
          </cell>
          <cell r="AO7" t="str">
            <v>一般型</v>
          </cell>
          <cell r="AP7" t="str">
            <v>一般型</v>
          </cell>
          <cell r="AQ7" t="str">
            <v>一般型</v>
          </cell>
          <cell r="AR7" t="str">
            <v>一般型</v>
          </cell>
          <cell r="AS7" t="str">
            <v>一般型</v>
          </cell>
          <cell r="AT7" t="str">
            <v>一般型</v>
          </cell>
          <cell r="AU7" t="str">
            <v>一般型</v>
          </cell>
          <cell r="AV7" t="str">
            <v>一般型</v>
          </cell>
          <cell r="AW7" t="str">
            <v>一般型</v>
          </cell>
          <cell r="AX7" t="str">
            <v>一般型</v>
          </cell>
          <cell r="AY7" t="str">
            <v>一般型</v>
          </cell>
          <cell r="AZ7" t="str">
            <v>一般型</v>
          </cell>
          <cell r="BA7" t="str">
            <v>-</v>
          </cell>
          <cell r="BB7" t="str">
            <v>-</v>
          </cell>
          <cell r="BC7" t="str">
            <v>-</v>
          </cell>
          <cell r="BD7" t="str">
            <v>-</v>
          </cell>
          <cell r="BE7" t="str">
            <v>-</v>
          </cell>
          <cell r="BF7" t="str">
            <v>-</v>
          </cell>
          <cell r="BG7" t="str">
            <v>-</v>
          </cell>
          <cell r="BH7" t="str">
            <v>-</v>
          </cell>
          <cell r="BI7" t="str">
            <v>-</v>
          </cell>
          <cell r="BJ7" t="str">
            <v>-</v>
          </cell>
          <cell r="BK7" t="str">
            <v>-</v>
          </cell>
          <cell r="BL7" t="str">
            <v>-</v>
          </cell>
          <cell r="BO7">
            <v>1</v>
          </cell>
          <cell r="BP7">
            <v>1</v>
          </cell>
          <cell r="BQ7">
            <v>1</v>
          </cell>
          <cell r="BR7">
            <v>1</v>
          </cell>
          <cell r="BS7">
            <v>1</v>
          </cell>
          <cell r="BT7">
            <v>1</v>
          </cell>
          <cell r="BU7">
            <v>1</v>
          </cell>
          <cell r="BV7">
            <v>1</v>
          </cell>
          <cell r="BW7">
            <v>1</v>
          </cell>
          <cell r="BX7">
            <v>1</v>
          </cell>
          <cell r="CM7">
            <v>0</v>
          </cell>
          <cell r="CN7">
            <v>0</v>
          </cell>
          <cell r="CO7">
            <v>0</v>
          </cell>
          <cell r="CP7">
            <v>0</v>
          </cell>
          <cell r="CQ7">
            <v>0</v>
          </cell>
          <cell r="CR7">
            <v>0</v>
          </cell>
          <cell r="CS7">
            <v>0</v>
          </cell>
          <cell r="CT7">
            <v>0</v>
          </cell>
          <cell r="CU7">
            <v>0</v>
          </cell>
          <cell r="CV7">
            <v>0</v>
          </cell>
          <cell r="CW7" t="str">
            <v>有</v>
          </cell>
          <cell r="CX7">
            <v>0</v>
          </cell>
          <cell r="CY7" t="str">
            <v>有</v>
          </cell>
          <cell r="CZ7" t="str">
            <v>有</v>
          </cell>
          <cell r="DA7" t="str">
            <v>有</v>
          </cell>
          <cell r="DB7" t="str">
            <v>有</v>
          </cell>
          <cell r="DC7" t="str">
            <v>有</v>
          </cell>
          <cell r="DD7" t="str">
            <v>有</v>
          </cell>
          <cell r="DE7" t="str">
            <v>有</v>
          </cell>
          <cell r="DF7" t="str">
            <v>有</v>
          </cell>
          <cell r="DG7" t="str">
            <v>有</v>
          </cell>
          <cell r="DH7" t="str">
            <v>有</v>
          </cell>
          <cell r="DI7" t="str">
            <v>有</v>
          </cell>
          <cell r="DJ7" t="str">
            <v>有</v>
          </cell>
          <cell r="DK7" t="str">
            <v>増員</v>
          </cell>
          <cell r="DL7" t="str">
            <v>増員</v>
          </cell>
          <cell r="DM7" t="str">
            <v>増員</v>
          </cell>
          <cell r="DN7" t="str">
            <v>増員</v>
          </cell>
          <cell r="DO7" t="str">
            <v>増員</v>
          </cell>
          <cell r="DP7" t="str">
            <v>増員</v>
          </cell>
          <cell r="DQ7" t="str">
            <v>増員</v>
          </cell>
          <cell r="DR7" t="str">
            <v>増員</v>
          </cell>
          <cell r="DS7" t="str">
            <v>増員</v>
          </cell>
          <cell r="DT7" t="str">
            <v>増員</v>
          </cell>
          <cell r="DU7" t="str">
            <v>増員</v>
          </cell>
          <cell r="DV7" t="str">
            <v>増員</v>
          </cell>
          <cell r="DW7" t="str">
            <v>有</v>
          </cell>
          <cell r="DX7" t="str">
            <v>有</v>
          </cell>
          <cell r="DY7" t="str">
            <v>有</v>
          </cell>
          <cell r="DZ7" t="str">
            <v>有</v>
          </cell>
          <cell r="EA7" t="str">
            <v>有</v>
          </cell>
          <cell r="EB7" t="str">
            <v>有</v>
          </cell>
          <cell r="EC7" t="str">
            <v>有</v>
          </cell>
          <cell r="ED7" t="str">
            <v>有</v>
          </cell>
          <cell r="EE7" t="str">
            <v>有</v>
          </cell>
          <cell r="EF7" t="str">
            <v>有</v>
          </cell>
          <cell r="EG7" t="str">
            <v>有</v>
          </cell>
          <cell r="EH7" t="str">
            <v>有</v>
          </cell>
          <cell r="EI7" t="str">
            <v>配置</v>
          </cell>
          <cell r="EJ7" t="str">
            <v>配置</v>
          </cell>
          <cell r="EK7" t="str">
            <v>配置</v>
          </cell>
          <cell r="EL7" t="str">
            <v>配置</v>
          </cell>
          <cell r="EM7" t="str">
            <v>配置</v>
          </cell>
          <cell r="EN7" t="str">
            <v>配置</v>
          </cell>
          <cell r="EO7" t="str">
            <v>配置</v>
          </cell>
          <cell r="EP7" t="str">
            <v>配置</v>
          </cell>
          <cell r="EQ7" t="str">
            <v>配置</v>
          </cell>
          <cell r="ER7" t="str">
            <v>配置</v>
          </cell>
          <cell r="ES7" t="str">
            <v>配置</v>
          </cell>
          <cell r="ET7" t="str">
            <v>配置</v>
          </cell>
          <cell r="EU7">
            <v>76960</v>
          </cell>
          <cell r="EV7">
            <v>76960</v>
          </cell>
          <cell r="EW7">
            <v>76960</v>
          </cell>
          <cell r="EX7">
            <v>76960</v>
          </cell>
          <cell r="EY7">
            <v>76960</v>
          </cell>
          <cell r="EZ7">
            <v>76960</v>
          </cell>
          <cell r="FA7">
            <v>76960</v>
          </cell>
          <cell r="FB7">
            <v>76960</v>
          </cell>
          <cell r="FC7">
            <v>76960</v>
          </cell>
          <cell r="FD7">
            <v>76960</v>
          </cell>
          <cell r="FE7">
            <v>76960</v>
          </cell>
          <cell r="FF7">
            <v>76960</v>
          </cell>
        </row>
        <row r="8">
          <cell r="C8">
            <v>4</v>
          </cell>
          <cell r="D8" t="str">
            <v>みどり保育園</v>
          </cell>
          <cell r="E8" t="str">
            <v>無</v>
          </cell>
          <cell r="F8">
            <v>90</v>
          </cell>
          <cell r="H8">
            <v>60</v>
          </cell>
          <cell r="I8">
            <v>30</v>
          </cell>
          <cell r="O8">
            <v>1189000</v>
          </cell>
          <cell r="P8">
            <v>2627000</v>
          </cell>
          <cell r="Q8">
            <v>2627000</v>
          </cell>
          <cell r="R8">
            <v>1631000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t="str">
            <v>令和3年4月1日</v>
          </cell>
          <cell r="AM8" t="str">
            <v>3号の4</v>
          </cell>
          <cell r="AN8" t="str">
            <v>有</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t="str">
            <v>-</v>
          </cell>
          <cell r="BH8" t="str">
            <v>-</v>
          </cell>
          <cell r="BI8" t="str">
            <v>-</v>
          </cell>
          <cell r="BJ8" t="str">
            <v>-</v>
          </cell>
          <cell r="BK8" t="str">
            <v>-</v>
          </cell>
          <cell r="BL8" t="str">
            <v>-</v>
          </cell>
          <cell r="CW8" t="str">
            <v>無</v>
          </cell>
          <cell r="CX8">
            <v>0</v>
          </cell>
          <cell r="CY8" t="str">
            <v>有</v>
          </cell>
          <cell r="CZ8" t="str">
            <v>有</v>
          </cell>
          <cell r="DA8" t="str">
            <v>有</v>
          </cell>
          <cell r="DB8" t="str">
            <v>有</v>
          </cell>
          <cell r="DC8" t="str">
            <v>有</v>
          </cell>
          <cell r="DD8" t="str">
            <v>有</v>
          </cell>
          <cell r="DE8" t="str">
            <v>有</v>
          </cell>
          <cell r="DF8" t="str">
            <v>有</v>
          </cell>
          <cell r="DG8" t="str">
            <v>有</v>
          </cell>
          <cell r="DH8" t="str">
            <v>有</v>
          </cell>
          <cell r="DI8" t="str">
            <v>有</v>
          </cell>
          <cell r="DJ8" t="str">
            <v>有</v>
          </cell>
          <cell r="DK8" t="str">
            <v>-</v>
          </cell>
          <cell r="DL8" t="str">
            <v>-</v>
          </cell>
          <cell r="DM8" t="str">
            <v>-</v>
          </cell>
          <cell r="DN8" t="str">
            <v>-</v>
          </cell>
          <cell r="DO8" t="str">
            <v>-</v>
          </cell>
          <cell r="DP8" t="str">
            <v>-</v>
          </cell>
          <cell r="DQ8" t="str">
            <v>-</v>
          </cell>
          <cell r="DR8" t="str">
            <v>-</v>
          </cell>
          <cell r="DS8" t="str">
            <v>-</v>
          </cell>
          <cell r="DT8" t="str">
            <v>-</v>
          </cell>
          <cell r="DU8" t="str">
            <v>-</v>
          </cell>
          <cell r="DV8" t="str">
            <v>-</v>
          </cell>
          <cell r="DW8" t="str">
            <v>有</v>
          </cell>
          <cell r="DX8" t="str">
            <v>有</v>
          </cell>
          <cell r="DY8" t="str">
            <v>有</v>
          </cell>
          <cell r="DZ8" t="str">
            <v>有</v>
          </cell>
          <cell r="EA8" t="str">
            <v>有</v>
          </cell>
          <cell r="EB8" t="str">
            <v>有</v>
          </cell>
          <cell r="EC8" t="str">
            <v>有</v>
          </cell>
          <cell r="ED8" t="str">
            <v>有</v>
          </cell>
          <cell r="EE8" t="str">
            <v>有</v>
          </cell>
          <cell r="EF8" t="str">
            <v>有</v>
          </cell>
          <cell r="EG8" t="str">
            <v>有</v>
          </cell>
          <cell r="EH8" t="str">
            <v>有</v>
          </cell>
          <cell r="EI8" t="str">
            <v>配置</v>
          </cell>
          <cell r="EJ8" t="str">
            <v>配置</v>
          </cell>
          <cell r="EK8" t="str">
            <v>配置</v>
          </cell>
          <cell r="EL8" t="str">
            <v>配置</v>
          </cell>
          <cell r="EM8" t="str">
            <v>配置</v>
          </cell>
          <cell r="EN8" t="str">
            <v>配置</v>
          </cell>
          <cell r="EO8" t="str">
            <v>配置</v>
          </cell>
          <cell r="EP8" t="str">
            <v>配置</v>
          </cell>
          <cell r="EQ8" t="str">
            <v>配置</v>
          </cell>
          <cell r="ER8" t="str">
            <v>配置</v>
          </cell>
          <cell r="ES8" t="str">
            <v>配置</v>
          </cell>
          <cell r="ET8" t="str">
            <v>配置</v>
          </cell>
          <cell r="EU8">
            <v>76960</v>
          </cell>
          <cell r="EV8">
            <v>76960</v>
          </cell>
          <cell r="EW8">
            <v>76960</v>
          </cell>
          <cell r="EX8">
            <v>76960</v>
          </cell>
          <cell r="EY8">
            <v>76960</v>
          </cell>
          <cell r="EZ8">
            <v>76960</v>
          </cell>
          <cell r="FA8">
            <v>76960</v>
          </cell>
          <cell r="FB8">
            <v>76960</v>
          </cell>
          <cell r="FC8">
            <v>76960</v>
          </cell>
          <cell r="FD8">
            <v>76960</v>
          </cell>
          <cell r="FE8">
            <v>76960</v>
          </cell>
          <cell r="FF8">
            <v>76960</v>
          </cell>
        </row>
        <row r="9">
          <cell r="C9">
            <v>5</v>
          </cell>
          <cell r="D9" t="str">
            <v>ちどり保育園</v>
          </cell>
          <cell r="E9" t="str">
            <v>無</v>
          </cell>
          <cell r="F9">
            <v>120</v>
          </cell>
          <cell r="H9">
            <v>75</v>
          </cell>
          <cell r="I9">
            <v>45</v>
          </cell>
          <cell r="O9">
            <v>1189000</v>
          </cell>
          <cell r="P9">
            <v>2627000</v>
          </cell>
          <cell r="Q9">
            <v>2627000</v>
          </cell>
          <cell r="R9">
            <v>1631000</v>
          </cell>
          <cell r="S9">
            <v>0</v>
          </cell>
          <cell r="T9">
            <v>1982000</v>
          </cell>
          <cell r="U9">
            <v>1982000</v>
          </cell>
          <cell r="V9">
            <v>792000</v>
          </cell>
          <cell r="W9">
            <v>1751000</v>
          </cell>
          <cell r="X9">
            <v>1751000</v>
          </cell>
          <cell r="Y9">
            <v>1087000</v>
          </cell>
          <cell r="Z9">
            <v>0</v>
          </cell>
          <cell r="AA9">
            <v>1321000</v>
          </cell>
          <cell r="AB9">
            <v>1321000</v>
          </cell>
          <cell r="AC9">
            <v>0</v>
          </cell>
          <cell r="AD9">
            <v>0</v>
          </cell>
          <cell r="AE9">
            <v>0</v>
          </cell>
          <cell r="AF9">
            <v>0</v>
          </cell>
          <cell r="AG9">
            <v>0</v>
          </cell>
          <cell r="AH9">
            <v>0</v>
          </cell>
          <cell r="AI9">
            <v>0</v>
          </cell>
          <cell r="AJ9" t="str">
            <v>令和3年4月1日</v>
          </cell>
          <cell r="AK9" t="str">
            <v>令和3年5月31日交付</v>
          </cell>
          <cell r="AM9" t="str">
            <v>3号の5</v>
          </cell>
          <cell r="AN9" t="str">
            <v>有</v>
          </cell>
          <cell r="AO9" t="str">
            <v>-</v>
          </cell>
          <cell r="AP9" t="str">
            <v>-</v>
          </cell>
          <cell r="AQ9" t="str">
            <v>-</v>
          </cell>
          <cell r="AR9" t="str">
            <v>-</v>
          </cell>
          <cell r="AS9" t="str">
            <v>-</v>
          </cell>
          <cell r="AT9" t="str">
            <v>-</v>
          </cell>
          <cell r="AU9" t="str">
            <v>-</v>
          </cell>
          <cell r="AV9" t="str">
            <v>-</v>
          </cell>
          <cell r="AW9" t="str">
            <v>-</v>
          </cell>
          <cell r="AX9" t="str">
            <v>-</v>
          </cell>
          <cell r="AY9" t="str">
            <v>-</v>
          </cell>
          <cell r="AZ9" t="str">
            <v>-</v>
          </cell>
          <cell r="BA9" t="str">
            <v>-</v>
          </cell>
          <cell r="BB9" t="str">
            <v>-</v>
          </cell>
          <cell r="BC9" t="str">
            <v>-</v>
          </cell>
          <cell r="BD9" t="str">
            <v>-</v>
          </cell>
          <cell r="BE9" t="str">
            <v>-</v>
          </cell>
          <cell r="BF9" t="str">
            <v>-</v>
          </cell>
          <cell r="BG9" t="str">
            <v>-</v>
          </cell>
          <cell r="BH9" t="str">
            <v>-</v>
          </cell>
          <cell r="BI9" t="str">
            <v>-</v>
          </cell>
          <cell r="BJ9" t="str">
            <v>-</v>
          </cell>
          <cell r="BK9" t="str">
            <v>-</v>
          </cell>
          <cell r="BL9" t="str">
            <v>-</v>
          </cell>
          <cell r="BM9">
            <v>1</v>
          </cell>
          <cell r="BN9">
            <v>1</v>
          </cell>
          <cell r="BO9">
            <v>1</v>
          </cell>
          <cell r="BP9">
            <v>1</v>
          </cell>
          <cell r="BQ9">
            <v>1</v>
          </cell>
          <cell r="BR9">
            <v>1</v>
          </cell>
          <cell r="BS9">
            <v>1</v>
          </cell>
          <cell r="BT9">
            <v>2</v>
          </cell>
          <cell r="BU9">
            <v>2</v>
          </cell>
          <cell r="BV9">
            <v>2</v>
          </cell>
          <cell r="BW9">
            <v>2</v>
          </cell>
          <cell r="BX9">
            <v>2</v>
          </cell>
          <cell r="CK9">
            <v>0</v>
          </cell>
          <cell r="CL9">
            <v>0</v>
          </cell>
          <cell r="CM9">
            <v>0</v>
          </cell>
          <cell r="CN9">
            <v>0</v>
          </cell>
          <cell r="CO9">
            <v>0</v>
          </cell>
          <cell r="CP9">
            <v>0</v>
          </cell>
          <cell r="CQ9">
            <v>0</v>
          </cell>
          <cell r="CR9">
            <v>0</v>
          </cell>
          <cell r="CS9">
            <v>0</v>
          </cell>
          <cell r="CT9">
            <v>0</v>
          </cell>
          <cell r="CU9">
            <v>0</v>
          </cell>
          <cell r="CV9">
            <v>0</v>
          </cell>
          <cell r="CW9" t="str">
            <v>有</v>
          </cell>
          <cell r="CX9">
            <v>1</v>
          </cell>
          <cell r="CY9" t="str">
            <v>有</v>
          </cell>
          <cell r="CZ9" t="str">
            <v>有</v>
          </cell>
          <cell r="DA9" t="str">
            <v>有</v>
          </cell>
          <cell r="DB9" t="str">
            <v>有</v>
          </cell>
          <cell r="DC9" t="str">
            <v>有</v>
          </cell>
          <cell r="DD9" t="str">
            <v>有</v>
          </cell>
          <cell r="DE9" t="str">
            <v>有</v>
          </cell>
          <cell r="DF9" t="str">
            <v>有</v>
          </cell>
          <cell r="DG9" t="str">
            <v>有</v>
          </cell>
          <cell r="DH9" t="str">
            <v>有</v>
          </cell>
          <cell r="DI9" t="str">
            <v>有</v>
          </cell>
          <cell r="DJ9" t="str">
            <v>有</v>
          </cell>
          <cell r="DK9" t="str">
            <v>賃金改善</v>
          </cell>
          <cell r="DL9" t="str">
            <v>賃金改善</v>
          </cell>
          <cell r="DM9" t="str">
            <v>賃金改善</v>
          </cell>
          <cell r="DN9" t="str">
            <v>賃金改善</v>
          </cell>
          <cell r="DO9" t="str">
            <v>賃金改善</v>
          </cell>
          <cell r="DP9" t="str">
            <v>賃金改善</v>
          </cell>
          <cell r="DQ9" t="str">
            <v>賃金改善</v>
          </cell>
          <cell r="DR9" t="str">
            <v>賃金改善</v>
          </cell>
          <cell r="DS9" t="str">
            <v>賃金改善</v>
          </cell>
          <cell r="DT9" t="str">
            <v>賃金改善</v>
          </cell>
          <cell r="DU9" t="str">
            <v>賃金改善</v>
          </cell>
          <cell r="DV9" t="str">
            <v>賃金改善</v>
          </cell>
          <cell r="DW9" t="str">
            <v>有</v>
          </cell>
          <cell r="DX9" t="str">
            <v>有</v>
          </cell>
          <cell r="DY9" t="str">
            <v>有</v>
          </cell>
          <cell r="DZ9" t="str">
            <v>有</v>
          </cell>
          <cell r="EA9" t="str">
            <v>有</v>
          </cell>
          <cell r="EB9" t="str">
            <v>有</v>
          </cell>
          <cell r="EC9" t="str">
            <v>有</v>
          </cell>
          <cell r="ED9" t="str">
            <v>有</v>
          </cell>
          <cell r="EE9" t="str">
            <v>有</v>
          </cell>
          <cell r="EF9" t="str">
            <v>有</v>
          </cell>
          <cell r="EG9" t="str">
            <v>有</v>
          </cell>
          <cell r="EH9" t="str">
            <v>有</v>
          </cell>
          <cell r="EI9" t="str">
            <v>嘱託</v>
          </cell>
          <cell r="EJ9" t="str">
            <v>嘱託</v>
          </cell>
          <cell r="EK9" t="str">
            <v>嘱託</v>
          </cell>
          <cell r="EL9" t="str">
            <v>嘱託</v>
          </cell>
          <cell r="EM9" t="str">
            <v>嘱託</v>
          </cell>
          <cell r="EN9" t="str">
            <v>嘱託</v>
          </cell>
          <cell r="EO9" t="str">
            <v>嘱託</v>
          </cell>
          <cell r="EP9" t="str">
            <v>嘱託</v>
          </cell>
          <cell r="EQ9" t="str">
            <v>嘱託</v>
          </cell>
          <cell r="ER9" t="str">
            <v>嘱託</v>
          </cell>
          <cell r="ES9" t="str">
            <v>嘱託</v>
          </cell>
          <cell r="ET9" t="str">
            <v>嘱託</v>
          </cell>
          <cell r="EU9" t="str">
            <v/>
          </cell>
          <cell r="EV9" t="str">
            <v/>
          </cell>
          <cell r="EW9" t="str">
            <v/>
          </cell>
          <cell r="EX9" t="str">
            <v/>
          </cell>
          <cell r="EY9" t="str">
            <v/>
          </cell>
          <cell r="EZ9" t="str">
            <v/>
          </cell>
          <cell r="FA9" t="str">
            <v/>
          </cell>
          <cell r="FB9" t="str">
            <v/>
          </cell>
          <cell r="FC9" t="str">
            <v/>
          </cell>
          <cell r="FD9" t="str">
            <v/>
          </cell>
          <cell r="FE9" t="str">
            <v/>
          </cell>
          <cell r="FF9" t="str">
            <v/>
          </cell>
        </row>
        <row r="10">
          <cell r="C10">
            <v>6</v>
          </cell>
          <cell r="D10" t="str">
            <v>今井保育園</v>
          </cell>
          <cell r="E10" t="str">
            <v>無</v>
          </cell>
          <cell r="F10">
            <v>120</v>
          </cell>
          <cell r="H10">
            <v>69</v>
          </cell>
          <cell r="I10">
            <v>51</v>
          </cell>
          <cell r="O10">
            <v>1189000</v>
          </cell>
          <cell r="P10">
            <v>2627000</v>
          </cell>
          <cell r="Q10">
            <v>2627000</v>
          </cell>
          <cell r="R10">
            <v>1028000</v>
          </cell>
          <cell r="S10">
            <v>0</v>
          </cell>
          <cell r="T10">
            <v>1982000</v>
          </cell>
          <cell r="U10">
            <v>1982000</v>
          </cell>
          <cell r="V10">
            <v>792000</v>
          </cell>
          <cell r="W10">
            <v>1751000</v>
          </cell>
          <cell r="X10">
            <v>1751000</v>
          </cell>
          <cell r="Y10">
            <v>685000</v>
          </cell>
          <cell r="Z10">
            <v>0</v>
          </cell>
          <cell r="AA10">
            <v>1321000</v>
          </cell>
          <cell r="AB10">
            <v>1321000</v>
          </cell>
          <cell r="AC10">
            <v>0</v>
          </cell>
          <cell r="AD10">
            <v>0</v>
          </cell>
          <cell r="AE10">
            <v>0</v>
          </cell>
          <cell r="AF10">
            <v>0</v>
          </cell>
          <cell r="AG10">
            <v>0</v>
          </cell>
          <cell r="AH10">
            <v>0</v>
          </cell>
          <cell r="AI10">
            <v>0</v>
          </cell>
          <cell r="AJ10" t="str">
            <v>令和3年4月1日</v>
          </cell>
          <cell r="AK10" t="str">
            <v>令和3年5月31日交付</v>
          </cell>
          <cell r="AM10" t="str">
            <v>3号の6</v>
          </cell>
          <cell r="AN10" t="str">
            <v>有</v>
          </cell>
          <cell r="AO10" t="str">
            <v>一般型</v>
          </cell>
          <cell r="AP10" t="str">
            <v>一般型</v>
          </cell>
          <cell r="AQ10" t="str">
            <v>一般型</v>
          </cell>
          <cell r="AR10" t="str">
            <v>一般型</v>
          </cell>
          <cell r="AS10" t="str">
            <v>一般型</v>
          </cell>
          <cell r="AT10" t="str">
            <v>一般型</v>
          </cell>
          <cell r="AU10" t="str">
            <v>一般型</v>
          </cell>
          <cell r="AV10" t="str">
            <v>一般型</v>
          </cell>
          <cell r="AW10" t="str">
            <v>一般型</v>
          </cell>
          <cell r="AX10" t="str">
            <v>一般型</v>
          </cell>
          <cell r="AY10" t="str">
            <v>一般型</v>
          </cell>
          <cell r="AZ10" t="str">
            <v>一般型</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v>1</v>
          </cell>
          <cell r="BN10">
            <v>1</v>
          </cell>
          <cell r="BO10">
            <v>1</v>
          </cell>
          <cell r="BP10">
            <v>1</v>
          </cell>
          <cell r="BQ10">
            <v>1</v>
          </cell>
          <cell r="BR10">
            <v>1</v>
          </cell>
          <cell r="BS10">
            <v>1</v>
          </cell>
          <cell r="BT10">
            <v>1</v>
          </cell>
          <cell r="BU10">
            <v>1</v>
          </cell>
          <cell r="BV10">
            <v>1</v>
          </cell>
          <cell r="BW10">
            <v>1</v>
          </cell>
          <cell r="BX10">
            <v>1</v>
          </cell>
          <cell r="CK10">
            <v>0</v>
          </cell>
          <cell r="CL10">
            <v>0</v>
          </cell>
          <cell r="CM10">
            <v>0</v>
          </cell>
          <cell r="CN10">
            <v>0</v>
          </cell>
          <cell r="CO10">
            <v>0</v>
          </cell>
          <cell r="CP10">
            <v>0</v>
          </cell>
          <cell r="CQ10">
            <v>0</v>
          </cell>
          <cell r="CR10">
            <v>0</v>
          </cell>
          <cell r="CS10">
            <v>0</v>
          </cell>
          <cell r="CT10">
            <v>0</v>
          </cell>
          <cell r="CU10">
            <v>0</v>
          </cell>
          <cell r="CV10">
            <v>0</v>
          </cell>
          <cell r="CW10" t="str">
            <v>無</v>
          </cell>
          <cell r="CX10">
            <v>1</v>
          </cell>
          <cell r="CY10" t="str">
            <v>有</v>
          </cell>
          <cell r="CZ10" t="str">
            <v>有</v>
          </cell>
          <cell r="DA10" t="str">
            <v>有</v>
          </cell>
          <cell r="DB10" t="str">
            <v>有</v>
          </cell>
          <cell r="DC10" t="str">
            <v>有</v>
          </cell>
          <cell r="DD10" t="str">
            <v>有</v>
          </cell>
          <cell r="DE10" t="str">
            <v>有</v>
          </cell>
          <cell r="DF10" t="str">
            <v>有</v>
          </cell>
          <cell r="DG10" t="str">
            <v>有</v>
          </cell>
          <cell r="DH10" t="str">
            <v>有</v>
          </cell>
          <cell r="DI10" t="str">
            <v>有</v>
          </cell>
          <cell r="DJ10" t="str">
            <v>有</v>
          </cell>
          <cell r="DK10" t="str">
            <v>増員</v>
          </cell>
          <cell r="DL10" t="str">
            <v>増員</v>
          </cell>
          <cell r="DM10" t="str">
            <v>増員</v>
          </cell>
          <cell r="DN10" t="str">
            <v>増員</v>
          </cell>
          <cell r="DO10" t="str">
            <v>増員</v>
          </cell>
          <cell r="DP10" t="str">
            <v>増員</v>
          </cell>
          <cell r="DQ10" t="str">
            <v>増員</v>
          </cell>
          <cell r="DR10" t="str">
            <v>増員</v>
          </cell>
          <cell r="DS10" t="str">
            <v>増員</v>
          </cell>
          <cell r="DT10" t="str">
            <v>増員</v>
          </cell>
          <cell r="DU10" t="str">
            <v>増員</v>
          </cell>
          <cell r="DV10" t="str">
            <v>増員</v>
          </cell>
          <cell r="DW10" t="str">
            <v>有</v>
          </cell>
          <cell r="DX10" t="str">
            <v>有</v>
          </cell>
          <cell r="DY10" t="str">
            <v>有</v>
          </cell>
          <cell r="DZ10" t="str">
            <v>有</v>
          </cell>
          <cell r="EA10" t="str">
            <v>有</v>
          </cell>
          <cell r="EB10" t="str">
            <v>有</v>
          </cell>
          <cell r="EC10" t="str">
            <v>有</v>
          </cell>
          <cell r="ED10" t="str">
            <v>有</v>
          </cell>
          <cell r="EE10" t="str">
            <v>有</v>
          </cell>
          <cell r="EF10" t="str">
            <v>有</v>
          </cell>
          <cell r="EG10" t="str">
            <v>有</v>
          </cell>
          <cell r="EH10" t="str">
            <v>有</v>
          </cell>
          <cell r="EI10" t="str">
            <v>配置</v>
          </cell>
          <cell r="EJ10" t="str">
            <v>配置</v>
          </cell>
          <cell r="EK10" t="str">
            <v>配置</v>
          </cell>
          <cell r="EL10" t="str">
            <v>配置</v>
          </cell>
          <cell r="EM10" t="str">
            <v>配置</v>
          </cell>
          <cell r="EN10" t="str">
            <v>配置</v>
          </cell>
          <cell r="EO10" t="str">
            <v>配置</v>
          </cell>
          <cell r="EP10" t="str">
            <v>配置</v>
          </cell>
          <cell r="EQ10" t="str">
            <v>配置</v>
          </cell>
          <cell r="ER10" t="str">
            <v>配置</v>
          </cell>
          <cell r="ES10" t="str">
            <v>配置</v>
          </cell>
          <cell r="ET10" t="str">
            <v>配置</v>
          </cell>
          <cell r="EU10">
            <v>76960</v>
          </cell>
          <cell r="EV10">
            <v>76960</v>
          </cell>
          <cell r="EW10">
            <v>76960</v>
          </cell>
          <cell r="EX10">
            <v>76960</v>
          </cell>
          <cell r="EY10">
            <v>76960</v>
          </cell>
          <cell r="EZ10">
            <v>76960</v>
          </cell>
          <cell r="FA10">
            <v>76960</v>
          </cell>
          <cell r="FB10">
            <v>76960</v>
          </cell>
          <cell r="FC10">
            <v>76960</v>
          </cell>
          <cell r="FD10">
            <v>76960</v>
          </cell>
          <cell r="FE10">
            <v>76960</v>
          </cell>
          <cell r="FF10">
            <v>76960</v>
          </cell>
        </row>
        <row r="11">
          <cell r="C11">
            <v>7</v>
          </cell>
          <cell r="D11" t="str">
            <v>若竹保育園</v>
          </cell>
          <cell r="E11" t="str">
            <v>無</v>
          </cell>
          <cell r="F11">
            <v>150</v>
          </cell>
          <cell r="H11">
            <v>80</v>
          </cell>
          <cell r="I11">
            <v>70</v>
          </cell>
          <cell r="O11">
            <v>1189000</v>
          </cell>
          <cell r="P11">
            <v>2627000</v>
          </cell>
          <cell r="Q11">
            <v>2627000</v>
          </cell>
          <cell r="R11">
            <v>1631000</v>
          </cell>
          <cell r="S11">
            <v>0</v>
          </cell>
          <cell r="T11">
            <v>1982000</v>
          </cell>
          <cell r="U11">
            <v>1982000</v>
          </cell>
          <cell r="V11">
            <v>792000</v>
          </cell>
          <cell r="W11">
            <v>1751000</v>
          </cell>
          <cell r="X11">
            <v>1751000</v>
          </cell>
          <cell r="Y11">
            <v>1087000</v>
          </cell>
          <cell r="Z11">
            <v>0</v>
          </cell>
          <cell r="AA11">
            <v>1321000</v>
          </cell>
          <cell r="AB11">
            <v>1321000</v>
          </cell>
          <cell r="AC11">
            <v>397000</v>
          </cell>
          <cell r="AD11">
            <v>876000</v>
          </cell>
          <cell r="AE11">
            <v>876000</v>
          </cell>
          <cell r="AF11">
            <v>544000</v>
          </cell>
          <cell r="AG11">
            <v>0</v>
          </cell>
          <cell r="AH11">
            <v>661000</v>
          </cell>
          <cell r="AI11">
            <v>661000</v>
          </cell>
          <cell r="AJ11" t="str">
            <v>令和3年4月1日</v>
          </cell>
          <cell r="AK11" t="str">
            <v>令和3年5月31日交付</v>
          </cell>
          <cell r="AL11" t="str">
            <v>令和3年10月29日交付</v>
          </cell>
          <cell r="AM11" t="str">
            <v>3号の7</v>
          </cell>
          <cell r="AN11" t="str">
            <v>有</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v>1</v>
          </cell>
          <cell r="BN11">
            <v>1</v>
          </cell>
          <cell r="BO11">
            <v>1</v>
          </cell>
          <cell r="BP11">
            <v>1</v>
          </cell>
          <cell r="BQ11">
            <v>1</v>
          </cell>
          <cell r="BR11">
            <v>1</v>
          </cell>
          <cell r="BS11">
            <v>1</v>
          </cell>
          <cell r="BT11">
            <v>1</v>
          </cell>
          <cell r="BU11">
            <v>1</v>
          </cell>
          <cell r="BV11">
            <v>1</v>
          </cell>
          <cell r="BW11">
            <v>1</v>
          </cell>
          <cell r="BX11">
            <v>1</v>
          </cell>
          <cell r="CK11">
            <v>0</v>
          </cell>
          <cell r="CL11">
            <v>0</v>
          </cell>
          <cell r="CM11">
            <v>0</v>
          </cell>
          <cell r="CN11">
            <v>0</v>
          </cell>
          <cell r="CO11">
            <v>0</v>
          </cell>
          <cell r="CP11">
            <v>0</v>
          </cell>
          <cell r="CQ11">
            <v>0</v>
          </cell>
          <cell r="CR11">
            <v>0</v>
          </cell>
          <cell r="CS11">
            <v>0</v>
          </cell>
          <cell r="CT11">
            <v>0</v>
          </cell>
          <cell r="CU11">
            <v>0</v>
          </cell>
          <cell r="CV11">
            <v>0</v>
          </cell>
          <cell r="CW11" t="str">
            <v>無</v>
          </cell>
          <cell r="CX11">
            <v>4</v>
          </cell>
          <cell r="CY11" t="str">
            <v>有</v>
          </cell>
          <cell r="CZ11" t="str">
            <v>有</v>
          </cell>
          <cell r="DA11" t="str">
            <v>有</v>
          </cell>
          <cell r="DB11" t="str">
            <v>有</v>
          </cell>
          <cell r="DC11" t="str">
            <v>有</v>
          </cell>
          <cell r="DD11" t="str">
            <v>有</v>
          </cell>
          <cell r="DE11" t="str">
            <v>有</v>
          </cell>
          <cell r="DF11" t="str">
            <v>有</v>
          </cell>
          <cell r="DG11" t="str">
            <v>有</v>
          </cell>
          <cell r="DH11" t="str">
            <v>有</v>
          </cell>
          <cell r="DI11" t="str">
            <v>有</v>
          </cell>
          <cell r="DJ11" t="str">
            <v>有</v>
          </cell>
          <cell r="DK11" t="str">
            <v>増員</v>
          </cell>
          <cell r="DL11" t="str">
            <v>増員</v>
          </cell>
          <cell r="DM11" t="str">
            <v>増員</v>
          </cell>
          <cell r="DN11" t="str">
            <v>増員</v>
          </cell>
          <cell r="DO11" t="str">
            <v>増員</v>
          </cell>
          <cell r="DP11" t="str">
            <v>増員</v>
          </cell>
          <cell r="DQ11" t="str">
            <v>増員</v>
          </cell>
          <cell r="DR11" t="str">
            <v>増員</v>
          </cell>
          <cell r="DS11" t="str">
            <v>増員</v>
          </cell>
          <cell r="DT11" t="str">
            <v>増員</v>
          </cell>
          <cell r="DU11" t="str">
            <v>増員</v>
          </cell>
          <cell r="DV11" t="str">
            <v>増員</v>
          </cell>
          <cell r="DW11" t="str">
            <v>有</v>
          </cell>
          <cell r="DX11" t="str">
            <v>有</v>
          </cell>
          <cell r="DY11" t="str">
            <v>有</v>
          </cell>
          <cell r="DZ11" t="str">
            <v>有</v>
          </cell>
          <cell r="EA11" t="str">
            <v>有</v>
          </cell>
          <cell r="EB11" t="str">
            <v>有</v>
          </cell>
          <cell r="EC11" t="str">
            <v>有</v>
          </cell>
          <cell r="ED11" t="str">
            <v>有</v>
          </cell>
          <cell r="EE11" t="str">
            <v>有</v>
          </cell>
          <cell r="EF11" t="str">
            <v>有</v>
          </cell>
          <cell r="EG11" t="str">
            <v>有</v>
          </cell>
          <cell r="EH11" t="str">
            <v>有</v>
          </cell>
          <cell r="EI11" t="str">
            <v>配置</v>
          </cell>
          <cell r="EJ11" t="str">
            <v>配置</v>
          </cell>
          <cell r="EK11" t="str">
            <v>配置</v>
          </cell>
          <cell r="EL11" t="str">
            <v>配置</v>
          </cell>
          <cell r="EM11" t="str">
            <v>配置</v>
          </cell>
          <cell r="EN11" t="str">
            <v>配置</v>
          </cell>
          <cell r="EO11" t="str">
            <v>配置</v>
          </cell>
          <cell r="EP11" t="str">
            <v>配置</v>
          </cell>
          <cell r="EQ11" t="str">
            <v>配置</v>
          </cell>
          <cell r="ER11" t="str">
            <v>配置</v>
          </cell>
          <cell r="ES11" t="str">
            <v>配置</v>
          </cell>
          <cell r="ET11" t="str">
            <v>配置</v>
          </cell>
          <cell r="EU11">
            <v>76960</v>
          </cell>
          <cell r="EV11">
            <v>76960</v>
          </cell>
          <cell r="EW11">
            <v>76960</v>
          </cell>
          <cell r="EX11">
            <v>76960</v>
          </cell>
          <cell r="EY11">
            <v>76960</v>
          </cell>
          <cell r="EZ11">
            <v>76960</v>
          </cell>
          <cell r="FA11">
            <v>76960</v>
          </cell>
          <cell r="FB11">
            <v>76960</v>
          </cell>
          <cell r="FC11">
            <v>76960</v>
          </cell>
          <cell r="FD11">
            <v>76960</v>
          </cell>
          <cell r="FE11">
            <v>76960</v>
          </cell>
          <cell r="FF11">
            <v>76960</v>
          </cell>
        </row>
        <row r="12">
          <cell r="C12">
            <v>8</v>
          </cell>
          <cell r="D12" t="str">
            <v>千葉寺保育園</v>
          </cell>
          <cell r="E12" t="str">
            <v>有</v>
          </cell>
          <cell r="F12">
            <v>129</v>
          </cell>
          <cell r="H12">
            <v>81</v>
          </cell>
          <cell r="I12">
            <v>48</v>
          </cell>
          <cell r="J12">
            <v>30</v>
          </cell>
          <cell r="L12">
            <v>0</v>
          </cell>
          <cell r="M12">
            <v>30</v>
          </cell>
          <cell r="O12">
            <v>1189000</v>
          </cell>
          <cell r="P12">
            <v>2627000</v>
          </cell>
          <cell r="Q12">
            <v>2627000</v>
          </cell>
          <cell r="R12">
            <v>1631000</v>
          </cell>
          <cell r="S12">
            <v>0</v>
          </cell>
          <cell r="T12">
            <v>3964000</v>
          </cell>
          <cell r="U12">
            <v>1982000</v>
          </cell>
          <cell r="V12">
            <v>792000</v>
          </cell>
          <cell r="W12">
            <v>1751000</v>
          </cell>
          <cell r="X12">
            <v>1751000</v>
          </cell>
          <cell r="Y12">
            <v>1087000</v>
          </cell>
          <cell r="Z12">
            <v>0</v>
          </cell>
          <cell r="AA12">
            <v>2642000</v>
          </cell>
          <cell r="AB12">
            <v>1321000</v>
          </cell>
          <cell r="AC12">
            <v>0</v>
          </cell>
          <cell r="AD12">
            <v>0</v>
          </cell>
          <cell r="AE12">
            <v>0</v>
          </cell>
          <cell r="AF12">
            <v>0</v>
          </cell>
          <cell r="AG12">
            <v>0</v>
          </cell>
          <cell r="AH12">
            <v>0</v>
          </cell>
          <cell r="AI12">
            <v>0</v>
          </cell>
          <cell r="AJ12" t="str">
            <v>令和3年4月1日</v>
          </cell>
          <cell r="AK12" t="str">
            <v>令和3年5月31日交付</v>
          </cell>
          <cell r="AM12" t="str">
            <v>3号の8</v>
          </cell>
          <cell r="AN12" t="str">
            <v>有</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v>2</v>
          </cell>
          <cell r="BN12">
            <v>2</v>
          </cell>
          <cell r="BO12">
            <v>2</v>
          </cell>
          <cell r="BP12">
            <v>2</v>
          </cell>
          <cell r="BQ12">
            <v>2</v>
          </cell>
          <cell r="BR12">
            <v>2</v>
          </cell>
          <cell r="BS12">
            <v>2</v>
          </cell>
          <cell r="BT12">
            <v>3</v>
          </cell>
          <cell r="BU12">
            <v>3</v>
          </cell>
          <cell r="BV12">
            <v>3</v>
          </cell>
          <cell r="BW12">
            <v>3</v>
          </cell>
          <cell r="BX12">
            <v>3</v>
          </cell>
          <cell r="CK12">
            <v>0</v>
          </cell>
          <cell r="CL12">
            <v>0</v>
          </cell>
          <cell r="CM12">
            <v>0</v>
          </cell>
          <cell r="CN12">
            <v>0</v>
          </cell>
          <cell r="CO12">
            <v>0</v>
          </cell>
          <cell r="CP12">
            <v>0</v>
          </cell>
          <cell r="CQ12">
            <v>0</v>
          </cell>
          <cell r="CR12">
            <v>0</v>
          </cell>
          <cell r="CS12">
            <v>0</v>
          </cell>
          <cell r="CT12">
            <v>0</v>
          </cell>
          <cell r="CU12">
            <v>0</v>
          </cell>
          <cell r="CV12">
            <v>0</v>
          </cell>
          <cell r="CW12" t="str">
            <v>無</v>
          </cell>
          <cell r="CX12">
            <v>1</v>
          </cell>
          <cell r="CY12" t="str">
            <v>有</v>
          </cell>
          <cell r="CZ12" t="str">
            <v>有</v>
          </cell>
          <cell r="DA12" t="str">
            <v>有</v>
          </cell>
          <cell r="DB12" t="str">
            <v>有</v>
          </cell>
          <cell r="DC12" t="str">
            <v>有</v>
          </cell>
          <cell r="DD12" t="str">
            <v>有</v>
          </cell>
          <cell r="DE12" t="str">
            <v>有</v>
          </cell>
          <cell r="DF12" t="str">
            <v>有</v>
          </cell>
          <cell r="DG12" t="str">
            <v>有</v>
          </cell>
          <cell r="DH12" t="str">
            <v>有</v>
          </cell>
          <cell r="DI12" t="str">
            <v>有</v>
          </cell>
          <cell r="DJ12" t="str">
            <v>有</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有</v>
          </cell>
          <cell r="DX12" t="str">
            <v>有</v>
          </cell>
          <cell r="DY12" t="str">
            <v>有</v>
          </cell>
          <cell r="DZ12" t="str">
            <v>有</v>
          </cell>
          <cell r="EA12" t="str">
            <v>有</v>
          </cell>
          <cell r="EB12" t="str">
            <v>有</v>
          </cell>
          <cell r="EC12" t="str">
            <v>有</v>
          </cell>
          <cell r="ED12" t="str">
            <v>有</v>
          </cell>
          <cell r="EE12" t="str">
            <v>有</v>
          </cell>
          <cell r="EF12" t="str">
            <v>有</v>
          </cell>
          <cell r="EG12" t="str">
            <v>有</v>
          </cell>
          <cell r="EH12" t="str">
            <v>有</v>
          </cell>
          <cell r="EI12" t="str">
            <v>配置</v>
          </cell>
          <cell r="EJ12" t="str">
            <v>配置</v>
          </cell>
          <cell r="EK12" t="str">
            <v>配置</v>
          </cell>
          <cell r="EL12" t="str">
            <v>配置</v>
          </cell>
          <cell r="EM12" t="str">
            <v>配置</v>
          </cell>
          <cell r="EN12" t="str">
            <v>配置</v>
          </cell>
          <cell r="EO12" t="str">
            <v>配置</v>
          </cell>
          <cell r="EP12" t="str">
            <v>配置</v>
          </cell>
          <cell r="EQ12" t="str">
            <v>配置</v>
          </cell>
          <cell r="ER12" t="str">
            <v>配置</v>
          </cell>
          <cell r="ES12" t="str">
            <v>配置</v>
          </cell>
          <cell r="ET12" t="str">
            <v>配置</v>
          </cell>
          <cell r="EU12">
            <v>76960</v>
          </cell>
          <cell r="EV12">
            <v>76960</v>
          </cell>
          <cell r="EW12">
            <v>76960</v>
          </cell>
          <cell r="EX12">
            <v>76960</v>
          </cell>
          <cell r="EY12">
            <v>76960</v>
          </cell>
          <cell r="EZ12">
            <v>76960</v>
          </cell>
          <cell r="FA12">
            <v>76960</v>
          </cell>
          <cell r="FB12">
            <v>76960</v>
          </cell>
          <cell r="FC12">
            <v>76960</v>
          </cell>
          <cell r="FD12">
            <v>76960</v>
          </cell>
          <cell r="FE12">
            <v>76960</v>
          </cell>
          <cell r="FF12">
            <v>76960</v>
          </cell>
        </row>
        <row r="13">
          <cell r="C13">
            <v>9</v>
          </cell>
          <cell r="D13" t="str">
            <v>慈光保育園</v>
          </cell>
          <cell r="E13" t="str">
            <v>無</v>
          </cell>
          <cell r="F13">
            <v>90</v>
          </cell>
          <cell r="H13">
            <v>45</v>
          </cell>
          <cell r="I13">
            <v>45</v>
          </cell>
          <cell r="O13">
            <v>1189000</v>
          </cell>
          <cell r="P13">
            <v>0</v>
          </cell>
          <cell r="Q13">
            <v>0</v>
          </cell>
          <cell r="R13">
            <v>0</v>
          </cell>
          <cell r="S13">
            <v>0</v>
          </cell>
          <cell r="T13">
            <v>0</v>
          </cell>
          <cell r="U13">
            <v>0</v>
          </cell>
          <cell r="V13">
            <v>792000</v>
          </cell>
          <cell r="W13">
            <v>0</v>
          </cell>
          <cell r="X13">
            <v>0</v>
          </cell>
          <cell r="Y13">
            <v>0</v>
          </cell>
          <cell r="Z13">
            <v>0</v>
          </cell>
          <cell r="AA13">
            <v>0</v>
          </cell>
          <cell r="AB13">
            <v>0</v>
          </cell>
          <cell r="AC13">
            <v>0</v>
          </cell>
          <cell r="AD13">
            <v>0</v>
          </cell>
          <cell r="AE13">
            <v>0</v>
          </cell>
          <cell r="AF13">
            <v>0</v>
          </cell>
          <cell r="AG13">
            <v>0</v>
          </cell>
          <cell r="AH13">
            <v>0</v>
          </cell>
          <cell r="AI13">
            <v>0</v>
          </cell>
          <cell r="AJ13" t="str">
            <v>令和3年4月1日</v>
          </cell>
          <cell r="AK13" t="str">
            <v>令和3年5月31日交付</v>
          </cell>
          <cell r="AM13" t="str">
            <v>3号の9</v>
          </cell>
          <cell r="AN13" t="str">
            <v>有</v>
          </cell>
          <cell r="AO13" t="str">
            <v>一般型</v>
          </cell>
          <cell r="AP13" t="str">
            <v>一般型</v>
          </cell>
          <cell r="AQ13" t="str">
            <v>一般型</v>
          </cell>
          <cell r="AR13" t="str">
            <v>一般型</v>
          </cell>
          <cell r="AS13" t="str">
            <v>一般型</v>
          </cell>
          <cell r="AT13" t="str">
            <v>一般型</v>
          </cell>
          <cell r="AU13" t="str">
            <v>一般型</v>
          </cell>
          <cell r="AV13" t="str">
            <v>一般型</v>
          </cell>
          <cell r="AW13" t="str">
            <v>一般型</v>
          </cell>
          <cell r="AX13" t="str">
            <v>一般型</v>
          </cell>
          <cell r="AY13" t="str">
            <v>一般型</v>
          </cell>
          <cell r="AZ13" t="str">
            <v>一般型</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CW13" t="str">
            <v>無</v>
          </cell>
          <cell r="CX13">
            <v>0</v>
          </cell>
          <cell r="CY13" t="str">
            <v>無</v>
          </cell>
          <cell r="CZ13" t="str">
            <v>無</v>
          </cell>
          <cell r="DA13" t="str">
            <v>無</v>
          </cell>
          <cell r="DB13" t="str">
            <v>無</v>
          </cell>
          <cell r="DC13" t="str">
            <v>無</v>
          </cell>
          <cell r="DD13" t="str">
            <v>無</v>
          </cell>
          <cell r="DE13" t="str">
            <v>有</v>
          </cell>
          <cell r="DF13" t="str">
            <v>有</v>
          </cell>
          <cell r="DG13" t="str">
            <v>有</v>
          </cell>
          <cell r="DH13" t="str">
            <v>有</v>
          </cell>
          <cell r="DI13" t="str">
            <v>有</v>
          </cell>
          <cell r="DJ13" t="str">
            <v>有</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有</v>
          </cell>
          <cell r="DX13" t="str">
            <v>有</v>
          </cell>
          <cell r="DY13" t="str">
            <v>有</v>
          </cell>
          <cell r="DZ13" t="str">
            <v>有</v>
          </cell>
          <cell r="EA13" t="str">
            <v>有</v>
          </cell>
          <cell r="EB13" t="str">
            <v>有</v>
          </cell>
          <cell r="EC13" t="str">
            <v>有</v>
          </cell>
          <cell r="ED13" t="str">
            <v>有</v>
          </cell>
          <cell r="EE13" t="str">
            <v>有</v>
          </cell>
          <cell r="EF13" t="str">
            <v>有</v>
          </cell>
          <cell r="EG13" t="str">
            <v>有</v>
          </cell>
          <cell r="EH13" t="str">
            <v>有</v>
          </cell>
          <cell r="EI13" t="str">
            <v>配置</v>
          </cell>
          <cell r="EJ13" t="str">
            <v>配置</v>
          </cell>
          <cell r="EK13" t="str">
            <v>配置</v>
          </cell>
          <cell r="EL13" t="str">
            <v>配置</v>
          </cell>
          <cell r="EM13" t="str">
            <v>配置</v>
          </cell>
          <cell r="EN13" t="str">
            <v>配置</v>
          </cell>
          <cell r="EO13" t="str">
            <v>配置</v>
          </cell>
          <cell r="EP13" t="str">
            <v>配置</v>
          </cell>
          <cell r="EQ13" t="str">
            <v>配置</v>
          </cell>
          <cell r="ER13" t="str">
            <v>配置</v>
          </cell>
          <cell r="ES13" t="str">
            <v>配置</v>
          </cell>
          <cell r="ET13" t="str">
            <v>配置</v>
          </cell>
          <cell r="EU13">
            <v>76960</v>
          </cell>
          <cell r="EV13">
            <v>76960</v>
          </cell>
          <cell r="EW13">
            <v>76960</v>
          </cell>
          <cell r="EX13">
            <v>76960</v>
          </cell>
          <cell r="EY13">
            <v>76960</v>
          </cell>
          <cell r="EZ13">
            <v>76960</v>
          </cell>
          <cell r="FA13">
            <v>76960</v>
          </cell>
          <cell r="FB13">
            <v>76960</v>
          </cell>
          <cell r="FC13">
            <v>76960</v>
          </cell>
          <cell r="FD13">
            <v>76960</v>
          </cell>
          <cell r="FE13">
            <v>76960</v>
          </cell>
          <cell r="FF13">
            <v>76960</v>
          </cell>
        </row>
        <row r="14">
          <cell r="C14">
            <v>10</v>
          </cell>
          <cell r="D14" t="str">
            <v>若梅保育園</v>
          </cell>
          <cell r="E14" t="str">
            <v>無</v>
          </cell>
          <cell r="F14">
            <v>110</v>
          </cell>
          <cell r="H14">
            <v>66</v>
          </cell>
          <cell r="I14">
            <v>44</v>
          </cell>
          <cell r="O14">
            <v>1189000</v>
          </cell>
          <cell r="P14">
            <v>2627000</v>
          </cell>
          <cell r="Q14">
            <v>2627000</v>
          </cell>
          <cell r="R14">
            <v>1631000</v>
          </cell>
          <cell r="S14">
            <v>0</v>
          </cell>
          <cell r="T14">
            <v>1982000</v>
          </cell>
          <cell r="U14">
            <v>1982000</v>
          </cell>
          <cell r="V14">
            <v>792000</v>
          </cell>
          <cell r="W14">
            <v>1751000</v>
          </cell>
          <cell r="X14">
            <v>1751000</v>
          </cell>
          <cell r="Y14">
            <v>1087000</v>
          </cell>
          <cell r="Z14">
            <v>0</v>
          </cell>
          <cell r="AA14">
            <v>1321000</v>
          </cell>
          <cell r="AB14">
            <v>1321000</v>
          </cell>
          <cell r="AC14">
            <v>397000</v>
          </cell>
          <cell r="AD14">
            <v>876000</v>
          </cell>
          <cell r="AE14">
            <v>876000</v>
          </cell>
          <cell r="AF14">
            <v>544000</v>
          </cell>
          <cell r="AG14">
            <v>0</v>
          </cell>
          <cell r="AH14">
            <v>661000</v>
          </cell>
          <cell r="AI14">
            <v>661000</v>
          </cell>
          <cell r="AJ14" t="str">
            <v>令和3年4月1日</v>
          </cell>
          <cell r="AK14" t="str">
            <v>令和3年5月31日交付</v>
          </cell>
          <cell r="AL14" t="str">
            <v>令和3年10月29日交付</v>
          </cell>
          <cell r="AM14" t="str">
            <v>3号の10</v>
          </cell>
          <cell r="AN14" t="str">
            <v>有</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v>1</v>
          </cell>
          <cell r="BN14">
            <v>1</v>
          </cell>
          <cell r="BO14">
            <v>1</v>
          </cell>
          <cell r="BP14">
            <v>1</v>
          </cell>
          <cell r="BQ14">
            <v>1</v>
          </cell>
          <cell r="BR14">
            <v>1</v>
          </cell>
          <cell r="BS14">
            <v>1</v>
          </cell>
          <cell r="BT14">
            <v>1</v>
          </cell>
          <cell r="BU14">
            <v>1</v>
          </cell>
          <cell r="BV14">
            <v>1</v>
          </cell>
          <cell r="BW14">
            <v>1</v>
          </cell>
          <cell r="BX14">
            <v>1</v>
          </cell>
          <cell r="CK14">
            <v>0</v>
          </cell>
          <cell r="CL14">
            <v>0</v>
          </cell>
          <cell r="CM14">
            <v>0</v>
          </cell>
          <cell r="CN14">
            <v>0</v>
          </cell>
          <cell r="CO14">
            <v>0</v>
          </cell>
          <cell r="CP14">
            <v>0</v>
          </cell>
          <cell r="CQ14">
            <v>0</v>
          </cell>
          <cell r="CR14">
            <v>0</v>
          </cell>
          <cell r="CS14">
            <v>0</v>
          </cell>
          <cell r="CT14">
            <v>0</v>
          </cell>
          <cell r="CU14">
            <v>0</v>
          </cell>
          <cell r="CV14">
            <v>0</v>
          </cell>
          <cell r="CW14" t="str">
            <v>無</v>
          </cell>
          <cell r="CX14">
            <v>0</v>
          </cell>
          <cell r="CY14" t="str">
            <v>有</v>
          </cell>
          <cell r="CZ14" t="str">
            <v>有</v>
          </cell>
          <cell r="DA14" t="str">
            <v>有</v>
          </cell>
          <cell r="DB14" t="str">
            <v>有</v>
          </cell>
          <cell r="DC14" t="str">
            <v>有</v>
          </cell>
          <cell r="DD14" t="str">
            <v>有</v>
          </cell>
          <cell r="DE14" t="str">
            <v>有</v>
          </cell>
          <cell r="DF14" t="str">
            <v>有</v>
          </cell>
          <cell r="DG14" t="str">
            <v>有</v>
          </cell>
          <cell r="DH14" t="str">
            <v>有</v>
          </cell>
          <cell r="DI14" t="str">
            <v>有</v>
          </cell>
          <cell r="DJ14" t="str">
            <v>有</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有</v>
          </cell>
          <cell r="DX14" t="str">
            <v>有</v>
          </cell>
          <cell r="DY14" t="str">
            <v>有</v>
          </cell>
          <cell r="DZ14" t="str">
            <v>有</v>
          </cell>
          <cell r="EA14" t="str">
            <v>有</v>
          </cell>
          <cell r="EB14" t="str">
            <v>有</v>
          </cell>
          <cell r="EC14" t="str">
            <v>有</v>
          </cell>
          <cell r="ED14" t="str">
            <v>有</v>
          </cell>
          <cell r="EE14" t="str">
            <v>有</v>
          </cell>
          <cell r="EF14" t="str">
            <v>有</v>
          </cell>
          <cell r="EG14" t="str">
            <v>有</v>
          </cell>
          <cell r="EH14" t="str">
            <v>有</v>
          </cell>
          <cell r="EI14" t="str">
            <v>配置</v>
          </cell>
          <cell r="EJ14" t="str">
            <v>配置</v>
          </cell>
          <cell r="EK14" t="str">
            <v>配置</v>
          </cell>
          <cell r="EL14" t="str">
            <v>配置</v>
          </cell>
          <cell r="EM14" t="str">
            <v>配置</v>
          </cell>
          <cell r="EN14" t="str">
            <v>配置</v>
          </cell>
          <cell r="EO14" t="str">
            <v>配置</v>
          </cell>
          <cell r="EP14" t="str">
            <v>配置</v>
          </cell>
          <cell r="EQ14" t="str">
            <v>配置</v>
          </cell>
          <cell r="ER14" t="str">
            <v>配置</v>
          </cell>
          <cell r="ES14" t="str">
            <v>配置</v>
          </cell>
          <cell r="ET14" t="str">
            <v>配置</v>
          </cell>
          <cell r="EU14">
            <v>76960</v>
          </cell>
          <cell r="EV14">
            <v>76960</v>
          </cell>
          <cell r="EW14">
            <v>76960</v>
          </cell>
          <cell r="EX14">
            <v>76960</v>
          </cell>
          <cell r="EY14">
            <v>76960</v>
          </cell>
          <cell r="EZ14">
            <v>76960</v>
          </cell>
          <cell r="FA14">
            <v>76960</v>
          </cell>
          <cell r="FB14">
            <v>76960</v>
          </cell>
          <cell r="FC14">
            <v>76960</v>
          </cell>
          <cell r="FD14">
            <v>76960</v>
          </cell>
          <cell r="FE14">
            <v>76960</v>
          </cell>
          <cell r="FF14">
            <v>76960</v>
          </cell>
        </row>
        <row r="15">
          <cell r="C15">
            <v>11</v>
          </cell>
          <cell r="D15" t="str">
            <v>チューリップ保育園</v>
          </cell>
          <cell r="E15" t="str">
            <v>無</v>
          </cell>
          <cell r="F15">
            <v>135</v>
          </cell>
          <cell r="H15">
            <v>75</v>
          </cell>
          <cell r="I15">
            <v>60</v>
          </cell>
          <cell r="O15">
            <v>1189000</v>
          </cell>
          <cell r="P15">
            <v>2627000</v>
          </cell>
          <cell r="Q15">
            <v>2627000</v>
          </cell>
          <cell r="R15">
            <v>1631000</v>
          </cell>
          <cell r="S15">
            <v>0</v>
          </cell>
          <cell r="T15">
            <v>1982000</v>
          </cell>
          <cell r="U15">
            <v>1982000</v>
          </cell>
          <cell r="V15">
            <v>792000</v>
          </cell>
          <cell r="W15">
            <v>1751000</v>
          </cell>
          <cell r="X15">
            <v>1751000</v>
          </cell>
          <cell r="Y15">
            <v>1087000</v>
          </cell>
          <cell r="Z15">
            <v>0</v>
          </cell>
          <cell r="AA15">
            <v>1321000</v>
          </cell>
          <cell r="AB15">
            <v>1321000</v>
          </cell>
          <cell r="AC15">
            <v>0</v>
          </cell>
          <cell r="AD15">
            <v>0</v>
          </cell>
          <cell r="AE15">
            <v>0</v>
          </cell>
          <cell r="AF15">
            <v>0</v>
          </cell>
          <cell r="AG15">
            <v>0</v>
          </cell>
          <cell r="AH15">
            <v>0</v>
          </cell>
          <cell r="AI15">
            <v>0</v>
          </cell>
          <cell r="AJ15" t="str">
            <v>令和3年4月1日</v>
          </cell>
          <cell r="AK15" t="str">
            <v>令和3年5月31日交付</v>
          </cell>
          <cell r="AM15" t="str">
            <v>3号の11</v>
          </cell>
          <cell r="AN15" t="str">
            <v>有</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v>1</v>
          </cell>
          <cell r="BN15">
            <v>1</v>
          </cell>
          <cell r="BO15">
            <v>1</v>
          </cell>
          <cell r="BP15">
            <v>1</v>
          </cell>
          <cell r="BQ15">
            <v>1</v>
          </cell>
          <cell r="BR15">
            <v>1</v>
          </cell>
          <cell r="BS15">
            <v>1</v>
          </cell>
          <cell r="BT15">
            <v>1</v>
          </cell>
          <cell r="BU15">
            <v>1</v>
          </cell>
          <cell r="BV15">
            <v>1</v>
          </cell>
          <cell r="BW15">
            <v>1</v>
          </cell>
          <cell r="BX15">
            <v>1</v>
          </cell>
          <cell r="CK15">
            <v>0</v>
          </cell>
          <cell r="CL15">
            <v>0</v>
          </cell>
          <cell r="CM15">
            <v>0</v>
          </cell>
          <cell r="CN15">
            <v>0</v>
          </cell>
          <cell r="CO15">
            <v>0</v>
          </cell>
          <cell r="CP15">
            <v>0</v>
          </cell>
          <cell r="CQ15">
            <v>0</v>
          </cell>
          <cell r="CR15">
            <v>0</v>
          </cell>
          <cell r="CS15">
            <v>0</v>
          </cell>
          <cell r="CT15">
            <v>0</v>
          </cell>
          <cell r="CU15">
            <v>0</v>
          </cell>
          <cell r="CV15">
            <v>0</v>
          </cell>
          <cell r="CW15" t="str">
            <v>無</v>
          </cell>
          <cell r="CX15">
            <v>0</v>
          </cell>
          <cell r="CY15" t="str">
            <v>有</v>
          </cell>
          <cell r="CZ15" t="str">
            <v>有</v>
          </cell>
          <cell r="DA15" t="str">
            <v>有</v>
          </cell>
          <cell r="DB15" t="str">
            <v>有</v>
          </cell>
          <cell r="DC15" t="str">
            <v>有</v>
          </cell>
          <cell r="DD15" t="str">
            <v>有</v>
          </cell>
          <cell r="DE15" t="str">
            <v>有</v>
          </cell>
          <cell r="DF15" t="str">
            <v>有</v>
          </cell>
          <cell r="DG15" t="str">
            <v>有</v>
          </cell>
          <cell r="DH15" t="str">
            <v>有</v>
          </cell>
          <cell r="DI15" t="str">
            <v>有</v>
          </cell>
          <cell r="DJ15" t="str">
            <v>有</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有</v>
          </cell>
          <cell r="DX15" t="str">
            <v>有</v>
          </cell>
          <cell r="DY15" t="str">
            <v>有</v>
          </cell>
          <cell r="DZ15" t="str">
            <v>有</v>
          </cell>
          <cell r="EA15" t="str">
            <v>有</v>
          </cell>
          <cell r="EB15" t="str">
            <v>有</v>
          </cell>
          <cell r="EC15" t="str">
            <v>有</v>
          </cell>
          <cell r="ED15" t="str">
            <v>有</v>
          </cell>
          <cell r="EE15" t="str">
            <v>有</v>
          </cell>
          <cell r="EF15" t="str">
            <v>有</v>
          </cell>
          <cell r="EG15" t="str">
            <v>有</v>
          </cell>
          <cell r="EH15" t="str">
            <v>有</v>
          </cell>
          <cell r="EI15" t="str">
            <v>配置</v>
          </cell>
          <cell r="EJ15" t="str">
            <v>配置</v>
          </cell>
          <cell r="EK15" t="str">
            <v>配置</v>
          </cell>
          <cell r="EL15" t="str">
            <v>配置</v>
          </cell>
          <cell r="EM15" t="str">
            <v>配置</v>
          </cell>
          <cell r="EN15" t="str">
            <v>配置</v>
          </cell>
          <cell r="EO15" t="str">
            <v>配置</v>
          </cell>
          <cell r="EP15" t="str">
            <v>配置</v>
          </cell>
          <cell r="EQ15" t="str">
            <v>配置</v>
          </cell>
          <cell r="ER15" t="str">
            <v>配置</v>
          </cell>
          <cell r="ES15" t="str">
            <v>配置</v>
          </cell>
          <cell r="ET15" t="str">
            <v>配置</v>
          </cell>
          <cell r="EU15">
            <v>76960</v>
          </cell>
          <cell r="EV15">
            <v>76960</v>
          </cell>
          <cell r="EW15">
            <v>76960</v>
          </cell>
          <cell r="EX15">
            <v>76960</v>
          </cell>
          <cell r="EY15">
            <v>76960</v>
          </cell>
          <cell r="EZ15">
            <v>76960</v>
          </cell>
          <cell r="FA15">
            <v>76960</v>
          </cell>
          <cell r="FB15">
            <v>76960</v>
          </cell>
          <cell r="FC15">
            <v>76960</v>
          </cell>
          <cell r="FD15">
            <v>76960</v>
          </cell>
          <cell r="FE15">
            <v>76960</v>
          </cell>
          <cell r="FF15">
            <v>76960</v>
          </cell>
        </row>
        <row r="16">
          <cell r="C16">
            <v>12</v>
          </cell>
          <cell r="D16" t="str">
            <v>みつわ台保育園</v>
          </cell>
          <cell r="E16" t="str">
            <v>無</v>
          </cell>
          <cell r="F16">
            <v>120</v>
          </cell>
          <cell r="H16">
            <v>90</v>
          </cell>
          <cell r="I16">
            <v>30</v>
          </cell>
          <cell r="O16">
            <v>1189000</v>
          </cell>
          <cell r="P16">
            <v>2627000</v>
          </cell>
          <cell r="Q16">
            <v>2627000</v>
          </cell>
          <cell r="R16">
            <v>1631000</v>
          </cell>
          <cell r="S16">
            <v>0</v>
          </cell>
          <cell r="T16">
            <v>3964000</v>
          </cell>
          <cell r="U16">
            <v>1982000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令和3年4月1日</v>
          </cell>
          <cell r="AM16" t="str">
            <v>3号の12</v>
          </cell>
          <cell r="AN16" t="str">
            <v>有</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v>3</v>
          </cell>
          <cell r="BN16">
            <v>3</v>
          </cell>
          <cell r="BO16">
            <v>3</v>
          </cell>
          <cell r="BP16">
            <v>3</v>
          </cell>
          <cell r="BQ16">
            <v>3</v>
          </cell>
          <cell r="BR16">
            <v>3</v>
          </cell>
          <cell r="BS16">
            <v>3</v>
          </cell>
          <cell r="BT16">
            <v>4</v>
          </cell>
          <cell r="BU16">
            <v>4</v>
          </cell>
          <cell r="BV16">
            <v>4</v>
          </cell>
          <cell r="BW16">
            <v>4</v>
          </cell>
          <cell r="BX16">
            <v>4</v>
          </cell>
          <cell r="CK16">
            <v>0</v>
          </cell>
          <cell r="CL16">
            <v>0</v>
          </cell>
          <cell r="CM16">
            <v>0</v>
          </cell>
          <cell r="CN16">
            <v>0</v>
          </cell>
          <cell r="CO16">
            <v>0</v>
          </cell>
          <cell r="CP16">
            <v>0</v>
          </cell>
          <cell r="CQ16">
            <v>0</v>
          </cell>
          <cell r="CR16">
            <v>0</v>
          </cell>
          <cell r="CS16">
            <v>0</v>
          </cell>
          <cell r="CT16">
            <v>0</v>
          </cell>
          <cell r="CU16">
            <v>0</v>
          </cell>
          <cell r="CV16">
            <v>0</v>
          </cell>
          <cell r="CW16" t="str">
            <v>有</v>
          </cell>
          <cell r="CX16">
            <v>0</v>
          </cell>
          <cell r="CY16" t="str">
            <v>有</v>
          </cell>
          <cell r="CZ16" t="str">
            <v>有</v>
          </cell>
          <cell r="DA16" t="str">
            <v>有</v>
          </cell>
          <cell r="DB16" t="str">
            <v>有</v>
          </cell>
          <cell r="DC16" t="str">
            <v>有</v>
          </cell>
          <cell r="DD16" t="str">
            <v>有</v>
          </cell>
          <cell r="DE16" t="str">
            <v>有</v>
          </cell>
          <cell r="DF16" t="str">
            <v>有</v>
          </cell>
          <cell r="DG16" t="str">
            <v>有</v>
          </cell>
          <cell r="DH16" t="str">
            <v>有</v>
          </cell>
          <cell r="DI16" t="str">
            <v>有</v>
          </cell>
          <cell r="DJ16" t="str">
            <v>有</v>
          </cell>
          <cell r="DK16" t="str">
            <v>増員</v>
          </cell>
          <cell r="DL16" t="str">
            <v>増員</v>
          </cell>
          <cell r="DM16" t="str">
            <v>増員</v>
          </cell>
          <cell r="DN16" t="str">
            <v>増員</v>
          </cell>
          <cell r="DO16" t="str">
            <v>増員</v>
          </cell>
          <cell r="DP16" t="str">
            <v>増員</v>
          </cell>
          <cell r="DQ16" t="str">
            <v>増員</v>
          </cell>
          <cell r="DR16" t="str">
            <v>増員</v>
          </cell>
          <cell r="DS16" t="str">
            <v>増員</v>
          </cell>
          <cell r="DT16" t="str">
            <v>増員</v>
          </cell>
          <cell r="DU16" t="str">
            <v>増員</v>
          </cell>
          <cell r="DV16" t="str">
            <v>増員</v>
          </cell>
          <cell r="DW16" t="str">
            <v>有</v>
          </cell>
          <cell r="DX16" t="str">
            <v>有</v>
          </cell>
          <cell r="DY16" t="str">
            <v>有</v>
          </cell>
          <cell r="DZ16" t="str">
            <v>有</v>
          </cell>
          <cell r="EA16" t="str">
            <v>有</v>
          </cell>
          <cell r="EB16" t="str">
            <v>有</v>
          </cell>
          <cell r="EC16" t="str">
            <v>有</v>
          </cell>
          <cell r="ED16" t="str">
            <v>有</v>
          </cell>
          <cell r="EE16" t="str">
            <v>有</v>
          </cell>
          <cell r="EF16" t="str">
            <v>有</v>
          </cell>
          <cell r="EG16" t="str">
            <v>有</v>
          </cell>
          <cell r="EH16" t="str">
            <v>有</v>
          </cell>
          <cell r="EI16" t="str">
            <v>配置</v>
          </cell>
          <cell r="EJ16" t="str">
            <v>配置</v>
          </cell>
          <cell r="EK16" t="str">
            <v>配置</v>
          </cell>
          <cell r="EL16" t="str">
            <v>配置</v>
          </cell>
          <cell r="EM16" t="str">
            <v>配置</v>
          </cell>
          <cell r="EN16" t="str">
            <v>配置</v>
          </cell>
          <cell r="EO16" t="str">
            <v>配置</v>
          </cell>
          <cell r="EP16" t="str">
            <v>配置</v>
          </cell>
          <cell r="EQ16" t="str">
            <v>配置</v>
          </cell>
          <cell r="ER16" t="str">
            <v>配置</v>
          </cell>
          <cell r="ES16" t="str">
            <v>配置</v>
          </cell>
          <cell r="ET16" t="str">
            <v>配置</v>
          </cell>
          <cell r="EU16">
            <v>76960</v>
          </cell>
          <cell r="EV16">
            <v>76960</v>
          </cell>
          <cell r="EW16">
            <v>76960</v>
          </cell>
          <cell r="EX16">
            <v>76960</v>
          </cell>
          <cell r="EY16">
            <v>76960</v>
          </cell>
          <cell r="EZ16">
            <v>76960</v>
          </cell>
          <cell r="FA16">
            <v>76960</v>
          </cell>
          <cell r="FB16">
            <v>76960</v>
          </cell>
          <cell r="FC16">
            <v>76960</v>
          </cell>
          <cell r="FD16">
            <v>76960</v>
          </cell>
          <cell r="FE16">
            <v>76960</v>
          </cell>
          <cell r="FF16">
            <v>76960</v>
          </cell>
        </row>
        <row r="17">
          <cell r="C17">
            <v>13</v>
          </cell>
          <cell r="D17" t="str">
            <v>まどか保育園</v>
          </cell>
          <cell r="E17" t="str">
            <v>無</v>
          </cell>
          <cell r="F17">
            <v>90</v>
          </cell>
          <cell r="H17">
            <v>60</v>
          </cell>
          <cell r="I17">
            <v>30</v>
          </cell>
          <cell r="O17">
            <v>1189000</v>
          </cell>
          <cell r="P17">
            <v>2627000</v>
          </cell>
          <cell r="Q17">
            <v>2627000</v>
          </cell>
          <cell r="R17">
            <v>1631000</v>
          </cell>
          <cell r="S17">
            <v>0</v>
          </cell>
          <cell r="T17">
            <v>0</v>
          </cell>
          <cell r="U17">
            <v>0</v>
          </cell>
          <cell r="V17">
            <v>792000</v>
          </cell>
          <cell r="W17">
            <v>1751000</v>
          </cell>
          <cell r="X17">
            <v>1751000</v>
          </cell>
          <cell r="Y17">
            <v>1087000</v>
          </cell>
          <cell r="Z17">
            <v>0</v>
          </cell>
          <cell r="AA17">
            <v>0</v>
          </cell>
          <cell r="AB17">
            <v>0</v>
          </cell>
          <cell r="AC17">
            <v>397000</v>
          </cell>
          <cell r="AD17">
            <v>876000</v>
          </cell>
          <cell r="AE17">
            <v>876000</v>
          </cell>
          <cell r="AF17">
            <v>544000</v>
          </cell>
          <cell r="AG17">
            <v>0</v>
          </cell>
          <cell r="AH17">
            <v>0</v>
          </cell>
          <cell r="AI17">
            <v>0</v>
          </cell>
          <cell r="AJ17" t="str">
            <v>令和3年4月1日</v>
          </cell>
          <cell r="AK17" t="str">
            <v>令和3年5月31日交付</v>
          </cell>
          <cell r="AL17" t="str">
            <v>令和3年10月29日交付</v>
          </cell>
          <cell r="AM17" t="str">
            <v>3号の13</v>
          </cell>
          <cell r="AN17" t="str">
            <v>有</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CW17" t="str">
            <v>無</v>
          </cell>
          <cell r="CX17">
            <v>1</v>
          </cell>
          <cell r="CY17" t="str">
            <v>有</v>
          </cell>
          <cell r="CZ17" t="str">
            <v>有</v>
          </cell>
          <cell r="DA17" t="str">
            <v>有</v>
          </cell>
          <cell r="DB17" t="str">
            <v>有</v>
          </cell>
          <cell r="DC17" t="str">
            <v>有</v>
          </cell>
          <cell r="DD17" t="str">
            <v>有</v>
          </cell>
          <cell r="DE17" t="str">
            <v>有</v>
          </cell>
          <cell r="DF17" t="str">
            <v>有</v>
          </cell>
          <cell r="DG17" t="str">
            <v>有</v>
          </cell>
          <cell r="DH17" t="str">
            <v>有</v>
          </cell>
          <cell r="DI17" t="str">
            <v>有</v>
          </cell>
          <cell r="DJ17" t="str">
            <v>有</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有</v>
          </cell>
          <cell r="DX17" t="str">
            <v>有</v>
          </cell>
          <cell r="DY17" t="str">
            <v>有</v>
          </cell>
          <cell r="DZ17" t="str">
            <v>有</v>
          </cell>
          <cell r="EA17" t="str">
            <v>有</v>
          </cell>
          <cell r="EB17" t="str">
            <v>有</v>
          </cell>
          <cell r="EC17" t="str">
            <v>有</v>
          </cell>
          <cell r="ED17" t="str">
            <v>有</v>
          </cell>
          <cell r="EE17" t="str">
            <v>有</v>
          </cell>
          <cell r="EF17" t="str">
            <v>有</v>
          </cell>
          <cell r="EG17" t="str">
            <v>有</v>
          </cell>
          <cell r="EH17" t="str">
            <v>有</v>
          </cell>
          <cell r="EI17" t="str">
            <v>配置</v>
          </cell>
          <cell r="EJ17" t="str">
            <v>配置</v>
          </cell>
          <cell r="EK17" t="str">
            <v>配置</v>
          </cell>
          <cell r="EL17" t="str">
            <v>配置</v>
          </cell>
          <cell r="EM17" t="str">
            <v>配置</v>
          </cell>
          <cell r="EN17" t="str">
            <v>配置</v>
          </cell>
          <cell r="EO17" t="str">
            <v>配置</v>
          </cell>
          <cell r="EP17" t="str">
            <v>配置</v>
          </cell>
          <cell r="EQ17" t="str">
            <v>配置</v>
          </cell>
          <cell r="ER17" t="str">
            <v>配置</v>
          </cell>
          <cell r="ES17" t="str">
            <v>配置</v>
          </cell>
          <cell r="ET17" t="str">
            <v>配置</v>
          </cell>
          <cell r="EU17">
            <v>76960</v>
          </cell>
          <cell r="EV17">
            <v>76960</v>
          </cell>
          <cell r="EW17">
            <v>76960</v>
          </cell>
          <cell r="EX17">
            <v>76960</v>
          </cell>
          <cell r="EY17">
            <v>76960</v>
          </cell>
          <cell r="EZ17">
            <v>76960</v>
          </cell>
          <cell r="FA17">
            <v>76960</v>
          </cell>
          <cell r="FB17">
            <v>76960</v>
          </cell>
          <cell r="FC17">
            <v>76960</v>
          </cell>
          <cell r="FD17">
            <v>76960</v>
          </cell>
          <cell r="FE17">
            <v>76960</v>
          </cell>
          <cell r="FF17">
            <v>76960</v>
          </cell>
        </row>
        <row r="18">
          <cell r="C18">
            <v>14</v>
          </cell>
          <cell r="D18" t="str">
            <v>わかくさ保育園</v>
          </cell>
          <cell r="E18" t="str">
            <v>無</v>
          </cell>
          <cell r="F18">
            <v>110</v>
          </cell>
          <cell r="H18">
            <v>70</v>
          </cell>
          <cell r="I18">
            <v>40</v>
          </cell>
          <cell r="O18">
            <v>1189000</v>
          </cell>
          <cell r="P18">
            <v>2627000</v>
          </cell>
          <cell r="Q18">
            <v>2627000</v>
          </cell>
          <cell r="R18">
            <v>1631000</v>
          </cell>
          <cell r="S18">
            <v>0</v>
          </cell>
          <cell r="T18">
            <v>1982000</v>
          </cell>
          <cell r="U18">
            <v>0</v>
          </cell>
          <cell r="V18">
            <v>792000</v>
          </cell>
          <cell r="W18">
            <v>1751000</v>
          </cell>
          <cell r="X18">
            <v>1751000</v>
          </cell>
          <cell r="Y18">
            <v>1087000</v>
          </cell>
          <cell r="Z18">
            <v>0</v>
          </cell>
          <cell r="AA18">
            <v>1321000</v>
          </cell>
          <cell r="AB18">
            <v>0</v>
          </cell>
          <cell r="AC18">
            <v>0</v>
          </cell>
          <cell r="AD18">
            <v>0</v>
          </cell>
          <cell r="AE18">
            <v>0</v>
          </cell>
          <cell r="AF18">
            <v>0</v>
          </cell>
          <cell r="AG18">
            <v>0</v>
          </cell>
          <cell r="AH18">
            <v>0</v>
          </cell>
          <cell r="AI18">
            <v>0</v>
          </cell>
          <cell r="AJ18" t="str">
            <v>令和3年4月1日</v>
          </cell>
          <cell r="AK18" t="str">
            <v>令和3年5月31日交付</v>
          </cell>
          <cell r="AM18" t="str">
            <v>3号の14</v>
          </cell>
          <cell r="AN18" t="str">
            <v>有</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v>1</v>
          </cell>
          <cell r="BN18">
            <v>1</v>
          </cell>
          <cell r="BO18">
            <v>1</v>
          </cell>
          <cell r="BP18">
            <v>1</v>
          </cell>
          <cell r="BQ18">
            <v>1</v>
          </cell>
          <cell r="BR18">
            <v>1</v>
          </cell>
          <cell r="BS18">
            <v>1</v>
          </cell>
          <cell r="BT18">
            <v>1</v>
          </cell>
          <cell r="BU18">
            <v>1</v>
          </cell>
          <cell r="BV18">
            <v>1</v>
          </cell>
          <cell r="BW18">
            <v>1</v>
          </cell>
          <cell r="BX18">
            <v>1</v>
          </cell>
          <cell r="CK18">
            <v>0</v>
          </cell>
          <cell r="CL18">
            <v>0</v>
          </cell>
          <cell r="CM18">
            <v>0</v>
          </cell>
          <cell r="CN18">
            <v>0</v>
          </cell>
          <cell r="CO18">
            <v>0</v>
          </cell>
          <cell r="CP18">
            <v>0</v>
          </cell>
          <cell r="CQ18">
            <v>0</v>
          </cell>
          <cell r="CR18">
            <v>0</v>
          </cell>
          <cell r="CS18">
            <v>0</v>
          </cell>
          <cell r="CT18">
            <v>0</v>
          </cell>
          <cell r="CU18">
            <v>0</v>
          </cell>
          <cell r="CV18">
            <v>0</v>
          </cell>
          <cell r="CW18" t="str">
            <v>無</v>
          </cell>
          <cell r="CX18">
            <v>0</v>
          </cell>
          <cell r="CY18" t="str">
            <v>無</v>
          </cell>
          <cell r="CZ18" t="str">
            <v>無</v>
          </cell>
          <cell r="DA18" t="str">
            <v>無</v>
          </cell>
          <cell r="DB18" t="str">
            <v>無</v>
          </cell>
          <cell r="DC18" t="str">
            <v>無</v>
          </cell>
          <cell r="DD18" t="str">
            <v>無</v>
          </cell>
          <cell r="DE18" t="str">
            <v>無</v>
          </cell>
          <cell r="DF18" t="str">
            <v>無</v>
          </cell>
          <cell r="DG18" t="str">
            <v>無</v>
          </cell>
          <cell r="DH18" t="str">
            <v>無</v>
          </cell>
          <cell r="DI18" t="str">
            <v>無</v>
          </cell>
          <cell r="DJ18" t="str">
            <v>無</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無</v>
          </cell>
          <cell r="DX18" t="str">
            <v>無</v>
          </cell>
          <cell r="DY18" t="str">
            <v>無</v>
          </cell>
          <cell r="DZ18" t="str">
            <v>無</v>
          </cell>
          <cell r="EA18" t="str">
            <v>無</v>
          </cell>
          <cell r="EB18" t="str">
            <v>無</v>
          </cell>
          <cell r="EC18" t="str">
            <v>無</v>
          </cell>
          <cell r="ED18" t="str">
            <v>無</v>
          </cell>
          <cell r="EE18" t="str">
            <v>無</v>
          </cell>
          <cell r="EF18" t="str">
            <v>無</v>
          </cell>
          <cell r="EG18" t="str">
            <v>無</v>
          </cell>
          <cell r="EH18" t="str">
            <v>無</v>
          </cell>
          <cell r="EU18" t="str">
            <v/>
          </cell>
          <cell r="EV18" t="str">
            <v/>
          </cell>
          <cell r="EW18" t="str">
            <v/>
          </cell>
          <cell r="EX18" t="str">
            <v/>
          </cell>
          <cell r="EY18" t="str">
            <v/>
          </cell>
          <cell r="EZ18" t="str">
            <v/>
          </cell>
          <cell r="FA18" t="str">
            <v/>
          </cell>
          <cell r="FB18" t="str">
            <v/>
          </cell>
          <cell r="FC18" t="str">
            <v/>
          </cell>
          <cell r="FD18" t="str">
            <v/>
          </cell>
          <cell r="FE18" t="str">
            <v/>
          </cell>
          <cell r="FF18" t="str">
            <v/>
          </cell>
        </row>
        <row r="19">
          <cell r="C19">
            <v>15</v>
          </cell>
          <cell r="D19" t="str">
            <v>たいよう保育園</v>
          </cell>
          <cell r="E19" t="str">
            <v>無</v>
          </cell>
          <cell r="F19">
            <v>110</v>
          </cell>
          <cell r="H19">
            <v>66</v>
          </cell>
          <cell r="I19">
            <v>44</v>
          </cell>
          <cell r="O19">
            <v>1189000</v>
          </cell>
          <cell r="P19">
            <v>2627000</v>
          </cell>
          <cell r="Q19">
            <v>2627000</v>
          </cell>
          <cell r="R19">
            <v>0</v>
          </cell>
          <cell r="S19">
            <v>0</v>
          </cell>
          <cell r="T19">
            <v>3964000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t="str">
            <v>令和3年4月1日</v>
          </cell>
          <cell r="AM19" t="str">
            <v>3号の15</v>
          </cell>
          <cell r="AN19" t="str">
            <v>有</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v>1</v>
          </cell>
          <cell r="BN19">
            <v>1</v>
          </cell>
          <cell r="BO19">
            <v>1</v>
          </cell>
          <cell r="BP19">
            <v>1</v>
          </cell>
          <cell r="BQ19">
            <v>1</v>
          </cell>
          <cell r="BR19">
            <v>1</v>
          </cell>
          <cell r="BS19">
            <v>1</v>
          </cell>
          <cell r="BT19">
            <v>1</v>
          </cell>
          <cell r="BU19">
            <v>1</v>
          </cell>
          <cell r="BV19">
            <v>1</v>
          </cell>
          <cell r="BW19">
            <v>1</v>
          </cell>
          <cell r="BX19">
            <v>1</v>
          </cell>
          <cell r="CK19">
            <v>0</v>
          </cell>
          <cell r="CL19">
            <v>0</v>
          </cell>
          <cell r="CM19">
            <v>0</v>
          </cell>
          <cell r="CN19">
            <v>0</v>
          </cell>
          <cell r="CO19">
            <v>0</v>
          </cell>
          <cell r="CP19">
            <v>0</v>
          </cell>
          <cell r="CQ19">
            <v>0</v>
          </cell>
          <cell r="CR19">
            <v>0</v>
          </cell>
          <cell r="CS19">
            <v>0</v>
          </cell>
          <cell r="CT19">
            <v>0</v>
          </cell>
          <cell r="CU19">
            <v>0</v>
          </cell>
          <cell r="CV19">
            <v>0</v>
          </cell>
          <cell r="CW19" t="str">
            <v>無</v>
          </cell>
          <cell r="CX19">
            <v>0</v>
          </cell>
          <cell r="CY19" t="str">
            <v>有</v>
          </cell>
          <cell r="CZ19" t="str">
            <v>有</v>
          </cell>
          <cell r="DA19" t="str">
            <v>有</v>
          </cell>
          <cell r="DB19" t="str">
            <v>有</v>
          </cell>
          <cell r="DC19" t="str">
            <v>有</v>
          </cell>
          <cell r="DD19" t="str">
            <v>有</v>
          </cell>
          <cell r="DE19" t="str">
            <v>有</v>
          </cell>
          <cell r="DF19" t="str">
            <v>有</v>
          </cell>
          <cell r="DG19" t="str">
            <v>有</v>
          </cell>
          <cell r="DH19" t="str">
            <v>有</v>
          </cell>
          <cell r="DI19" t="str">
            <v>有</v>
          </cell>
          <cell r="DJ19" t="str">
            <v>有</v>
          </cell>
          <cell r="DK19" t="str">
            <v>賃金改善</v>
          </cell>
          <cell r="DL19" t="str">
            <v>賃金改善</v>
          </cell>
          <cell r="DM19" t="str">
            <v>賃金改善</v>
          </cell>
          <cell r="DN19" t="str">
            <v>賃金改善</v>
          </cell>
          <cell r="DO19" t="str">
            <v>賃金改善</v>
          </cell>
          <cell r="DP19" t="str">
            <v>賃金改善</v>
          </cell>
          <cell r="DQ19" t="str">
            <v>賃金改善</v>
          </cell>
          <cell r="DR19" t="str">
            <v>賃金改善</v>
          </cell>
          <cell r="DS19" t="str">
            <v>賃金改善</v>
          </cell>
          <cell r="DT19" t="str">
            <v>賃金改善</v>
          </cell>
          <cell r="DU19" t="str">
            <v>賃金改善</v>
          </cell>
          <cell r="DV19" t="str">
            <v>賃金改善</v>
          </cell>
          <cell r="DW19" t="str">
            <v>有</v>
          </cell>
          <cell r="DX19" t="str">
            <v>有</v>
          </cell>
          <cell r="DY19" t="str">
            <v>有</v>
          </cell>
          <cell r="DZ19" t="str">
            <v>有</v>
          </cell>
          <cell r="EA19" t="str">
            <v>有</v>
          </cell>
          <cell r="EB19" t="str">
            <v>有</v>
          </cell>
          <cell r="EC19" t="str">
            <v>有</v>
          </cell>
          <cell r="ED19" t="str">
            <v>有</v>
          </cell>
          <cell r="EE19" t="str">
            <v>有</v>
          </cell>
          <cell r="EF19" t="str">
            <v>有</v>
          </cell>
          <cell r="EG19" t="str">
            <v>有</v>
          </cell>
          <cell r="EH19" t="str">
            <v>有</v>
          </cell>
          <cell r="EI19" t="str">
            <v>兼務</v>
          </cell>
          <cell r="EJ19" t="str">
            <v>兼務</v>
          </cell>
          <cell r="EK19" t="str">
            <v>兼務</v>
          </cell>
          <cell r="EL19" t="str">
            <v>兼務</v>
          </cell>
          <cell r="EM19" t="str">
            <v>兼務</v>
          </cell>
          <cell r="EN19" t="str">
            <v>兼務</v>
          </cell>
          <cell r="EO19" t="str">
            <v>兼務</v>
          </cell>
          <cell r="EP19" t="str">
            <v>兼務</v>
          </cell>
          <cell r="EQ19" t="str">
            <v>兼務</v>
          </cell>
          <cell r="ER19" t="str">
            <v>兼務</v>
          </cell>
          <cell r="ES19" t="str">
            <v>兼務</v>
          </cell>
          <cell r="ET19" t="str">
            <v>兼務</v>
          </cell>
          <cell r="EU19" t="str">
            <v/>
          </cell>
          <cell r="EV19" t="str">
            <v/>
          </cell>
          <cell r="EW19" t="str">
            <v/>
          </cell>
          <cell r="EX19" t="str">
            <v/>
          </cell>
          <cell r="EY19" t="str">
            <v/>
          </cell>
          <cell r="EZ19" t="str">
            <v/>
          </cell>
          <cell r="FA19" t="str">
            <v/>
          </cell>
          <cell r="FB19" t="str">
            <v/>
          </cell>
          <cell r="FC19" t="str">
            <v/>
          </cell>
          <cell r="FD19" t="str">
            <v/>
          </cell>
          <cell r="FE19" t="str">
            <v/>
          </cell>
          <cell r="FF19" t="str">
            <v/>
          </cell>
        </row>
        <row r="20">
          <cell r="C20">
            <v>16</v>
          </cell>
          <cell r="D20" t="str">
            <v>松ケ丘保育園</v>
          </cell>
          <cell r="E20" t="str">
            <v>無</v>
          </cell>
          <cell r="F20">
            <v>90</v>
          </cell>
          <cell r="H20">
            <v>60</v>
          </cell>
          <cell r="I20">
            <v>30</v>
          </cell>
          <cell r="O20">
            <v>1189000</v>
          </cell>
          <cell r="P20">
            <v>2627000</v>
          </cell>
          <cell r="Q20">
            <v>2627000</v>
          </cell>
          <cell r="R20">
            <v>1631000</v>
          </cell>
          <cell r="S20">
            <v>0</v>
          </cell>
          <cell r="T20">
            <v>0</v>
          </cell>
          <cell r="U20">
            <v>0</v>
          </cell>
          <cell r="V20">
            <v>792000</v>
          </cell>
          <cell r="W20">
            <v>1751000</v>
          </cell>
          <cell r="X20">
            <v>1751000</v>
          </cell>
          <cell r="Y20">
            <v>1087000</v>
          </cell>
          <cell r="Z20">
            <v>0</v>
          </cell>
          <cell r="AA20">
            <v>0</v>
          </cell>
          <cell r="AB20">
            <v>0</v>
          </cell>
          <cell r="AC20">
            <v>0</v>
          </cell>
          <cell r="AD20">
            <v>0</v>
          </cell>
          <cell r="AE20">
            <v>0</v>
          </cell>
          <cell r="AF20">
            <v>0</v>
          </cell>
          <cell r="AG20">
            <v>0</v>
          </cell>
          <cell r="AH20">
            <v>0</v>
          </cell>
          <cell r="AI20">
            <v>0</v>
          </cell>
          <cell r="AJ20" t="str">
            <v>令和3年4月1日</v>
          </cell>
          <cell r="AK20" t="str">
            <v>令和3年5月31日交付</v>
          </cell>
          <cell r="AM20" t="str">
            <v>3号の16</v>
          </cell>
          <cell r="AN20" t="str">
            <v>有</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CW20" t="str">
            <v>無</v>
          </cell>
          <cell r="CX20">
            <v>2</v>
          </cell>
          <cell r="CY20" t="str">
            <v>有</v>
          </cell>
          <cell r="CZ20" t="str">
            <v>有</v>
          </cell>
          <cell r="DA20" t="str">
            <v>有</v>
          </cell>
          <cell r="DB20" t="str">
            <v>有</v>
          </cell>
          <cell r="DC20" t="str">
            <v>有</v>
          </cell>
          <cell r="DD20" t="str">
            <v>有</v>
          </cell>
          <cell r="DE20" t="str">
            <v>有</v>
          </cell>
          <cell r="DF20" t="str">
            <v>有</v>
          </cell>
          <cell r="DG20" t="str">
            <v>有</v>
          </cell>
          <cell r="DH20" t="str">
            <v>有</v>
          </cell>
          <cell r="DI20" t="str">
            <v>有</v>
          </cell>
          <cell r="DJ20" t="str">
            <v>有</v>
          </cell>
          <cell r="DK20" t="str">
            <v>賃金改善</v>
          </cell>
          <cell r="DL20" t="str">
            <v>賃金改善</v>
          </cell>
          <cell r="DM20" t="str">
            <v>賃金改善</v>
          </cell>
          <cell r="DN20" t="str">
            <v>賃金改善</v>
          </cell>
          <cell r="DO20" t="str">
            <v>賃金改善</v>
          </cell>
          <cell r="DP20" t="str">
            <v>賃金改善</v>
          </cell>
          <cell r="DQ20" t="str">
            <v>賃金改善</v>
          </cell>
          <cell r="DR20" t="str">
            <v>賃金改善</v>
          </cell>
          <cell r="DS20" t="str">
            <v>賃金改善</v>
          </cell>
          <cell r="DT20" t="str">
            <v>賃金改善</v>
          </cell>
          <cell r="DU20" t="str">
            <v>賃金改善</v>
          </cell>
          <cell r="DV20" t="str">
            <v>賃金改善</v>
          </cell>
          <cell r="DW20" t="str">
            <v>有</v>
          </cell>
          <cell r="DX20" t="str">
            <v>有</v>
          </cell>
          <cell r="DY20" t="str">
            <v>有</v>
          </cell>
          <cell r="DZ20" t="str">
            <v>有</v>
          </cell>
          <cell r="EA20" t="str">
            <v>有</v>
          </cell>
          <cell r="EB20" t="str">
            <v>有</v>
          </cell>
          <cell r="EC20" t="str">
            <v>有</v>
          </cell>
          <cell r="ED20" t="str">
            <v>有</v>
          </cell>
          <cell r="EE20" t="str">
            <v>有</v>
          </cell>
          <cell r="EF20" t="str">
            <v>有</v>
          </cell>
          <cell r="EG20" t="str">
            <v>有</v>
          </cell>
          <cell r="EH20" t="str">
            <v>有</v>
          </cell>
          <cell r="EI20" t="str">
            <v>配置</v>
          </cell>
          <cell r="EJ20" t="str">
            <v>配置</v>
          </cell>
          <cell r="EK20" t="str">
            <v>配置</v>
          </cell>
          <cell r="EL20" t="str">
            <v>配置</v>
          </cell>
          <cell r="EM20" t="str">
            <v>配置</v>
          </cell>
          <cell r="EN20" t="str">
            <v>配置</v>
          </cell>
          <cell r="EO20" t="str">
            <v>配置</v>
          </cell>
          <cell r="EP20" t="str">
            <v>配置</v>
          </cell>
          <cell r="EQ20" t="str">
            <v>配置</v>
          </cell>
          <cell r="ER20" t="str">
            <v>配置</v>
          </cell>
          <cell r="ES20" t="str">
            <v>配置</v>
          </cell>
          <cell r="ET20" t="str">
            <v>配置</v>
          </cell>
          <cell r="EU20">
            <v>76960</v>
          </cell>
          <cell r="EV20">
            <v>76960</v>
          </cell>
          <cell r="EW20">
            <v>76960</v>
          </cell>
          <cell r="EX20">
            <v>76960</v>
          </cell>
          <cell r="EY20">
            <v>76960</v>
          </cell>
          <cell r="EZ20">
            <v>76960</v>
          </cell>
          <cell r="FA20">
            <v>76960</v>
          </cell>
          <cell r="FB20">
            <v>76960</v>
          </cell>
          <cell r="FC20">
            <v>76960</v>
          </cell>
          <cell r="FD20">
            <v>76960</v>
          </cell>
          <cell r="FE20">
            <v>76960</v>
          </cell>
          <cell r="FF20">
            <v>76960</v>
          </cell>
        </row>
        <row r="21">
          <cell r="C21">
            <v>17</v>
          </cell>
          <cell r="D21" t="str">
            <v>作草部保育園</v>
          </cell>
          <cell r="E21" t="str">
            <v>無</v>
          </cell>
          <cell r="F21">
            <v>90</v>
          </cell>
          <cell r="H21">
            <v>60</v>
          </cell>
          <cell r="I21">
            <v>30</v>
          </cell>
          <cell r="O21">
            <v>1189000</v>
          </cell>
          <cell r="P21">
            <v>2627000</v>
          </cell>
          <cell r="Q21">
            <v>2627000</v>
          </cell>
          <cell r="R21">
            <v>1028000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t="str">
            <v>令和3年4月1日</v>
          </cell>
          <cell r="AM21" t="str">
            <v>3号の17</v>
          </cell>
          <cell r="AN21" t="str">
            <v>有</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CW21" t="str">
            <v>無</v>
          </cell>
          <cell r="CX21">
            <v>2</v>
          </cell>
          <cell r="CY21" t="str">
            <v>無</v>
          </cell>
          <cell r="CZ21" t="str">
            <v>無</v>
          </cell>
          <cell r="DA21" t="str">
            <v>無</v>
          </cell>
          <cell r="DB21" t="str">
            <v>無</v>
          </cell>
          <cell r="DC21" t="str">
            <v>無</v>
          </cell>
          <cell r="DD21" t="str">
            <v>無</v>
          </cell>
          <cell r="DE21" t="str">
            <v>無</v>
          </cell>
          <cell r="DF21" t="str">
            <v>無</v>
          </cell>
          <cell r="DG21" t="str">
            <v>無</v>
          </cell>
          <cell r="DH21" t="str">
            <v>無</v>
          </cell>
          <cell r="DI21" t="str">
            <v>無</v>
          </cell>
          <cell r="DJ21" t="str">
            <v>無</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無</v>
          </cell>
          <cell r="DX21" t="str">
            <v>無</v>
          </cell>
          <cell r="DY21" t="str">
            <v>無</v>
          </cell>
          <cell r="DZ21" t="str">
            <v>無</v>
          </cell>
          <cell r="EA21" t="str">
            <v>無</v>
          </cell>
          <cell r="EB21" t="str">
            <v>無</v>
          </cell>
          <cell r="EC21" t="str">
            <v>無</v>
          </cell>
          <cell r="ED21" t="str">
            <v>無</v>
          </cell>
          <cell r="EE21" t="str">
            <v>無</v>
          </cell>
          <cell r="EF21" t="str">
            <v>無</v>
          </cell>
          <cell r="EG21" t="str">
            <v>無</v>
          </cell>
          <cell r="EH21" t="str">
            <v>無</v>
          </cell>
          <cell r="EU21" t="str">
            <v/>
          </cell>
          <cell r="EV21" t="str">
            <v/>
          </cell>
          <cell r="EW21" t="str">
            <v/>
          </cell>
          <cell r="EX21" t="str">
            <v/>
          </cell>
          <cell r="EY21" t="str">
            <v/>
          </cell>
          <cell r="EZ21" t="str">
            <v/>
          </cell>
          <cell r="FA21" t="str">
            <v/>
          </cell>
          <cell r="FB21" t="str">
            <v/>
          </cell>
          <cell r="FC21" t="str">
            <v/>
          </cell>
          <cell r="FD21" t="str">
            <v/>
          </cell>
          <cell r="FE21" t="str">
            <v/>
          </cell>
          <cell r="FF21" t="str">
            <v/>
          </cell>
        </row>
        <row r="22">
          <cell r="C22">
            <v>18</v>
          </cell>
          <cell r="D22" t="str">
            <v>すずらん保育園</v>
          </cell>
          <cell r="E22" t="str">
            <v>無</v>
          </cell>
          <cell r="F22">
            <v>90</v>
          </cell>
          <cell r="H22">
            <v>60</v>
          </cell>
          <cell r="I22">
            <v>30</v>
          </cell>
          <cell r="O22">
            <v>1189000</v>
          </cell>
          <cell r="P22">
            <v>2627000</v>
          </cell>
          <cell r="Q22">
            <v>2627000</v>
          </cell>
          <cell r="R22">
            <v>1631000</v>
          </cell>
          <cell r="S22">
            <v>0</v>
          </cell>
          <cell r="T22">
            <v>1982000</v>
          </cell>
          <cell r="U22">
            <v>1982000</v>
          </cell>
          <cell r="V22">
            <v>792000</v>
          </cell>
          <cell r="W22">
            <v>1751000</v>
          </cell>
          <cell r="X22">
            <v>1751000</v>
          </cell>
          <cell r="Y22">
            <v>1087000</v>
          </cell>
          <cell r="Z22">
            <v>0</v>
          </cell>
          <cell r="AA22">
            <v>1321000</v>
          </cell>
          <cell r="AB22">
            <v>1321000</v>
          </cell>
          <cell r="AC22">
            <v>0</v>
          </cell>
          <cell r="AD22">
            <v>0</v>
          </cell>
          <cell r="AE22">
            <v>0</v>
          </cell>
          <cell r="AF22">
            <v>0</v>
          </cell>
          <cell r="AG22">
            <v>0</v>
          </cell>
          <cell r="AH22">
            <v>0</v>
          </cell>
          <cell r="AI22">
            <v>0</v>
          </cell>
          <cell r="AJ22" t="str">
            <v>令和3年4月1日</v>
          </cell>
          <cell r="AK22" t="str">
            <v>令和3年5月31日交付</v>
          </cell>
          <cell r="AM22" t="str">
            <v>3号の18</v>
          </cell>
          <cell r="AN22" t="str">
            <v>有</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v>1</v>
          </cell>
          <cell r="BN22">
            <v>1</v>
          </cell>
          <cell r="BO22">
            <v>1</v>
          </cell>
          <cell r="BP22">
            <v>1</v>
          </cell>
          <cell r="BQ22">
            <v>1</v>
          </cell>
          <cell r="BR22">
            <v>1</v>
          </cell>
          <cell r="BS22">
            <v>1</v>
          </cell>
          <cell r="BT22">
            <v>1</v>
          </cell>
          <cell r="BU22">
            <v>1</v>
          </cell>
          <cell r="BV22">
            <v>1</v>
          </cell>
          <cell r="BW22">
            <v>1</v>
          </cell>
          <cell r="BX22">
            <v>1</v>
          </cell>
          <cell r="CK22">
            <v>0</v>
          </cell>
          <cell r="CL22">
            <v>0</v>
          </cell>
          <cell r="CM22">
            <v>0</v>
          </cell>
          <cell r="CN22">
            <v>0</v>
          </cell>
          <cell r="CO22">
            <v>0</v>
          </cell>
          <cell r="CP22">
            <v>0</v>
          </cell>
          <cell r="CQ22">
            <v>0</v>
          </cell>
          <cell r="CR22">
            <v>0</v>
          </cell>
          <cell r="CS22">
            <v>0</v>
          </cell>
          <cell r="CT22">
            <v>0</v>
          </cell>
          <cell r="CU22">
            <v>0</v>
          </cell>
          <cell r="CV22">
            <v>0</v>
          </cell>
          <cell r="CW22" t="str">
            <v>無</v>
          </cell>
          <cell r="CX22">
            <v>0</v>
          </cell>
          <cell r="CY22" t="str">
            <v>無</v>
          </cell>
          <cell r="CZ22" t="str">
            <v>無</v>
          </cell>
          <cell r="DA22" t="str">
            <v>無</v>
          </cell>
          <cell r="DB22" t="str">
            <v>無</v>
          </cell>
          <cell r="DC22" t="str">
            <v>無</v>
          </cell>
          <cell r="DD22" t="str">
            <v>無</v>
          </cell>
          <cell r="DE22" t="str">
            <v>無</v>
          </cell>
          <cell r="DF22" t="str">
            <v>無</v>
          </cell>
          <cell r="DG22" t="str">
            <v>無</v>
          </cell>
          <cell r="DH22" t="str">
            <v>無</v>
          </cell>
          <cell r="DI22" t="str">
            <v>無</v>
          </cell>
          <cell r="DJ22" t="str">
            <v>無</v>
          </cell>
          <cell r="DK22" t="str">
            <v>増員</v>
          </cell>
          <cell r="DL22" t="str">
            <v>増員</v>
          </cell>
          <cell r="DM22" t="str">
            <v>増員</v>
          </cell>
          <cell r="DN22" t="str">
            <v>増員</v>
          </cell>
          <cell r="DO22" t="str">
            <v>増員</v>
          </cell>
          <cell r="DP22" t="str">
            <v>増員</v>
          </cell>
          <cell r="DQ22" t="str">
            <v>増員</v>
          </cell>
          <cell r="DR22" t="str">
            <v>増員</v>
          </cell>
          <cell r="DS22" t="str">
            <v>増員</v>
          </cell>
          <cell r="DT22" t="str">
            <v>増員</v>
          </cell>
          <cell r="DU22" t="str">
            <v>増員</v>
          </cell>
          <cell r="DV22" t="str">
            <v>増員</v>
          </cell>
          <cell r="DW22" t="str">
            <v>無</v>
          </cell>
          <cell r="DX22" t="str">
            <v>無</v>
          </cell>
          <cell r="DY22" t="str">
            <v>無</v>
          </cell>
          <cell r="DZ22" t="str">
            <v>無</v>
          </cell>
          <cell r="EA22" t="str">
            <v>無</v>
          </cell>
          <cell r="EB22" t="str">
            <v>無</v>
          </cell>
          <cell r="EC22" t="str">
            <v>無</v>
          </cell>
          <cell r="ED22" t="str">
            <v>無</v>
          </cell>
          <cell r="EE22" t="str">
            <v>無</v>
          </cell>
          <cell r="EF22" t="str">
            <v>無</v>
          </cell>
          <cell r="EG22" t="str">
            <v>無</v>
          </cell>
          <cell r="EH22" t="str">
            <v>無</v>
          </cell>
          <cell r="EU22" t="str">
            <v/>
          </cell>
          <cell r="EV22" t="str">
            <v/>
          </cell>
          <cell r="EW22" t="str">
            <v/>
          </cell>
          <cell r="EX22" t="str">
            <v/>
          </cell>
          <cell r="EY22" t="str">
            <v/>
          </cell>
          <cell r="EZ22" t="str">
            <v/>
          </cell>
          <cell r="FA22" t="str">
            <v/>
          </cell>
          <cell r="FB22" t="str">
            <v/>
          </cell>
          <cell r="FC22" t="str">
            <v/>
          </cell>
          <cell r="FD22" t="str">
            <v/>
          </cell>
          <cell r="FE22" t="str">
            <v/>
          </cell>
          <cell r="FF22" t="str">
            <v/>
          </cell>
        </row>
        <row r="23">
          <cell r="C23">
            <v>19</v>
          </cell>
          <cell r="D23" t="str">
            <v>なぎさ保育園</v>
          </cell>
          <cell r="E23" t="str">
            <v>無</v>
          </cell>
          <cell r="F23">
            <v>90</v>
          </cell>
          <cell r="H23">
            <v>60</v>
          </cell>
          <cell r="I23">
            <v>30</v>
          </cell>
          <cell r="O23">
            <v>1189000</v>
          </cell>
          <cell r="P23">
            <v>2627000</v>
          </cell>
          <cell r="Q23">
            <v>2627000</v>
          </cell>
          <cell r="R23">
            <v>1631000</v>
          </cell>
          <cell r="S23">
            <v>0</v>
          </cell>
          <cell r="T23">
            <v>1982000</v>
          </cell>
          <cell r="U23">
            <v>0</v>
          </cell>
          <cell r="V23">
            <v>792000</v>
          </cell>
          <cell r="W23">
            <v>1751000</v>
          </cell>
          <cell r="X23">
            <v>1751000</v>
          </cell>
          <cell r="Y23">
            <v>1087000</v>
          </cell>
          <cell r="Z23">
            <v>0</v>
          </cell>
          <cell r="AA23">
            <v>1321000</v>
          </cell>
          <cell r="AB23">
            <v>0</v>
          </cell>
          <cell r="AC23">
            <v>0</v>
          </cell>
          <cell r="AD23">
            <v>0</v>
          </cell>
          <cell r="AE23">
            <v>0</v>
          </cell>
          <cell r="AF23">
            <v>0</v>
          </cell>
          <cell r="AG23">
            <v>0</v>
          </cell>
          <cell r="AH23">
            <v>0</v>
          </cell>
          <cell r="AI23">
            <v>0</v>
          </cell>
          <cell r="AJ23" t="str">
            <v>令和3年4月1日</v>
          </cell>
          <cell r="AK23" t="str">
            <v>令和3年5月31日交付</v>
          </cell>
          <cell r="AM23" t="str">
            <v>3号の19</v>
          </cell>
          <cell r="AN23" t="str">
            <v>有</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v>1</v>
          </cell>
          <cell r="BN23">
            <v>1</v>
          </cell>
          <cell r="BO23">
            <v>1</v>
          </cell>
          <cell r="BP23">
            <v>1</v>
          </cell>
          <cell r="BQ23">
            <v>1</v>
          </cell>
          <cell r="BR23">
            <v>1</v>
          </cell>
          <cell r="BS23">
            <v>1</v>
          </cell>
          <cell r="BT23">
            <v>1</v>
          </cell>
          <cell r="BU23">
            <v>1</v>
          </cell>
          <cell r="BV23">
            <v>1</v>
          </cell>
          <cell r="BW23">
            <v>1</v>
          </cell>
          <cell r="BX23">
            <v>1</v>
          </cell>
          <cell r="CK23">
            <v>0</v>
          </cell>
          <cell r="CL23">
            <v>0</v>
          </cell>
          <cell r="CM23">
            <v>0</v>
          </cell>
          <cell r="CN23">
            <v>0</v>
          </cell>
          <cell r="CO23">
            <v>0</v>
          </cell>
          <cell r="CP23">
            <v>0</v>
          </cell>
          <cell r="CQ23">
            <v>0</v>
          </cell>
          <cell r="CR23">
            <v>0</v>
          </cell>
          <cell r="CS23">
            <v>0</v>
          </cell>
          <cell r="CT23">
            <v>0</v>
          </cell>
          <cell r="CU23">
            <v>0</v>
          </cell>
          <cell r="CV23">
            <v>0</v>
          </cell>
          <cell r="CW23" t="str">
            <v>無</v>
          </cell>
          <cell r="CX23">
            <v>0</v>
          </cell>
          <cell r="CY23" t="str">
            <v>無</v>
          </cell>
          <cell r="CZ23" t="str">
            <v>無</v>
          </cell>
          <cell r="DA23" t="str">
            <v>無</v>
          </cell>
          <cell r="DB23" t="str">
            <v>無</v>
          </cell>
          <cell r="DC23" t="str">
            <v>無</v>
          </cell>
          <cell r="DD23" t="str">
            <v>無</v>
          </cell>
          <cell r="DE23" t="str">
            <v>無</v>
          </cell>
          <cell r="DF23" t="str">
            <v>無</v>
          </cell>
          <cell r="DG23" t="str">
            <v>無</v>
          </cell>
          <cell r="DH23" t="str">
            <v>無</v>
          </cell>
          <cell r="DI23" t="str">
            <v>無</v>
          </cell>
          <cell r="DJ23" t="str">
            <v>無</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無</v>
          </cell>
          <cell r="DX23" t="str">
            <v>無</v>
          </cell>
          <cell r="DY23" t="str">
            <v>無</v>
          </cell>
          <cell r="DZ23" t="str">
            <v>無</v>
          </cell>
          <cell r="EA23" t="str">
            <v>無</v>
          </cell>
          <cell r="EB23" t="str">
            <v>無</v>
          </cell>
          <cell r="EC23" t="str">
            <v>無</v>
          </cell>
          <cell r="ED23" t="str">
            <v>無</v>
          </cell>
          <cell r="EE23" t="str">
            <v>無</v>
          </cell>
          <cell r="EF23" t="str">
            <v>無</v>
          </cell>
          <cell r="EG23" t="str">
            <v>無</v>
          </cell>
          <cell r="EH23" t="str">
            <v>無</v>
          </cell>
          <cell r="EU23" t="str">
            <v/>
          </cell>
          <cell r="EV23" t="str">
            <v/>
          </cell>
          <cell r="EW23" t="str">
            <v/>
          </cell>
          <cell r="EX23" t="str">
            <v/>
          </cell>
          <cell r="EY23" t="str">
            <v/>
          </cell>
          <cell r="EZ23" t="str">
            <v/>
          </cell>
          <cell r="FA23" t="str">
            <v/>
          </cell>
          <cell r="FB23" t="str">
            <v/>
          </cell>
          <cell r="FC23" t="str">
            <v/>
          </cell>
          <cell r="FD23" t="str">
            <v/>
          </cell>
          <cell r="FE23" t="str">
            <v/>
          </cell>
          <cell r="FF23" t="str">
            <v/>
          </cell>
        </row>
        <row r="24">
          <cell r="C24">
            <v>20</v>
          </cell>
          <cell r="D24" t="str">
            <v>南小中台保育園</v>
          </cell>
          <cell r="E24" t="str">
            <v>無</v>
          </cell>
          <cell r="F24">
            <v>120</v>
          </cell>
          <cell r="H24">
            <v>67</v>
          </cell>
          <cell r="I24">
            <v>53</v>
          </cell>
          <cell r="O24">
            <v>1189000</v>
          </cell>
          <cell r="P24">
            <v>2627000</v>
          </cell>
          <cell r="Q24">
            <v>2627000</v>
          </cell>
          <cell r="R24">
            <v>1028000</v>
          </cell>
          <cell r="S24">
            <v>0</v>
          </cell>
          <cell r="T24">
            <v>1982000</v>
          </cell>
          <cell r="U24">
            <v>0</v>
          </cell>
          <cell r="V24">
            <v>792000</v>
          </cell>
          <cell r="W24">
            <v>1751000</v>
          </cell>
          <cell r="X24">
            <v>1751000</v>
          </cell>
          <cell r="Y24">
            <v>685000</v>
          </cell>
          <cell r="Z24">
            <v>0</v>
          </cell>
          <cell r="AA24">
            <v>1321000</v>
          </cell>
          <cell r="AB24">
            <v>0</v>
          </cell>
          <cell r="AC24">
            <v>0</v>
          </cell>
          <cell r="AD24">
            <v>0</v>
          </cell>
          <cell r="AE24">
            <v>0</v>
          </cell>
          <cell r="AF24">
            <v>0</v>
          </cell>
          <cell r="AG24">
            <v>0</v>
          </cell>
          <cell r="AH24">
            <v>0</v>
          </cell>
          <cell r="AI24">
            <v>0</v>
          </cell>
          <cell r="AJ24" t="str">
            <v>令和3年4月1日</v>
          </cell>
          <cell r="AK24" t="str">
            <v>令和3年5月31日交付</v>
          </cell>
          <cell r="AM24" t="str">
            <v>3号の20</v>
          </cell>
          <cell r="AN24" t="str">
            <v>有</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v>1</v>
          </cell>
          <cell r="BN24">
            <v>1</v>
          </cell>
          <cell r="BO24">
            <v>1</v>
          </cell>
          <cell r="BP24">
            <v>1</v>
          </cell>
          <cell r="BQ24">
            <v>1</v>
          </cell>
          <cell r="BR24">
            <v>1</v>
          </cell>
          <cell r="BS24">
            <v>1</v>
          </cell>
          <cell r="BT24">
            <v>1</v>
          </cell>
          <cell r="BU24">
            <v>1</v>
          </cell>
          <cell r="BV24">
            <v>1</v>
          </cell>
          <cell r="BW24">
            <v>1</v>
          </cell>
          <cell r="BX24">
            <v>1</v>
          </cell>
          <cell r="CK24">
            <v>0</v>
          </cell>
          <cell r="CL24">
            <v>0</v>
          </cell>
          <cell r="CM24">
            <v>0</v>
          </cell>
          <cell r="CN24">
            <v>0</v>
          </cell>
          <cell r="CO24">
            <v>0</v>
          </cell>
          <cell r="CP24">
            <v>0</v>
          </cell>
          <cell r="CQ24">
            <v>0</v>
          </cell>
          <cell r="CR24">
            <v>0</v>
          </cell>
          <cell r="CS24">
            <v>0</v>
          </cell>
          <cell r="CT24">
            <v>0</v>
          </cell>
          <cell r="CU24">
            <v>0</v>
          </cell>
          <cell r="CV24">
            <v>0</v>
          </cell>
          <cell r="CW24" t="str">
            <v>無</v>
          </cell>
          <cell r="CX24">
            <v>1</v>
          </cell>
          <cell r="CY24" t="str">
            <v>有</v>
          </cell>
          <cell r="CZ24" t="str">
            <v>有</v>
          </cell>
          <cell r="DA24" t="str">
            <v>有</v>
          </cell>
          <cell r="DB24" t="str">
            <v>有</v>
          </cell>
          <cell r="DC24" t="str">
            <v>有</v>
          </cell>
          <cell r="DD24" t="str">
            <v>有</v>
          </cell>
          <cell r="DE24" t="str">
            <v>有</v>
          </cell>
          <cell r="DF24" t="str">
            <v>有</v>
          </cell>
          <cell r="DG24" t="str">
            <v>有</v>
          </cell>
          <cell r="DH24" t="str">
            <v>有</v>
          </cell>
          <cell r="DI24" t="str">
            <v>有</v>
          </cell>
          <cell r="DJ24" t="str">
            <v>有</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有</v>
          </cell>
          <cell r="DX24" t="str">
            <v>有</v>
          </cell>
          <cell r="DY24" t="str">
            <v>有</v>
          </cell>
          <cell r="DZ24" t="str">
            <v>有</v>
          </cell>
          <cell r="EA24" t="str">
            <v>有</v>
          </cell>
          <cell r="EB24" t="str">
            <v>有</v>
          </cell>
          <cell r="EC24" t="str">
            <v>有</v>
          </cell>
          <cell r="ED24" t="str">
            <v>有</v>
          </cell>
          <cell r="EE24" t="str">
            <v>有</v>
          </cell>
          <cell r="EF24" t="str">
            <v>有</v>
          </cell>
          <cell r="EG24" t="str">
            <v>有</v>
          </cell>
          <cell r="EH24" t="str">
            <v>有</v>
          </cell>
          <cell r="EI24" t="str">
            <v>配置</v>
          </cell>
          <cell r="EJ24" t="str">
            <v>配置</v>
          </cell>
          <cell r="EK24" t="str">
            <v>配置</v>
          </cell>
          <cell r="EL24" t="str">
            <v>配置</v>
          </cell>
          <cell r="EM24" t="str">
            <v>配置</v>
          </cell>
          <cell r="EN24" t="str">
            <v>配置</v>
          </cell>
          <cell r="EO24" t="str">
            <v>配置</v>
          </cell>
          <cell r="EP24" t="str">
            <v>配置</v>
          </cell>
          <cell r="EQ24" t="str">
            <v>配置</v>
          </cell>
          <cell r="ER24" t="str">
            <v>配置</v>
          </cell>
          <cell r="ES24" t="str">
            <v>配置</v>
          </cell>
          <cell r="ET24" t="str">
            <v>配置</v>
          </cell>
          <cell r="EU24">
            <v>76960</v>
          </cell>
          <cell r="EV24">
            <v>76960</v>
          </cell>
          <cell r="EW24">
            <v>76960</v>
          </cell>
          <cell r="EX24">
            <v>76960</v>
          </cell>
          <cell r="EY24">
            <v>76960</v>
          </cell>
          <cell r="EZ24">
            <v>76960</v>
          </cell>
          <cell r="FA24">
            <v>76960</v>
          </cell>
          <cell r="FB24">
            <v>76960</v>
          </cell>
          <cell r="FC24">
            <v>76960</v>
          </cell>
          <cell r="FD24">
            <v>76960</v>
          </cell>
          <cell r="FE24">
            <v>76960</v>
          </cell>
          <cell r="FF24">
            <v>76960</v>
          </cell>
        </row>
        <row r="25">
          <cell r="C25">
            <v>21</v>
          </cell>
          <cell r="D25" t="str">
            <v>もみじ保育園</v>
          </cell>
          <cell r="E25" t="str">
            <v>無</v>
          </cell>
          <cell r="F25">
            <v>120</v>
          </cell>
          <cell r="H25">
            <v>70</v>
          </cell>
          <cell r="I25">
            <v>50</v>
          </cell>
          <cell r="O25">
            <v>1189000</v>
          </cell>
          <cell r="P25">
            <v>2627000</v>
          </cell>
          <cell r="Q25">
            <v>2627000</v>
          </cell>
          <cell r="R25">
            <v>1028000</v>
          </cell>
          <cell r="S25">
            <v>0</v>
          </cell>
          <cell r="T25">
            <v>1982000</v>
          </cell>
          <cell r="U25">
            <v>0</v>
          </cell>
          <cell r="V25">
            <v>792000</v>
          </cell>
          <cell r="W25">
            <v>1751000</v>
          </cell>
          <cell r="X25">
            <v>1751000</v>
          </cell>
          <cell r="Y25">
            <v>685000</v>
          </cell>
          <cell r="Z25">
            <v>0</v>
          </cell>
          <cell r="AA25">
            <v>1321000</v>
          </cell>
          <cell r="AB25">
            <v>0</v>
          </cell>
          <cell r="AC25">
            <v>397000</v>
          </cell>
          <cell r="AD25">
            <v>876000</v>
          </cell>
          <cell r="AE25">
            <v>876000</v>
          </cell>
          <cell r="AF25">
            <v>343000</v>
          </cell>
          <cell r="AG25">
            <v>0</v>
          </cell>
          <cell r="AH25">
            <v>661000</v>
          </cell>
          <cell r="AI25">
            <v>0</v>
          </cell>
          <cell r="AJ25" t="str">
            <v>令和3年4月1日</v>
          </cell>
          <cell r="AK25" t="str">
            <v>令和3年5月31日交付</v>
          </cell>
          <cell r="AL25" t="str">
            <v>令和3年10月29日交付</v>
          </cell>
          <cell r="AM25" t="str">
            <v>3号の21</v>
          </cell>
          <cell r="AN25" t="str">
            <v>有</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v>1</v>
          </cell>
          <cell r="BN25">
            <v>1</v>
          </cell>
          <cell r="BO25">
            <v>1</v>
          </cell>
          <cell r="BP25">
            <v>2</v>
          </cell>
          <cell r="BQ25">
            <v>2</v>
          </cell>
          <cell r="BR25">
            <v>2</v>
          </cell>
          <cell r="BS25">
            <v>2</v>
          </cell>
          <cell r="BT25">
            <v>2</v>
          </cell>
          <cell r="BU25">
            <v>2</v>
          </cell>
          <cell r="BV25">
            <v>2</v>
          </cell>
          <cell r="BW25">
            <v>2</v>
          </cell>
          <cell r="BX25">
            <v>2</v>
          </cell>
          <cell r="CK25">
            <v>0</v>
          </cell>
          <cell r="CL25">
            <v>0</v>
          </cell>
          <cell r="CM25">
            <v>0</v>
          </cell>
          <cell r="CN25">
            <v>0</v>
          </cell>
          <cell r="CO25">
            <v>0</v>
          </cell>
          <cell r="CP25">
            <v>0</v>
          </cell>
          <cell r="CQ25">
            <v>0</v>
          </cell>
          <cell r="CR25">
            <v>0</v>
          </cell>
          <cell r="CS25">
            <v>0</v>
          </cell>
          <cell r="CT25">
            <v>0</v>
          </cell>
          <cell r="CU25">
            <v>0</v>
          </cell>
          <cell r="CV25">
            <v>0</v>
          </cell>
          <cell r="CW25" t="str">
            <v>無</v>
          </cell>
          <cell r="CX25">
            <v>1</v>
          </cell>
          <cell r="CY25" t="str">
            <v>有</v>
          </cell>
          <cell r="CZ25" t="str">
            <v>有</v>
          </cell>
          <cell r="DA25" t="str">
            <v>有</v>
          </cell>
          <cell r="DB25" t="str">
            <v>有</v>
          </cell>
          <cell r="DC25" t="str">
            <v>有</v>
          </cell>
          <cell r="DD25" t="str">
            <v>有</v>
          </cell>
          <cell r="DE25" t="str">
            <v>有</v>
          </cell>
          <cell r="DF25" t="str">
            <v>有</v>
          </cell>
          <cell r="DG25" t="str">
            <v>有</v>
          </cell>
          <cell r="DH25" t="str">
            <v>有</v>
          </cell>
          <cell r="DI25" t="str">
            <v>有</v>
          </cell>
          <cell r="DJ25" t="str">
            <v>有</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有</v>
          </cell>
          <cell r="DX25" t="str">
            <v>有</v>
          </cell>
          <cell r="DY25" t="str">
            <v>有</v>
          </cell>
          <cell r="DZ25" t="str">
            <v>有</v>
          </cell>
          <cell r="EA25" t="str">
            <v>有</v>
          </cell>
          <cell r="EB25" t="str">
            <v>有</v>
          </cell>
          <cell r="EC25" t="str">
            <v>有</v>
          </cell>
          <cell r="ED25" t="str">
            <v>有</v>
          </cell>
          <cell r="EE25" t="str">
            <v>有</v>
          </cell>
          <cell r="EF25" t="str">
            <v>有</v>
          </cell>
          <cell r="EG25" t="str">
            <v>有</v>
          </cell>
          <cell r="EH25" t="str">
            <v>有</v>
          </cell>
          <cell r="EI25" t="str">
            <v>配置</v>
          </cell>
          <cell r="EJ25" t="str">
            <v>配置</v>
          </cell>
          <cell r="EK25" t="str">
            <v>配置</v>
          </cell>
          <cell r="EL25" t="str">
            <v>配置</v>
          </cell>
          <cell r="EM25" t="str">
            <v>配置</v>
          </cell>
          <cell r="EN25" t="str">
            <v>配置</v>
          </cell>
          <cell r="EO25" t="str">
            <v>配置</v>
          </cell>
          <cell r="EP25" t="str">
            <v>配置</v>
          </cell>
          <cell r="EQ25" t="str">
            <v>配置</v>
          </cell>
          <cell r="ER25" t="str">
            <v>配置</v>
          </cell>
          <cell r="ES25" t="str">
            <v>配置</v>
          </cell>
          <cell r="ET25" t="str">
            <v>配置</v>
          </cell>
          <cell r="EU25">
            <v>76960</v>
          </cell>
          <cell r="EV25">
            <v>76960</v>
          </cell>
          <cell r="EW25">
            <v>76960</v>
          </cell>
          <cell r="EX25">
            <v>76960</v>
          </cell>
          <cell r="EY25">
            <v>76960</v>
          </cell>
          <cell r="EZ25">
            <v>76960</v>
          </cell>
          <cell r="FA25">
            <v>76960</v>
          </cell>
          <cell r="FB25">
            <v>76960</v>
          </cell>
          <cell r="FC25">
            <v>76960</v>
          </cell>
          <cell r="FD25">
            <v>76960</v>
          </cell>
          <cell r="FE25">
            <v>76960</v>
          </cell>
          <cell r="FF25">
            <v>76960</v>
          </cell>
        </row>
        <row r="26">
          <cell r="C26">
            <v>22</v>
          </cell>
          <cell r="D26" t="str">
            <v>おゆみ野保育園</v>
          </cell>
          <cell r="E26" t="str">
            <v>無</v>
          </cell>
          <cell r="F26">
            <v>90</v>
          </cell>
          <cell r="H26">
            <v>60</v>
          </cell>
          <cell r="I26">
            <v>30</v>
          </cell>
          <cell r="O26">
            <v>1189000</v>
          </cell>
          <cell r="P26">
            <v>2627000</v>
          </cell>
          <cell r="Q26">
            <v>2627000</v>
          </cell>
          <cell r="R26">
            <v>1028000</v>
          </cell>
          <cell r="S26">
            <v>0</v>
          </cell>
          <cell r="T26">
            <v>1982000</v>
          </cell>
          <cell r="U26">
            <v>1982000</v>
          </cell>
          <cell r="V26">
            <v>792000</v>
          </cell>
          <cell r="W26">
            <v>1751000</v>
          </cell>
          <cell r="X26">
            <v>1751000</v>
          </cell>
          <cell r="Y26">
            <v>685000</v>
          </cell>
          <cell r="Z26">
            <v>0</v>
          </cell>
          <cell r="AA26">
            <v>1321000</v>
          </cell>
          <cell r="AB26">
            <v>1321000</v>
          </cell>
          <cell r="AC26">
            <v>397000</v>
          </cell>
          <cell r="AD26">
            <v>876000</v>
          </cell>
          <cell r="AE26">
            <v>876000</v>
          </cell>
          <cell r="AF26">
            <v>343000</v>
          </cell>
          <cell r="AG26">
            <v>0</v>
          </cell>
          <cell r="AH26">
            <v>661000</v>
          </cell>
          <cell r="AI26">
            <v>661000</v>
          </cell>
          <cell r="AJ26" t="str">
            <v>令和3年4月1日</v>
          </cell>
          <cell r="AK26" t="str">
            <v>令和3年5月31日交付</v>
          </cell>
          <cell r="AL26" t="str">
            <v>令和3年10月29日交付</v>
          </cell>
          <cell r="AM26" t="str">
            <v>3号の22</v>
          </cell>
          <cell r="AN26" t="str">
            <v>有</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v>1</v>
          </cell>
          <cell r="BN26">
            <v>1</v>
          </cell>
          <cell r="BO26">
            <v>1</v>
          </cell>
          <cell r="BP26">
            <v>1</v>
          </cell>
          <cell r="BQ26">
            <v>1</v>
          </cell>
          <cell r="BR26">
            <v>1</v>
          </cell>
          <cell r="BS26">
            <v>1</v>
          </cell>
          <cell r="BT26">
            <v>1</v>
          </cell>
          <cell r="BU26">
            <v>1</v>
          </cell>
          <cell r="BV26">
            <v>1</v>
          </cell>
          <cell r="BW26">
            <v>1</v>
          </cell>
          <cell r="BX26">
            <v>1</v>
          </cell>
          <cell r="CK26">
            <v>0</v>
          </cell>
          <cell r="CL26">
            <v>0</v>
          </cell>
          <cell r="CM26">
            <v>0</v>
          </cell>
          <cell r="CN26">
            <v>0</v>
          </cell>
          <cell r="CO26">
            <v>0</v>
          </cell>
          <cell r="CP26">
            <v>0</v>
          </cell>
          <cell r="CQ26">
            <v>0</v>
          </cell>
          <cell r="CR26">
            <v>0</v>
          </cell>
          <cell r="CS26">
            <v>0</v>
          </cell>
          <cell r="CT26">
            <v>0</v>
          </cell>
          <cell r="CU26">
            <v>0</v>
          </cell>
          <cell r="CV26">
            <v>0</v>
          </cell>
          <cell r="CW26" t="str">
            <v>無</v>
          </cell>
          <cell r="CX26">
            <v>0</v>
          </cell>
          <cell r="CY26" t="str">
            <v>有</v>
          </cell>
          <cell r="CZ26" t="str">
            <v>有</v>
          </cell>
          <cell r="DA26" t="str">
            <v>有</v>
          </cell>
          <cell r="DB26" t="str">
            <v>有</v>
          </cell>
          <cell r="DC26" t="str">
            <v>有</v>
          </cell>
          <cell r="DD26" t="str">
            <v>有</v>
          </cell>
          <cell r="DE26" t="str">
            <v>有</v>
          </cell>
          <cell r="DF26" t="str">
            <v>有</v>
          </cell>
          <cell r="DG26" t="str">
            <v>有</v>
          </cell>
          <cell r="DH26" t="str">
            <v>有</v>
          </cell>
          <cell r="DI26" t="str">
            <v>有</v>
          </cell>
          <cell r="DJ26" t="str">
            <v>有</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有</v>
          </cell>
          <cell r="DX26" t="str">
            <v>有</v>
          </cell>
          <cell r="DY26" t="str">
            <v>有</v>
          </cell>
          <cell r="DZ26" t="str">
            <v>有</v>
          </cell>
          <cell r="EA26" t="str">
            <v>有</v>
          </cell>
          <cell r="EB26" t="str">
            <v>有</v>
          </cell>
          <cell r="EC26" t="str">
            <v>有</v>
          </cell>
          <cell r="ED26" t="str">
            <v>有</v>
          </cell>
          <cell r="EE26" t="str">
            <v>有</v>
          </cell>
          <cell r="EF26" t="str">
            <v>有</v>
          </cell>
          <cell r="EG26" t="str">
            <v>有</v>
          </cell>
          <cell r="EH26" t="str">
            <v>有</v>
          </cell>
          <cell r="EI26" t="str">
            <v>配置</v>
          </cell>
          <cell r="EJ26" t="str">
            <v>配置</v>
          </cell>
          <cell r="EK26" t="str">
            <v>配置</v>
          </cell>
          <cell r="EL26" t="str">
            <v>配置</v>
          </cell>
          <cell r="EM26" t="str">
            <v>配置</v>
          </cell>
          <cell r="EN26" t="str">
            <v>配置</v>
          </cell>
          <cell r="EO26" t="str">
            <v>配置</v>
          </cell>
          <cell r="EP26" t="str">
            <v>配置</v>
          </cell>
          <cell r="EQ26" t="str">
            <v>配置</v>
          </cell>
          <cell r="ER26" t="str">
            <v>配置</v>
          </cell>
          <cell r="ES26" t="str">
            <v>配置</v>
          </cell>
          <cell r="ET26" t="str">
            <v>配置</v>
          </cell>
          <cell r="EU26">
            <v>76960</v>
          </cell>
          <cell r="EV26">
            <v>76960</v>
          </cell>
          <cell r="EW26">
            <v>76960</v>
          </cell>
          <cell r="EX26">
            <v>76960</v>
          </cell>
          <cell r="EY26">
            <v>76960</v>
          </cell>
          <cell r="EZ26">
            <v>76960</v>
          </cell>
          <cell r="FA26">
            <v>76960</v>
          </cell>
          <cell r="FB26">
            <v>76960</v>
          </cell>
          <cell r="FC26">
            <v>76960</v>
          </cell>
          <cell r="FD26">
            <v>76960</v>
          </cell>
          <cell r="FE26">
            <v>76960</v>
          </cell>
          <cell r="FF26">
            <v>76960</v>
          </cell>
        </row>
        <row r="27">
          <cell r="C27">
            <v>23</v>
          </cell>
          <cell r="D27" t="str">
            <v>ナーセリー鏡戸</v>
          </cell>
          <cell r="E27" t="str">
            <v>無</v>
          </cell>
          <cell r="F27">
            <v>120</v>
          </cell>
          <cell r="H27">
            <v>80</v>
          </cell>
          <cell r="I27">
            <v>40</v>
          </cell>
          <cell r="O27">
            <v>1189000</v>
          </cell>
          <cell r="P27">
            <v>2627000</v>
          </cell>
          <cell r="Q27">
            <v>2627000</v>
          </cell>
          <cell r="R27">
            <v>1028000</v>
          </cell>
          <cell r="S27">
            <v>0</v>
          </cell>
          <cell r="T27">
            <v>1982000</v>
          </cell>
          <cell r="U27">
            <v>0</v>
          </cell>
          <cell r="V27">
            <v>792000</v>
          </cell>
          <cell r="W27">
            <v>1751000</v>
          </cell>
          <cell r="X27">
            <v>1751000</v>
          </cell>
          <cell r="Y27">
            <v>685000</v>
          </cell>
          <cell r="Z27">
            <v>0</v>
          </cell>
          <cell r="AA27">
            <v>1321000</v>
          </cell>
          <cell r="AB27">
            <v>0</v>
          </cell>
          <cell r="AC27">
            <v>0</v>
          </cell>
          <cell r="AD27">
            <v>0</v>
          </cell>
          <cell r="AE27">
            <v>0</v>
          </cell>
          <cell r="AF27">
            <v>0</v>
          </cell>
          <cell r="AG27">
            <v>0</v>
          </cell>
          <cell r="AH27">
            <v>0</v>
          </cell>
          <cell r="AI27">
            <v>0</v>
          </cell>
          <cell r="AJ27" t="str">
            <v>令和3年4月1日</v>
          </cell>
          <cell r="AK27" t="str">
            <v>令和3年5月31日交付</v>
          </cell>
          <cell r="AM27" t="str">
            <v>3号の23</v>
          </cell>
          <cell r="AN27" t="str">
            <v>有</v>
          </cell>
          <cell r="AO27" t="str">
            <v>一般型</v>
          </cell>
          <cell r="AP27" t="str">
            <v>一般型</v>
          </cell>
          <cell r="AQ27" t="str">
            <v>一般型</v>
          </cell>
          <cell r="AR27" t="str">
            <v>一般型</v>
          </cell>
          <cell r="AS27" t="str">
            <v>一般型</v>
          </cell>
          <cell r="AT27" t="str">
            <v>一般型</v>
          </cell>
          <cell r="AU27" t="str">
            <v>一般型</v>
          </cell>
          <cell r="AV27" t="str">
            <v>一般型</v>
          </cell>
          <cell r="AW27" t="str">
            <v>一般型</v>
          </cell>
          <cell r="AX27" t="str">
            <v>一般型</v>
          </cell>
          <cell r="AY27" t="str">
            <v>一般型</v>
          </cell>
          <cell r="AZ27" t="str">
            <v>一般型</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v>1</v>
          </cell>
          <cell r="BN27">
            <v>1</v>
          </cell>
          <cell r="BO27">
            <v>1</v>
          </cell>
          <cell r="BP27">
            <v>1</v>
          </cell>
          <cell r="BQ27">
            <v>1</v>
          </cell>
          <cell r="BR27">
            <v>1</v>
          </cell>
          <cell r="BS27">
            <v>1</v>
          </cell>
          <cell r="BT27">
            <v>1</v>
          </cell>
          <cell r="BU27">
            <v>1</v>
          </cell>
          <cell r="BV27">
            <v>1</v>
          </cell>
          <cell r="BW27">
            <v>1</v>
          </cell>
          <cell r="BX27">
            <v>1</v>
          </cell>
          <cell r="CK27">
            <v>0</v>
          </cell>
          <cell r="CL27">
            <v>0</v>
          </cell>
          <cell r="CM27">
            <v>0</v>
          </cell>
          <cell r="CN27">
            <v>0</v>
          </cell>
          <cell r="CO27">
            <v>0</v>
          </cell>
          <cell r="CP27">
            <v>0</v>
          </cell>
          <cell r="CQ27">
            <v>0</v>
          </cell>
          <cell r="CR27">
            <v>0</v>
          </cell>
          <cell r="CS27">
            <v>0</v>
          </cell>
          <cell r="CT27">
            <v>0</v>
          </cell>
          <cell r="CU27">
            <v>0</v>
          </cell>
          <cell r="CV27">
            <v>0</v>
          </cell>
          <cell r="CW27" t="str">
            <v>無</v>
          </cell>
          <cell r="CX27">
            <v>0</v>
          </cell>
          <cell r="CY27" t="str">
            <v>有</v>
          </cell>
          <cell r="CZ27" t="str">
            <v>有</v>
          </cell>
          <cell r="DA27" t="str">
            <v>有</v>
          </cell>
          <cell r="DB27" t="str">
            <v>有</v>
          </cell>
          <cell r="DC27" t="str">
            <v>有</v>
          </cell>
          <cell r="DD27" t="str">
            <v>有</v>
          </cell>
          <cell r="DE27" t="str">
            <v>有</v>
          </cell>
          <cell r="DF27" t="str">
            <v>有</v>
          </cell>
          <cell r="DG27" t="str">
            <v>有</v>
          </cell>
          <cell r="DH27" t="str">
            <v>有</v>
          </cell>
          <cell r="DI27" t="str">
            <v>有</v>
          </cell>
          <cell r="DJ27" t="str">
            <v>有</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有</v>
          </cell>
          <cell r="DX27" t="str">
            <v>有</v>
          </cell>
          <cell r="DY27" t="str">
            <v>有</v>
          </cell>
          <cell r="DZ27" t="str">
            <v>有</v>
          </cell>
          <cell r="EA27" t="str">
            <v>有</v>
          </cell>
          <cell r="EB27" t="str">
            <v>有</v>
          </cell>
          <cell r="EC27" t="str">
            <v>有</v>
          </cell>
          <cell r="ED27" t="str">
            <v>有</v>
          </cell>
          <cell r="EE27" t="str">
            <v>有</v>
          </cell>
          <cell r="EF27" t="str">
            <v>有</v>
          </cell>
          <cell r="EG27" t="str">
            <v>有</v>
          </cell>
          <cell r="EH27" t="str">
            <v>有</v>
          </cell>
          <cell r="EI27" t="str">
            <v>配置</v>
          </cell>
          <cell r="EJ27" t="str">
            <v>配置</v>
          </cell>
          <cell r="EK27" t="str">
            <v>配置</v>
          </cell>
          <cell r="EL27" t="str">
            <v>配置</v>
          </cell>
          <cell r="EM27" t="str">
            <v>配置</v>
          </cell>
          <cell r="EN27" t="str">
            <v>配置</v>
          </cell>
          <cell r="EO27" t="str">
            <v>配置</v>
          </cell>
          <cell r="EP27" t="str">
            <v>配置</v>
          </cell>
          <cell r="EQ27" t="str">
            <v>配置</v>
          </cell>
          <cell r="ER27" t="str">
            <v>配置</v>
          </cell>
          <cell r="ES27" t="str">
            <v>配置</v>
          </cell>
          <cell r="ET27" t="str">
            <v>配置</v>
          </cell>
          <cell r="EU27">
            <v>76960</v>
          </cell>
          <cell r="EV27">
            <v>76960</v>
          </cell>
          <cell r="EW27">
            <v>76960</v>
          </cell>
          <cell r="EX27">
            <v>76960</v>
          </cell>
          <cell r="EY27">
            <v>76960</v>
          </cell>
          <cell r="EZ27">
            <v>76960</v>
          </cell>
          <cell r="FA27">
            <v>76960</v>
          </cell>
          <cell r="FB27">
            <v>76960</v>
          </cell>
          <cell r="FC27">
            <v>76960</v>
          </cell>
          <cell r="FD27">
            <v>76960</v>
          </cell>
          <cell r="FE27">
            <v>76960</v>
          </cell>
          <cell r="FF27">
            <v>76960</v>
          </cell>
        </row>
        <row r="28">
          <cell r="C28">
            <v>24</v>
          </cell>
          <cell r="D28" t="str">
            <v>ふたば保育園</v>
          </cell>
          <cell r="E28" t="str">
            <v>無</v>
          </cell>
          <cell r="F28">
            <v>130</v>
          </cell>
          <cell r="H28">
            <v>70</v>
          </cell>
          <cell r="I28">
            <v>60</v>
          </cell>
          <cell r="O28">
            <v>1189000</v>
          </cell>
          <cell r="P28">
            <v>2627000</v>
          </cell>
          <cell r="Q28">
            <v>2627000</v>
          </cell>
          <cell r="R28">
            <v>1631000</v>
          </cell>
          <cell r="S28">
            <v>0</v>
          </cell>
          <cell r="T28">
            <v>3964000</v>
          </cell>
          <cell r="U28">
            <v>1982000</v>
          </cell>
          <cell r="V28">
            <v>792000</v>
          </cell>
          <cell r="W28">
            <v>1751000</v>
          </cell>
          <cell r="X28">
            <v>1751000</v>
          </cell>
          <cell r="Y28">
            <v>1087000</v>
          </cell>
          <cell r="Z28">
            <v>0</v>
          </cell>
          <cell r="AA28">
            <v>2642000</v>
          </cell>
          <cell r="AB28">
            <v>1321000</v>
          </cell>
          <cell r="AC28">
            <v>0</v>
          </cell>
          <cell r="AD28">
            <v>0</v>
          </cell>
          <cell r="AE28">
            <v>0</v>
          </cell>
          <cell r="AF28">
            <v>0</v>
          </cell>
          <cell r="AG28">
            <v>0</v>
          </cell>
          <cell r="AH28">
            <v>0</v>
          </cell>
          <cell r="AI28">
            <v>0</v>
          </cell>
          <cell r="AJ28" t="str">
            <v>令和3年4月1日</v>
          </cell>
          <cell r="AK28" t="str">
            <v>令和3年5月31日交付</v>
          </cell>
          <cell r="AM28" t="str">
            <v>3号の24</v>
          </cell>
          <cell r="AN28" t="str">
            <v>有</v>
          </cell>
          <cell r="AO28" t="str">
            <v>一般型</v>
          </cell>
          <cell r="AP28" t="str">
            <v>一般型</v>
          </cell>
          <cell r="AQ28" t="str">
            <v>一般型</v>
          </cell>
          <cell r="AR28" t="str">
            <v>一般型</v>
          </cell>
          <cell r="AS28" t="str">
            <v>一般型</v>
          </cell>
          <cell r="AT28" t="str">
            <v>一般型</v>
          </cell>
          <cell r="AU28" t="str">
            <v>一般型</v>
          </cell>
          <cell r="AV28" t="str">
            <v>一般型</v>
          </cell>
          <cell r="AW28" t="str">
            <v>一般型</v>
          </cell>
          <cell r="AX28" t="str">
            <v>一般型</v>
          </cell>
          <cell r="AY28" t="str">
            <v>一般型</v>
          </cell>
          <cell r="AZ28" t="str">
            <v>一般型</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v>2</v>
          </cell>
          <cell r="BN28">
            <v>2</v>
          </cell>
          <cell r="BO28">
            <v>2</v>
          </cell>
          <cell r="BP28">
            <v>2</v>
          </cell>
          <cell r="BQ28">
            <v>2</v>
          </cell>
          <cell r="BR28">
            <v>2</v>
          </cell>
          <cell r="BS28">
            <v>2</v>
          </cell>
          <cell r="BT28">
            <v>2</v>
          </cell>
          <cell r="BU28">
            <v>3</v>
          </cell>
          <cell r="BV28">
            <v>3</v>
          </cell>
          <cell r="BW28">
            <v>3</v>
          </cell>
          <cell r="BX28">
            <v>3</v>
          </cell>
          <cell r="CK28">
            <v>0</v>
          </cell>
          <cell r="CL28">
            <v>0</v>
          </cell>
          <cell r="CM28">
            <v>0</v>
          </cell>
          <cell r="CN28">
            <v>0</v>
          </cell>
          <cell r="CO28">
            <v>0</v>
          </cell>
          <cell r="CP28">
            <v>0</v>
          </cell>
          <cell r="CQ28">
            <v>0</v>
          </cell>
          <cell r="CR28">
            <v>0</v>
          </cell>
          <cell r="CS28">
            <v>0</v>
          </cell>
          <cell r="CT28">
            <v>0</v>
          </cell>
          <cell r="CU28">
            <v>0</v>
          </cell>
          <cell r="CV28">
            <v>0</v>
          </cell>
          <cell r="CW28" t="str">
            <v>無</v>
          </cell>
          <cell r="CX28">
            <v>2</v>
          </cell>
          <cell r="CY28" t="str">
            <v>有</v>
          </cell>
          <cell r="CZ28" t="str">
            <v>有</v>
          </cell>
          <cell r="DA28" t="str">
            <v>有</v>
          </cell>
          <cell r="DB28" t="str">
            <v>有</v>
          </cell>
          <cell r="DC28" t="str">
            <v>有</v>
          </cell>
          <cell r="DD28" t="str">
            <v>有</v>
          </cell>
          <cell r="DE28" t="str">
            <v>有</v>
          </cell>
          <cell r="DF28" t="str">
            <v>有</v>
          </cell>
          <cell r="DG28" t="str">
            <v>有</v>
          </cell>
          <cell r="DH28" t="str">
            <v>有</v>
          </cell>
          <cell r="DI28" t="str">
            <v>有</v>
          </cell>
          <cell r="DJ28" t="str">
            <v>有</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有</v>
          </cell>
          <cell r="DX28" t="str">
            <v>有</v>
          </cell>
          <cell r="DY28" t="str">
            <v>有</v>
          </cell>
          <cell r="DZ28" t="str">
            <v>有</v>
          </cell>
          <cell r="EA28" t="str">
            <v>有</v>
          </cell>
          <cell r="EB28" t="str">
            <v>有</v>
          </cell>
          <cell r="EC28" t="str">
            <v>有</v>
          </cell>
          <cell r="ED28" t="str">
            <v>有</v>
          </cell>
          <cell r="EE28" t="str">
            <v>有</v>
          </cell>
          <cell r="EF28" t="str">
            <v>有</v>
          </cell>
          <cell r="EG28" t="str">
            <v>有</v>
          </cell>
          <cell r="EH28" t="str">
            <v>有</v>
          </cell>
          <cell r="EI28" t="str">
            <v>配置</v>
          </cell>
          <cell r="EJ28" t="str">
            <v>配置</v>
          </cell>
          <cell r="EK28" t="str">
            <v>配置</v>
          </cell>
          <cell r="EL28" t="str">
            <v>配置</v>
          </cell>
          <cell r="EM28" t="str">
            <v>配置</v>
          </cell>
          <cell r="EN28" t="str">
            <v>配置</v>
          </cell>
          <cell r="EO28" t="str">
            <v>配置</v>
          </cell>
          <cell r="EP28" t="str">
            <v>配置</v>
          </cell>
          <cell r="EQ28" t="str">
            <v>配置</v>
          </cell>
          <cell r="ER28" t="str">
            <v>配置</v>
          </cell>
          <cell r="ES28" t="str">
            <v>配置</v>
          </cell>
          <cell r="ET28" t="str">
            <v>配置</v>
          </cell>
          <cell r="EU28">
            <v>76960</v>
          </cell>
          <cell r="EV28">
            <v>76960</v>
          </cell>
          <cell r="EW28">
            <v>76960</v>
          </cell>
          <cell r="EX28">
            <v>76960</v>
          </cell>
          <cell r="EY28">
            <v>76960</v>
          </cell>
          <cell r="EZ28">
            <v>76960</v>
          </cell>
          <cell r="FA28">
            <v>76960</v>
          </cell>
          <cell r="FB28">
            <v>76960</v>
          </cell>
          <cell r="FC28">
            <v>76960</v>
          </cell>
          <cell r="FD28">
            <v>76960</v>
          </cell>
          <cell r="FE28">
            <v>76960</v>
          </cell>
          <cell r="FF28">
            <v>76960</v>
          </cell>
        </row>
        <row r="29">
          <cell r="C29">
            <v>25</v>
          </cell>
          <cell r="D29" t="str">
            <v>明和輝保育園</v>
          </cell>
          <cell r="E29" t="str">
            <v>無</v>
          </cell>
          <cell r="F29">
            <v>90</v>
          </cell>
          <cell r="H29">
            <v>50</v>
          </cell>
          <cell r="I29">
            <v>40</v>
          </cell>
          <cell r="O29">
            <v>1189000</v>
          </cell>
          <cell r="P29">
            <v>2627000</v>
          </cell>
          <cell r="Q29">
            <v>2627000</v>
          </cell>
          <cell r="R29">
            <v>1028000</v>
          </cell>
          <cell r="S29">
            <v>0</v>
          </cell>
          <cell r="T29">
            <v>0</v>
          </cell>
          <cell r="U29">
            <v>1982000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t="str">
            <v>令和3年4月1日</v>
          </cell>
          <cell r="AM29" t="str">
            <v>3号の25</v>
          </cell>
          <cell r="AN29" t="str">
            <v>有</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Q29">
            <v>1</v>
          </cell>
          <cell r="BR29">
            <v>1</v>
          </cell>
          <cell r="BS29">
            <v>1</v>
          </cell>
          <cell r="BT29">
            <v>1</v>
          </cell>
          <cell r="BU29">
            <v>1</v>
          </cell>
          <cell r="BV29">
            <v>1</v>
          </cell>
          <cell r="BW29">
            <v>1</v>
          </cell>
          <cell r="BX29">
            <v>1</v>
          </cell>
          <cell r="CO29">
            <v>0</v>
          </cell>
          <cell r="CP29">
            <v>0</v>
          </cell>
          <cell r="CQ29">
            <v>0</v>
          </cell>
          <cell r="CR29">
            <v>0</v>
          </cell>
          <cell r="CS29">
            <v>0</v>
          </cell>
          <cell r="CT29">
            <v>0</v>
          </cell>
          <cell r="CU29">
            <v>0</v>
          </cell>
          <cell r="CV29">
            <v>0</v>
          </cell>
          <cell r="CW29" t="str">
            <v>有</v>
          </cell>
          <cell r="CX29">
            <v>1</v>
          </cell>
          <cell r="CY29" t="str">
            <v>有</v>
          </cell>
          <cell r="CZ29" t="str">
            <v>有</v>
          </cell>
          <cell r="DA29" t="str">
            <v>有</v>
          </cell>
          <cell r="DB29" t="str">
            <v>有</v>
          </cell>
          <cell r="DC29" t="str">
            <v>有</v>
          </cell>
          <cell r="DD29" t="str">
            <v>有</v>
          </cell>
          <cell r="DE29" t="str">
            <v>有</v>
          </cell>
          <cell r="DF29" t="str">
            <v>有</v>
          </cell>
          <cell r="DG29" t="str">
            <v>有</v>
          </cell>
          <cell r="DH29" t="str">
            <v>有</v>
          </cell>
          <cell r="DI29" t="str">
            <v>有</v>
          </cell>
          <cell r="DJ29" t="str">
            <v>有</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有</v>
          </cell>
          <cell r="DX29" t="str">
            <v>有</v>
          </cell>
          <cell r="DY29" t="str">
            <v>有</v>
          </cell>
          <cell r="DZ29" t="str">
            <v>有</v>
          </cell>
          <cell r="EA29" t="str">
            <v>有</v>
          </cell>
          <cell r="EB29" t="str">
            <v>有</v>
          </cell>
          <cell r="EC29" t="str">
            <v>有</v>
          </cell>
          <cell r="ED29" t="str">
            <v>有</v>
          </cell>
          <cell r="EE29" t="str">
            <v>有</v>
          </cell>
          <cell r="EF29" t="str">
            <v>有</v>
          </cell>
          <cell r="EG29" t="str">
            <v>有</v>
          </cell>
          <cell r="EH29" t="str">
            <v>有</v>
          </cell>
          <cell r="EI29" t="str">
            <v>配置</v>
          </cell>
          <cell r="EJ29" t="str">
            <v>配置</v>
          </cell>
          <cell r="EK29" t="str">
            <v>配置</v>
          </cell>
          <cell r="EL29" t="str">
            <v>配置</v>
          </cell>
          <cell r="EM29" t="str">
            <v>配置</v>
          </cell>
          <cell r="EN29" t="str">
            <v>配置</v>
          </cell>
          <cell r="EO29" t="str">
            <v>配置</v>
          </cell>
          <cell r="EP29" t="str">
            <v>配置</v>
          </cell>
          <cell r="EQ29" t="str">
            <v>配置</v>
          </cell>
          <cell r="ER29" t="str">
            <v>配置</v>
          </cell>
          <cell r="ES29" t="str">
            <v>配置</v>
          </cell>
          <cell r="ET29" t="str">
            <v>配置</v>
          </cell>
          <cell r="EU29">
            <v>76960</v>
          </cell>
          <cell r="EV29">
            <v>76960</v>
          </cell>
          <cell r="EW29">
            <v>76960</v>
          </cell>
          <cell r="EX29">
            <v>76960</v>
          </cell>
          <cell r="EY29">
            <v>76960</v>
          </cell>
          <cell r="EZ29">
            <v>76960</v>
          </cell>
          <cell r="FA29">
            <v>76960</v>
          </cell>
          <cell r="FB29">
            <v>76960</v>
          </cell>
          <cell r="FC29">
            <v>76960</v>
          </cell>
          <cell r="FD29">
            <v>76960</v>
          </cell>
          <cell r="FE29">
            <v>76960</v>
          </cell>
          <cell r="FF29">
            <v>76960</v>
          </cell>
        </row>
        <row r="30">
          <cell r="C30">
            <v>26</v>
          </cell>
          <cell r="D30" t="str">
            <v>山王保育園</v>
          </cell>
          <cell r="E30" t="str">
            <v>無</v>
          </cell>
          <cell r="F30">
            <v>45</v>
          </cell>
          <cell r="H30">
            <v>24</v>
          </cell>
          <cell r="I30">
            <v>21</v>
          </cell>
          <cell r="O30">
            <v>1189000</v>
          </cell>
          <cell r="P30">
            <v>2627000</v>
          </cell>
          <cell r="Q30">
            <v>2627000</v>
          </cell>
          <cell r="R30">
            <v>1631000</v>
          </cell>
          <cell r="S30">
            <v>0</v>
          </cell>
          <cell r="T30">
            <v>1982000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t="str">
            <v>令和3年4月1日</v>
          </cell>
          <cell r="AM30" t="str">
            <v>3号の26</v>
          </cell>
          <cell r="AN30" t="str">
            <v>有</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v>1</v>
          </cell>
          <cell r="BN30">
            <v>1</v>
          </cell>
          <cell r="BO30">
            <v>1</v>
          </cell>
          <cell r="BP30">
            <v>1</v>
          </cell>
          <cell r="BQ30">
            <v>1</v>
          </cell>
          <cell r="BR30">
            <v>1</v>
          </cell>
          <cell r="BS30">
            <v>1</v>
          </cell>
          <cell r="BT30">
            <v>1</v>
          </cell>
          <cell r="BU30">
            <v>1</v>
          </cell>
          <cell r="BV30">
            <v>1</v>
          </cell>
          <cell r="BW30">
            <v>1</v>
          </cell>
          <cell r="BX30">
            <v>1</v>
          </cell>
          <cell r="CK30">
            <v>0</v>
          </cell>
          <cell r="CL30">
            <v>0</v>
          </cell>
          <cell r="CM30">
            <v>0</v>
          </cell>
          <cell r="CN30">
            <v>0</v>
          </cell>
          <cell r="CO30">
            <v>0</v>
          </cell>
          <cell r="CP30">
            <v>0</v>
          </cell>
          <cell r="CQ30">
            <v>0</v>
          </cell>
          <cell r="CR30">
            <v>0</v>
          </cell>
          <cell r="CS30">
            <v>0</v>
          </cell>
          <cell r="CT30">
            <v>0</v>
          </cell>
          <cell r="CU30">
            <v>0</v>
          </cell>
          <cell r="CV30">
            <v>0</v>
          </cell>
          <cell r="CW30" t="str">
            <v>無</v>
          </cell>
          <cell r="CX30">
            <v>0</v>
          </cell>
          <cell r="CY30" t="str">
            <v>有</v>
          </cell>
          <cell r="CZ30" t="str">
            <v>有</v>
          </cell>
          <cell r="DA30" t="str">
            <v>有</v>
          </cell>
          <cell r="DB30" t="str">
            <v>有</v>
          </cell>
          <cell r="DC30" t="str">
            <v>有</v>
          </cell>
          <cell r="DD30" t="str">
            <v>有</v>
          </cell>
          <cell r="DE30" t="str">
            <v>有</v>
          </cell>
          <cell r="DF30" t="str">
            <v>有</v>
          </cell>
          <cell r="DG30" t="str">
            <v>有</v>
          </cell>
          <cell r="DH30" t="str">
            <v>有</v>
          </cell>
          <cell r="DI30" t="str">
            <v>有</v>
          </cell>
          <cell r="DJ30" t="str">
            <v>有</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有</v>
          </cell>
          <cell r="DX30" t="str">
            <v>有</v>
          </cell>
          <cell r="DY30" t="str">
            <v>有</v>
          </cell>
          <cell r="DZ30" t="str">
            <v>有</v>
          </cell>
          <cell r="EA30" t="str">
            <v>有</v>
          </cell>
          <cell r="EB30" t="str">
            <v>有</v>
          </cell>
          <cell r="EC30" t="str">
            <v>有</v>
          </cell>
          <cell r="ED30" t="str">
            <v>有</v>
          </cell>
          <cell r="EE30" t="str">
            <v>有</v>
          </cell>
          <cell r="EF30" t="str">
            <v>有</v>
          </cell>
          <cell r="EG30" t="str">
            <v>有</v>
          </cell>
          <cell r="EH30" t="str">
            <v>有</v>
          </cell>
          <cell r="EI30" t="str">
            <v>兼務</v>
          </cell>
          <cell r="EJ30" t="str">
            <v>兼務</v>
          </cell>
          <cell r="EK30" t="str">
            <v>兼務</v>
          </cell>
          <cell r="EL30" t="str">
            <v>兼務</v>
          </cell>
          <cell r="EM30" t="str">
            <v>兼務</v>
          </cell>
          <cell r="EN30" t="str">
            <v>兼務</v>
          </cell>
          <cell r="EO30" t="str">
            <v>兼務</v>
          </cell>
          <cell r="EP30" t="str">
            <v>兼務</v>
          </cell>
          <cell r="EQ30" t="str">
            <v>兼務</v>
          </cell>
          <cell r="ER30" t="str">
            <v>兼務</v>
          </cell>
          <cell r="ES30" t="str">
            <v>兼務</v>
          </cell>
          <cell r="ET30" t="str">
            <v>兼務</v>
          </cell>
          <cell r="EU30" t="str">
            <v/>
          </cell>
          <cell r="EV30" t="str">
            <v/>
          </cell>
          <cell r="EW30" t="str">
            <v/>
          </cell>
          <cell r="EX30" t="str">
            <v/>
          </cell>
          <cell r="EY30" t="str">
            <v/>
          </cell>
          <cell r="EZ30" t="str">
            <v/>
          </cell>
          <cell r="FA30" t="str">
            <v/>
          </cell>
          <cell r="FB30" t="str">
            <v/>
          </cell>
          <cell r="FC30" t="str">
            <v/>
          </cell>
          <cell r="FD30" t="str">
            <v/>
          </cell>
          <cell r="FE30" t="str">
            <v/>
          </cell>
          <cell r="FF30" t="str">
            <v/>
          </cell>
        </row>
        <row r="31">
          <cell r="C31">
            <v>27</v>
          </cell>
          <cell r="D31" t="str">
            <v>チャイルド・ガーデン保育園</v>
          </cell>
          <cell r="E31" t="str">
            <v>無</v>
          </cell>
          <cell r="F31">
            <v>110</v>
          </cell>
          <cell r="H31">
            <v>65</v>
          </cell>
          <cell r="I31">
            <v>45</v>
          </cell>
          <cell r="O31">
            <v>1189000</v>
          </cell>
          <cell r="P31">
            <v>2627000</v>
          </cell>
          <cell r="Q31">
            <v>2627000</v>
          </cell>
          <cell r="R31">
            <v>1631000</v>
          </cell>
          <cell r="S31">
            <v>0</v>
          </cell>
          <cell r="T31">
            <v>0</v>
          </cell>
          <cell r="U31">
            <v>1982000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t="str">
            <v>令和3年4月1日</v>
          </cell>
          <cell r="AM31" t="str">
            <v>3号の27</v>
          </cell>
          <cell r="AN31" t="str">
            <v>有</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v>1</v>
          </cell>
          <cell r="BN31">
            <v>1</v>
          </cell>
          <cell r="BO31">
            <v>1</v>
          </cell>
          <cell r="BP31">
            <v>1</v>
          </cell>
          <cell r="BQ31">
            <v>1</v>
          </cell>
          <cell r="BR31">
            <v>1</v>
          </cell>
          <cell r="BS31">
            <v>1</v>
          </cell>
          <cell r="BT31">
            <v>2</v>
          </cell>
          <cell r="BU31">
            <v>2</v>
          </cell>
          <cell r="BV31">
            <v>2</v>
          </cell>
          <cell r="BW31">
            <v>2</v>
          </cell>
          <cell r="BX31">
            <v>2</v>
          </cell>
          <cell r="CK31">
            <v>0</v>
          </cell>
          <cell r="CL31">
            <v>0</v>
          </cell>
          <cell r="CM31">
            <v>0</v>
          </cell>
          <cell r="CN31">
            <v>0</v>
          </cell>
          <cell r="CO31">
            <v>0</v>
          </cell>
          <cell r="CP31">
            <v>0</v>
          </cell>
          <cell r="CQ31">
            <v>0</v>
          </cell>
          <cell r="CR31">
            <v>0</v>
          </cell>
          <cell r="CS31">
            <v>0</v>
          </cell>
          <cell r="CT31">
            <v>0</v>
          </cell>
          <cell r="CU31">
            <v>0</v>
          </cell>
          <cell r="CV31">
            <v>0</v>
          </cell>
          <cell r="CW31" t="str">
            <v>無</v>
          </cell>
          <cell r="CX31">
            <v>0</v>
          </cell>
          <cell r="CY31" t="str">
            <v>無</v>
          </cell>
          <cell r="CZ31" t="str">
            <v>無</v>
          </cell>
          <cell r="DA31" t="str">
            <v>無</v>
          </cell>
          <cell r="DB31" t="str">
            <v>無</v>
          </cell>
          <cell r="DC31" t="str">
            <v>無</v>
          </cell>
          <cell r="DD31" t="str">
            <v>無</v>
          </cell>
          <cell r="DE31" t="str">
            <v>無</v>
          </cell>
          <cell r="DF31" t="str">
            <v>無</v>
          </cell>
          <cell r="DG31" t="str">
            <v>無</v>
          </cell>
          <cell r="DH31" t="str">
            <v>無</v>
          </cell>
          <cell r="DI31" t="str">
            <v>無</v>
          </cell>
          <cell r="DJ31" t="str">
            <v>無</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無</v>
          </cell>
          <cell r="DX31" t="str">
            <v>無</v>
          </cell>
          <cell r="DY31" t="str">
            <v>無</v>
          </cell>
          <cell r="DZ31" t="str">
            <v>無</v>
          </cell>
          <cell r="EA31" t="str">
            <v>無</v>
          </cell>
          <cell r="EB31" t="str">
            <v>無</v>
          </cell>
          <cell r="EC31" t="str">
            <v>無</v>
          </cell>
          <cell r="ED31" t="str">
            <v>無</v>
          </cell>
          <cell r="EE31" t="str">
            <v>無</v>
          </cell>
          <cell r="EF31" t="str">
            <v>無</v>
          </cell>
          <cell r="EG31" t="str">
            <v>無</v>
          </cell>
          <cell r="EH31" t="str">
            <v>無</v>
          </cell>
          <cell r="EU31" t="str">
            <v/>
          </cell>
          <cell r="EV31" t="str">
            <v/>
          </cell>
          <cell r="EW31" t="str">
            <v/>
          </cell>
          <cell r="EX31" t="str">
            <v/>
          </cell>
          <cell r="EY31" t="str">
            <v/>
          </cell>
          <cell r="EZ31" t="str">
            <v/>
          </cell>
          <cell r="FA31" t="str">
            <v/>
          </cell>
          <cell r="FB31" t="str">
            <v/>
          </cell>
          <cell r="FC31" t="str">
            <v/>
          </cell>
          <cell r="FD31" t="str">
            <v/>
          </cell>
          <cell r="FE31" t="str">
            <v/>
          </cell>
          <cell r="FF31" t="str">
            <v/>
          </cell>
        </row>
        <row r="32">
          <cell r="C32">
            <v>28</v>
          </cell>
          <cell r="D32" t="str">
            <v>グレース保育園</v>
          </cell>
          <cell r="E32" t="str">
            <v>無</v>
          </cell>
          <cell r="F32">
            <v>120</v>
          </cell>
          <cell r="H32">
            <v>70</v>
          </cell>
          <cell r="I32">
            <v>50</v>
          </cell>
          <cell r="O32">
            <v>1189000</v>
          </cell>
          <cell r="P32">
            <v>2627000</v>
          </cell>
          <cell r="Q32">
            <v>2627000</v>
          </cell>
          <cell r="R32">
            <v>1631000</v>
          </cell>
          <cell r="S32">
            <v>0</v>
          </cell>
          <cell r="T32">
            <v>1982000</v>
          </cell>
          <cell r="U32">
            <v>0</v>
          </cell>
          <cell r="V32">
            <v>792000</v>
          </cell>
          <cell r="W32">
            <v>1751000</v>
          </cell>
          <cell r="X32">
            <v>1751000</v>
          </cell>
          <cell r="Y32">
            <v>1087000</v>
          </cell>
          <cell r="Z32">
            <v>0</v>
          </cell>
          <cell r="AA32">
            <v>1321000</v>
          </cell>
          <cell r="AB32">
            <v>0</v>
          </cell>
          <cell r="AC32">
            <v>0</v>
          </cell>
          <cell r="AD32">
            <v>0</v>
          </cell>
          <cell r="AE32">
            <v>0</v>
          </cell>
          <cell r="AF32">
            <v>0</v>
          </cell>
          <cell r="AG32">
            <v>0</v>
          </cell>
          <cell r="AH32">
            <v>0</v>
          </cell>
          <cell r="AI32">
            <v>0</v>
          </cell>
          <cell r="AJ32" t="str">
            <v>令和3年4月1日</v>
          </cell>
          <cell r="AK32" t="str">
            <v>令和3年5月31日交付</v>
          </cell>
          <cell r="AM32" t="str">
            <v>3号の28</v>
          </cell>
          <cell r="AN32" t="str">
            <v>有</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v>2</v>
          </cell>
          <cell r="BN32">
            <v>2</v>
          </cell>
          <cell r="BO32">
            <v>2</v>
          </cell>
          <cell r="BP32">
            <v>2</v>
          </cell>
          <cell r="BQ32">
            <v>2</v>
          </cell>
          <cell r="BR32">
            <v>2</v>
          </cell>
          <cell r="BS32">
            <v>2</v>
          </cell>
          <cell r="BT32">
            <v>2</v>
          </cell>
          <cell r="BU32">
            <v>2</v>
          </cell>
          <cell r="BV32">
            <v>2</v>
          </cell>
          <cell r="BW32">
            <v>2</v>
          </cell>
          <cell r="BX32">
            <v>2</v>
          </cell>
          <cell r="CK32">
            <v>0</v>
          </cell>
          <cell r="CL32">
            <v>0</v>
          </cell>
          <cell r="CM32">
            <v>0</v>
          </cell>
          <cell r="CN32">
            <v>0</v>
          </cell>
          <cell r="CO32">
            <v>0</v>
          </cell>
          <cell r="CP32">
            <v>0</v>
          </cell>
          <cell r="CQ32">
            <v>0</v>
          </cell>
          <cell r="CR32">
            <v>0</v>
          </cell>
          <cell r="CS32">
            <v>0</v>
          </cell>
          <cell r="CT32">
            <v>0</v>
          </cell>
          <cell r="CU32">
            <v>0</v>
          </cell>
          <cell r="CV32">
            <v>0</v>
          </cell>
          <cell r="CW32" t="str">
            <v>無</v>
          </cell>
          <cell r="CX32">
            <v>3</v>
          </cell>
          <cell r="CY32" t="str">
            <v>有</v>
          </cell>
          <cell r="CZ32" t="str">
            <v>有</v>
          </cell>
          <cell r="DA32" t="str">
            <v>有</v>
          </cell>
          <cell r="DB32" t="str">
            <v>有</v>
          </cell>
          <cell r="DC32" t="str">
            <v>有</v>
          </cell>
          <cell r="DD32" t="str">
            <v>有</v>
          </cell>
          <cell r="DE32" t="str">
            <v>有</v>
          </cell>
          <cell r="DF32" t="str">
            <v>有</v>
          </cell>
          <cell r="DG32" t="str">
            <v>有</v>
          </cell>
          <cell r="DH32" t="str">
            <v>有</v>
          </cell>
          <cell r="DI32" t="str">
            <v>有</v>
          </cell>
          <cell r="DJ32" t="str">
            <v>有</v>
          </cell>
          <cell r="DK32" t="str">
            <v>増員</v>
          </cell>
          <cell r="DL32" t="str">
            <v>増員</v>
          </cell>
          <cell r="DM32" t="str">
            <v>増員</v>
          </cell>
          <cell r="DN32" t="str">
            <v>増員</v>
          </cell>
          <cell r="DO32" t="str">
            <v>増員</v>
          </cell>
          <cell r="DP32" t="str">
            <v>増員</v>
          </cell>
          <cell r="DQ32" t="str">
            <v>増員</v>
          </cell>
          <cell r="DR32" t="str">
            <v>増員</v>
          </cell>
          <cell r="DS32" t="str">
            <v>増員</v>
          </cell>
          <cell r="DT32" t="str">
            <v>増員</v>
          </cell>
          <cell r="DU32" t="str">
            <v>増員</v>
          </cell>
          <cell r="DV32" t="str">
            <v>増員</v>
          </cell>
          <cell r="DW32" t="str">
            <v>有</v>
          </cell>
          <cell r="DX32" t="str">
            <v>有</v>
          </cell>
          <cell r="DY32" t="str">
            <v>有</v>
          </cell>
          <cell r="DZ32" t="str">
            <v>有</v>
          </cell>
          <cell r="EA32" t="str">
            <v>有</v>
          </cell>
          <cell r="EB32" t="str">
            <v>有</v>
          </cell>
          <cell r="EC32" t="str">
            <v>有</v>
          </cell>
          <cell r="ED32" t="str">
            <v>有</v>
          </cell>
          <cell r="EE32" t="str">
            <v>有</v>
          </cell>
          <cell r="EF32" t="str">
            <v>有</v>
          </cell>
          <cell r="EG32" t="str">
            <v>有</v>
          </cell>
          <cell r="EH32" t="str">
            <v>有</v>
          </cell>
          <cell r="EI32" t="str">
            <v>配置</v>
          </cell>
          <cell r="EJ32" t="str">
            <v>配置</v>
          </cell>
          <cell r="EK32" t="str">
            <v>配置</v>
          </cell>
          <cell r="EL32" t="str">
            <v>配置</v>
          </cell>
          <cell r="EM32" t="str">
            <v>配置</v>
          </cell>
          <cell r="EN32" t="str">
            <v>配置</v>
          </cell>
          <cell r="EO32" t="str">
            <v>配置</v>
          </cell>
          <cell r="EP32" t="str">
            <v>配置</v>
          </cell>
          <cell r="EQ32" t="str">
            <v>配置</v>
          </cell>
          <cell r="ER32" t="str">
            <v>配置</v>
          </cell>
          <cell r="ES32" t="str">
            <v>配置</v>
          </cell>
          <cell r="ET32" t="str">
            <v>配置</v>
          </cell>
          <cell r="EU32">
            <v>76960</v>
          </cell>
          <cell r="EV32">
            <v>76960</v>
          </cell>
          <cell r="EW32">
            <v>76960</v>
          </cell>
          <cell r="EX32">
            <v>76960</v>
          </cell>
          <cell r="EY32">
            <v>76960</v>
          </cell>
          <cell r="EZ32">
            <v>76960</v>
          </cell>
          <cell r="FA32">
            <v>76960</v>
          </cell>
          <cell r="FB32">
            <v>76960</v>
          </cell>
          <cell r="FC32">
            <v>76960</v>
          </cell>
          <cell r="FD32">
            <v>76960</v>
          </cell>
          <cell r="FE32">
            <v>76960</v>
          </cell>
          <cell r="FF32">
            <v>76960</v>
          </cell>
        </row>
        <row r="33">
          <cell r="C33">
            <v>29</v>
          </cell>
          <cell r="D33" t="str">
            <v>みらい保育園</v>
          </cell>
          <cell r="E33" t="str">
            <v>無</v>
          </cell>
          <cell r="F33">
            <v>120</v>
          </cell>
          <cell r="H33">
            <v>70</v>
          </cell>
          <cell r="I33">
            <v>50</v>
          </cell>
          <cell r="O33">
            <v>1189000</v>
          </cell>
          <cell r="P33">
            <v>2627000</v>
          </cell>
          <cell r="Q33">
            <v>2627000</v>
          </cell>
          <cell r="R33">
            <v>1631000</v>
          </cell>
          <cell r="S33">
            <v>0</v>
          </cell>
          <cell r="T33">
            <v>0</v>
          </cell>
          <cell r="U33">
            <v>1982000</v>
          </cell>
          <cell r="V33">
            <v>792000</v>
          </cell>
          <cell r="W33">
            <v>1751000</v>
          </cell>
          <cell r="X33">
            <v>1751000</v>
          </cell>
          <cell r="Y33">
            <v>1087000</v>
          </cell>
          <cell r="Z33">
            <v>0</v>
          </cell>
          <cell r="AA33">
            <v>0</v>
          </cell>
          <cell r="AB33">
            <v>1321000</v>
          </cell>
          <cell r="AC33">
            <v>397000</v>
          </cell>
          <cell r="AD33">
            <v>876000</v>
          </cell>
          <cell r="AE33">
            <v>876000</v>
          </cell>
          <cell r="AF33">
            <v>544000</v>
          </cell>
          <cell r="AG33">
            <v>0</v>
          </cell>
          <cell r="AH33">
            <v>0</v>
          </cell>
          <cell r="AI33">
            <v>661000</v>
          </cell>
          <cell r="AJ33" t="str">
            <v>令和3年4月1日</v>
          </cell>
          <cell r="AK33" t="str">
            <v>令和3年5月31日交付</v>
          </cell>
          <cell r="AL33" t="str">
            <v>令和3年10月29日交付</v>
          </cell>
          <cell r="AM33" t="str">
            <v>3号の29</v>
          </cell>
          <cell r="AN33" t="str">
            <v>有</v>
          </cell>
          <cell r="AO33" t="str">
            <v>一般型</v>
          </cell>
          <cell r="AP33" t="str">
            <v>一般型</v>
          </cell>
          <cell r="AQ33" t="str">
            <v>一般型</v>
          </cell>
          <cell r="AR33" t="str">
            <v>一般型</v>
          </cell>
          <cell r="AS33" t="str">
            <v>一般型</v>
          </cell>
          <cell r="AT33" t="str">
            <v>一般型</v>
          </cell>
          <cell r="AU33" t="str">
            <v>一般型</v>
          </cell>
          <cell r="AV33" t="str">
            <v>一般型</v>
          </cell>
          <cell r="AW33" t="str">
            <v>一般型</v>
          </cell>
          <cell r="AX33" t="str">
            <v>一般型</v>
          </cell>
          <cell r="AY33" t="str">
            <v>一般型</v>
          </cell>
          <cell r="AZ33" t="str">
            <v>一般型</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N33">
            <v>1</v>
          </cell>
          <cell r="BO33">
            <v>1</v>
          </cell>
          <cell r="BP33">
            <v>1</v>
          </cell>
          <cell r="BQ33">
            <v>1</v>
          </cell>
          <cell r="BR33">
            <v>1</v>
          </cell>
          <cell r="BS33">
            <v>1</v>
          </cell>
          <cell r="BT33">
            <v>1</v>
          </cell>
          <cell r="BU33">
            <v>1</v>
          </cell>
          <cell r="BV33">
            <v>1</v>
          </cell>
          <cell r="BW33">
            <v>1</v>
          </cell>
          <cell r="BX33">
            <v>1</v>
          </cell>
          <cell r="CL33">
            <v>0</v>
          </cell>
          <cell r="CM33">
            <v>0</v>
          </cell>
          <cell r="CN33">
            <v>0</v>
          </cell>
          <cell r="CO33">
            <v>0</v>
          </cell>
          <cell r="CP33">
            <v>0</v>
          </cell>
          <cell r="CQ33">
            <v>0</v>
          </cell>
          <cell r="CR33">
            <v>0</v>
          </cell>
          <cell r="CS33">
            <v>0</v>
          </cell>
          <cell r="CT33">
            <v>0</v>
          </cell>
          <cell r="CU33">
            <v>0</v>
          </cell>
          <cell r="CV33">
            <v>0</v>
          </cell>
          <cell r="CW33" t="str">
            <v>無</v>
          </cell>
          <cell r="CX33">
            <v>0</v>
          </cell>
          <cell r="CY33" t="str">
            <v>有</v>
          </cell>
          <cell r="CZ33" t="str">
            <v>有</v>
          </cell>
          <cell r="DA33" t="str">
            <v>有</v>
          </cell>
          <cell r="DB33" t="str">
            <v>有</v>
          </cell>
          <cell r="DC33" t="str">
            <v>有</v>
          </cell>
          <cell r="DD33" t="str">
            <v>有</v>
          </cell>
          <cell r="DE33" t="str">
            <v>有</v>
          </cell>
          <cell r="DF33" t="str">
            <v>有</v>
          </cell>
          <cell r="DG33" t="str">
            <v>有</v>
          </cell>
          <cell r="DH33" t="str">
            <v>有</v>
          </cell>
          <cell r="DI33" t="str">
            <v>有</v>
          </cell>
          <cell r="DJ33" t="str">
            <v>有</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有</v>
          </cell>
          <cell r="DX33" t="str">
            <v>有</v>
          </cell>
          <cell r="DY33" t="str">
            <v>有</v>
          </cell>
          <cell r="DZ33" t="str">
            <v>有</v>
          </cell>
          <cell r="EA33" t="str">
            <v>有</v>
          </cell>
          <cell r="EB33" t="str">
            <v>有</v>
          </cell>
          <cell r="EC33" t="str">
            <v>有</v>
          </cell>
          <cell r="ED33" t="str">
            <v>有</v>
          </cell>
          <cell r="EE33" t="str">
            <v>有</v>
          </cell>
          <cell r="EF33" t="str">
            <v>有</v>
          </cell>
          <cell r="EG33" t="str">
            <v>有</v>
          </cell>
          <cell r="EH33" t="str">
            <v>有</v>
          </cell>
          <cell r="EI33" t="str">
            <v>配置</v>
          </cell>
          <cell r="EJ33" t="str">
            <v>配置</v>
          </cell>
          <cell r="EK33" t="str">
            <v>配置</v>
          </cell>
          <cell r="EL33" t="str">
            <v>配置</v>
          </cell>
          <cell r="EM33" t="str">
            <v>配置</v>
          </cell>
          <cell r="EN33" t="str">
            <v>配置</v>
          </cell>
          <cell r="EO33" t="str">
            <v>配置</v>
          </cell>
          <cell r="EP33" t="str">
            <v>配置</v>
          </cell>
          <cell r="EQ33" t="str">
            <v>配置</v>
          </cell>
          <cell r="ER33" t="str">
            <v>配置</v>
          </cell>
          <cell r="ES33" t="str">
            <v>配置</v>
          </cell>
          <cell r="ET33" t="str">
            <v>配置</v>
          </cell>
          <cell r="EU33">
            <v>76960</v>
          </cell>
          <cell r="EV33">
            <v>76960</v>
          </cell>
          <cell r="EW33">
            <v>76960</v>
          </cell>
          <cell r="EX33">
            <v>76960</v>
          </cell>
          <cell r="EY33">
            <v>76960</v>
          </cell>
          <cell r="EZ33">
            <v>76960</v>
          </cell>
          <cell r="FA33">
            <v>76960</v>
          </cell>
          <cell r="FB33">
            <v>76960</v>
          </cell>
          <cell r="FC33">
            <v>76960</v>
          </cell>
          <cell r="FD33">
            <v>76960</v>
          </cell>
          <cell r="FE33">
            <v>76960</v>
          </cell>
          <cell r="FF33">
            <v>76960</v>
          </cell>
        </row>
        <row r="34">
          <cell r="C34">
            <v>30</v>
          </cell>
          <cell r="D34" t="str">
            <v>ひなたぼっこ保育園</v>
          </cell>
          <cell r="E34" t="str">
            <v>無</v>
          </cell>
          <cell r="F34">
            <v>39</v>
          </cell>
          <cell r="H34">
            <v>21</v>
          </cell>
          <cell r="I34">
            <v>18</v>
          </cell>
          <cell r="O34">
            <v>1189000</v>
          </cell>
          <cell r="P34">
            <v>2627000</v>
          </cell>
          <cell r="Q34">
            <v>2627000</v>
          </cell>
          <cell r="R34">
            <v>1028000</v>
          </cell>
          <cell r="S34">
            <v>0</v>
          </cell>
          <cell r="T34">
            <v>1982000</v>
          </cell>
          <cell r="U34">
            <v>0</v>
          </cell>
          <cell r="V34">
            <v>792000</v>
          </cell>
          <cell r="W34">
            <v>1751000</v>
          </cell>
          <cell r="X34">
            <v>1751000</v>
          </cell>
          <cell r="Y34">
            <v>685000</v>
          </cell>
          <cell r="Z34">
            <v>0</v>
          </cell>
          <cell r="AA34">
            <v>1321000</v>
          </cell>
          <cell r="AB34">
            <v>0</v>
          </cell>
          <cell r="AC34">
            <v>0</v>
          </cell>
          <cell r="AD34">
            <v>0</v>
          </cell>
          <cell r="AE34">
            <v>0</v>
          </cell>
          <cell r="AF34">
            <v>0</v>
          </cell>
          <cell r="AG34">
            <v>0</v>
          </cell>
          <cell r="AH34">
            <v>0</v>
          </cell>
          <cell r="AI34">
            <v>0</v>
          </cell>
          <cell r="AJ34" t="str">
            <v>令和3年4月1日</v>
          </cell>
          <cell r="AK34" t="str">
            <v>令和3年5月31日交付</v>
          </cell>
          <cell r="AM34" t="str">
            <v>3号の30</v>
          </cell>
          <cell r="AN34" t="str">
            <v>有</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v>1</v>
          </cell>
          <cell r="BN34">
            <v>1</v>
          </cell>
          <cell r="BO34">
            <v>1</v>
          </cell>
          <cell r="BP34">
            <v>1</v>
          </cell>
          <cell r="BQ34">
            <v>1</v>
          </cell>
          <cell r="BR34">
            <v>1</v>
          </cell>
          <cell r="BS34">
            <v>1</v>
          </cell>
          <cell r="BT34">
            <v>1</v>
          </cell>
          <cell r="BU34">
            <v>1</v>
          </cell>
          <cell r="BV34">
            <v>1</v>
          </cell>
          <cell r="BW34">
            <v>1</v>
          </cell>
          <cell r="BX34">
            <v>1</v>
          </cell>
          <cell r="CK34">
            <v>0</v>
          </cell>
          <cell r="CL34">
            <v>0</v>
          </cell>
          <cell r="CM34">
            <v>0</v>
          </cell>
          <cell r="CN34">
            <v>0</v>
          </cell>
          <cell r="CO34">
            <v>0</v>
          </cell>
          <cell r="CP34">
            <v>0</v>
          </cell>
          <cell r="CQ34">
            <v>0</v>
          </cell>
          <cell r="CR34">
            <v>0</v>
          </cell>
          <cell r="CS34">
            <v>0</v>
          </cell>
          <cell r="CT34">
            <v>0</v>
          </cell>
          <cell r="CU34">
            <v>0</v>
          </cell>
          <cell r="CV34">
            <v>0</v>
          </cell>
          <cell r="CW34" t="str">
            <v>無</v>
          </cell>
          <cell r="CX34">
            <v>0</v>
          </cell>
          <cell r="CY34" t="str">
            <v>有</v>
          </cell>
          <cell r="CZ34" t="str">
            <v>有</v>
          </cell>
          <cell r="DA34" t="str">
            <v>有</v>
          </cell>
          <cell r="DB34" t="str">
            <v>有</v>
          </cell>
          <cell r="DC34" t="str">
            <v>有</v>
          </cell>
          <cell r="DD34" t="str">
            <v>有</v>
          </cell>
          <cell r="DE34" t="str">
            <v>有</v>
          </cell>
          <cell r="DF34" t="str">
            <v>有</v>
          </cell>
          <cell r="DG34" t="str">
            <v>有</v>
          </cell>
          <cell r="DH34" t="str">
            <v>有</v>
          </cell>
          <cell r="DI34" t="str">
            <v>有</v>
          </cell>
          <cell r="DJ34" t="str">
            <v>有</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有</v>
          </cell>
          <cell r="DX34" t="str">
            <v>有</v>
          </cell>
          <cell r="DY34" t="str">
            <v>有</v>
          </cell>
          <cell r="DZ34" t="str">
            <v>有</v>
          </cell>
          <cell r="EA34" t="str">
            <v>有</v>
          </cell>
          <cell r="EB34" t="str">
            <v>有</v>
          </cell>
          <cell r="EC34" t="str">
            <v>有</v>
          </cell>
          <cell r="ED34" t="str">
            <v>有</v>
          </cell>
          <cell r="EE34" t="str">
            <v>有</v>
          </cell>
          <cell r="EF34" t="str">
            <v>有</v>
          </cell>
          <cell r="EG34" t="str">
            <v>有</v>
          </cell>
          <cell r="EH34" t="str">
            <v>有</v>
          </cell>
          <cell r="EI34" t="str">
            <v>配置</v>
          </cell>
          <cell r="EJ34" t="str">
            <v>配置</v>
          </cell>
          <cell r="EK34" t="str">
            <v>配置</v>
          </cell>
          <cell r="EL34" t="str">
            <v>配置</v>
          </cell>
          <cell r="EM34" t="str">
            <v>配置</v>
          </cell>
          <cell r="EN34" t="str">
            <v>配置</v>
          </cell>
          <cell r="EO34" t="str">
            <v>配置</v>
          </cell>
          <cell r="EP34" t="str">
            <v>配置</v>
          </cell>
          <cell r="EQ34" t="str">
            <v>配置</v>
          </cell>
          <cell r="ER34" t="str">
            <v>配置</v>
          </cell>
          <cell r="ES34" t="str">
            <v>配置</v>
          </cell>
          <cell r="ET34" t="str">
            <v>配置</v>
          </cell>
          <cell r="EU34">
            <v>76960</v>
          </cell>
          <cell r="EV34">
            <v>76960</v>
          </cell>
          <cell r="EW34">
            <v>76960</v>
          </cell>
          <cell r="EX34">
            <v>76960</v>
          </cell>
          <cell r="EY34">
            <v>76960</v>
          </cell>
          <cell r="EZ34">
            <v>76960</v>
          </cell>
          <cell r="FA34">
            <v>76960</v>
          </cell>
          <cell r="FB34">
            <v>76960</v>
          </cell>
          <cell r="FC34">
            <v>76960</v>
          </cell>
          <cell r="FD34">
            <v>76960</v>
          </cell>
          <cell r="FE34">
            <v>76960</v>
          </cell>
          <cell r="FF34">
            <v>76960</v>
          </cell>
        </row>
        <row r="35">
          <cell r="C35">
            <v>31</v>
          </cell>
          <cell r="D35" t="str">
            <v>はまかぜ保育園</v>
          </cell>
          <cell r="E35" t="str">
            <v>無</v>
          </cell>
          <cell r="F35">
            <v>40</v>
          </cell>
          <cell r="H35">
            <v>22</v>
          </cell>
          <cell r="I35">
            <v>18</v>
          </cell>
          <cell r="O35">
            <v>1189000</v>
          </cell>
          <cell r="P35">
            <v>2627000</v>
          </cell>
          <cell r="Q35">
            <v>2627000</v>
          </cell>
          <cell r="R35">
            <v>1028000</v>
          </cell>
          <cell r="S35">
            <v>0</v>
          </cell>
          <cell r="T35">
            <v>1982000</v>
          </cell>
          <cell r="U35">
            <v>0</v>
          </cell>
          <cell r="V35">
            <v>792000</v>
          </cell>
          <cell r="W35">
            <v>1751000</v>
          </cell>
          <cell r="X35">
            <v>1751000</v>
          </cell>
          <cell r="Y35">
            <v>685000</v>
          </cell>
          <cell r="Z35">
            <v>0</v>
          </cell>
          <cell r="AA35">
            <v>1321000</v>
          </cell>
          <cell r="AB35">
            <v>0</v>
          </cell>
          <cell r="AC35">
            <v>397000</v>
          </cell>
          <cell r="AD35">
            <v>876000</v>
          </cell>
          <cell r="AE35">
            <v>876000</v>
          </cell>
          <cell r="AF35">
            <v>343000</v>
          </cell>
          <cell r="AG35">
            <v>0</v>
          </cell>
          <cell r="AH35">
            <v>661000</v>
          </cell>
          <cell r="AI35">
            <v>0</v>
          </cell>
          <cell r="AJ35" t="str">
            <v>令和3年4月1日</v>
          </cell>
          <cell r="AK35" t="str">
            <v>令和3年5月31日交付</v>
          </cell>
          <cell r="AL35" t="str">
            <v>令和3年10月29日交付</v>
          </cell>
          <cell r="AM35" t="str">
            <v>3号の31</v>
          </cell>
          <cell r="AN35" t="str">
            <v>有</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v>1</v>
          </cell>
          <cell r="BN35">
            <v>1</v>
          </cell>
          <cell r="BO35">
            <v>1</v>
          </cell>
          <cell r="BP35">
            <v>1</v>
          </cell>
          <cell r="BQ35">
            <v>1</v>
          </cell>
          <cell r="BR35">
            <v>1</v>
          </cell>
          <cell r="BS35">
            <v>1</v>
          </cell>
          <cell r="BT35">
            <v>1</v>
          </cell>
          <cell r="BU35">
            <v>1</v>
          </cell>
          <cell r="BV35">
            <v>1</v>
          </cell>
          <cell r="BW35">
            <v>1</v>
          </cell>
          <cell r="BX35">
            <v>1</v>
          </cell>
          <cell r="CK35">
            <v>0</v>
          </cell>
          <cell r="CL35">
            <v>0</v>
          </cell>
          <cell r="CM35">
            <v>0</v>
          </cell>
          <cell r="CN35">
            <v>0</v>
          </cell>
          <cell r="CO35">
            <v>0</v>
          </cell>
          <cell r="CP35">
            <v>0</v>
          </cell>
          <cell r="CQ35">
            <v>0</v>
          </cell>
          <cell r="CR35">
            <v>0</v>
          </cell>
          <cell r="CS35">
            <v>0</v>
          </cell>
          <cell r="CT35">
            <v>0</v>
          </cell>
          <cell r="CU35">
            <v>0</v>
          </cell>
          <cell r="CV35">
            <v>0</v>
          </cell>
          <cell r="CW35" t="str">
            <v>無</v>
          </cell>
          <cell r="CX35">
            <v>0</v>
          </cell>
          <cell r="CY35" t="str">
            <v>有</v>
          </cell>
          <cell r="CZ35" t="str">
            <v>有</v>
          </cell>
          <cell r="DA35" t="str">
            <v>有</v>
          </cell>
          <cell r="DB35" t="str">
            <v>有</v>
          </cell>
          <cell r="DC35" t="str">
            <v>有</v>
          </cell>
          <cell r="DD35" t="str">
            <v>有</v>
          </cell>
          <cell r="DE35" t="str">
            <v>有</v>
          </cell>
          <cell r="DF35" t="str">
            <v>有</v>
          </cell>
          <cell r="DG35" t="str">
            <v>有</v>
          </cell>
          <cell r="DH35" t="str">
            <v>有</v>
          </cell>
          <cell r="DI35" t="str">
            <v>有</v>
          </cell>
          <cell r="DJ35" t="str">
            <v>有</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有</v>
          </cell>
          <cell r="DX35" t="str">
            <v>有</v>
          </cell>
          <cell r="DY35" t="str">
            <v>有</v>
          </cell>
          <cell r="DZ35" t="str">
            <v>有</v>
          </cell>
          <cell r="EA35" t="str">
            <v>有</v>
          </cell>
          <cell r="EB35" t="str">
            <v>有</v>
          </cell>
          <cell r="EC35" t="str">
            <v>有</v>
          </cell>
          <cell r="ED35" t="str">
            <v>有</v>
          </cell>
          <cell r="EE35" t="str">
            <v>有</v>
          </cell>
          <cell r="EF35" t="str">
            <v>有</v>
          </cell>
          <cell r="EG35" t="str">
            <v>有</v>
          </cell>
          <cell r="EH35" t="str">
            <v>有</v>
          </cell>
          <cell r="EI35" t="str">
            <v>配置</v>
          </cell>
          <cell r="EJ35" t="str">
            <v>配置</v>
          </cell>
          <cell r="EK35" t="str">
            <v>配置</v>
          </cell>
          <cell r="EL35" t="str">
            <v>配置</v>
          </cell>
          <cell r="EM35" t="str">
            <v>配置</v>
          </cell>
          <cell r="EN35" t="str">
            <v>配置</v>
          </cell>
          <cell r="EO35" t="str">
            <v>配置</v>
          </cell>
          <cell r="EP35" t="str">
            <v>配置</v>
          </cell>
          <cell r="EQ35" t="str">
            <v>配置</v>
          </cell>
          <cell r="ER35" t="str">
            <v>配置</v>
          </cell>
          <cell r="ES35" t="str">
            <v>配置</v>
          </cell>
          <cell r="ET35" t="str">
            <v>配置</v>
          </cell>
          <cell r="EU35">
            <v>76960</v>
          </cell>
          <cell r="EV35">
            <v>76960</v>
          </cell>
          <cell r="EW35">
            <v>76960</v>
          </cell>
          <cell r="EX35">
            <v>76960</v>
          </cell>
          <cell r="EY35">
            <v>76960</v>
          </cell>
          <cell r="EZ35">
            <v>76960</v>
          </cell>
          <cell r="FA35">
            <v>76960</v>
          </cell>
          <cell r="FB35">
            <v>76960</v>
          </cell>
          <cell r="FC35">
            <v>76960</v>
          </cell>
          <cell r="FD35">
            <v>76960</v>
          </cell>
          <cell r="FE35">
            <v>76960</v>
          </cell>
          <cell r="FF35">
            <v>76960</v>
          </cell>
        </row>
        <row r="36">
          <cell r="C36">
            <v>32</v>
          </cell>
          <cell r="D36" t="str">
            <v>いなほ保育園</v>
          </cell>
          <cell r="E36" t="str">
            <v>無</v>
          </cell>
          <cell r="F36">
            <v>50</v>
          </cell>
          <cell r="H36">
            <v>27</v>
          </cell>
          <cell r="I36">
            <v>23</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t="str">
            <v>令和3年4月1日</v>
          </cell>
          <cell r="AN36" t="str">
            <v>有</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CW36" t="str">
            <v>無</v>
          </cell>
          <cell r="CX36">
            <v>0</v>
          </cell>
          <cell r="CY36" t="str">
            <v>有</v>
          </cell>
          <cell r="CZ36" t="str">
            <v>有</v>
          </cell>
          <cell r="DA36" t="str">
            <v>有</v>
          </cell>
          <cell r="DB36" t="str">
            <v>有</v>
          </cell>
          <cell r="DC36" t="str">
            <v>有</v>
          </cell>
          <cell r="DD36" t="str">
            <v>有</v>
          </cell>
          <cell r="DE36" t="str">
            <v>有</v>
          </cell>
          <cell r="DF36" t="str">
            <v>有</v>
          </cell>
          <cell r="DG36" t="str">
            <v>有</v>
          </cell>
          <cell r="DH36" t="str">
            <v>有</v>
          </cell>
          <cell r="DI36" t="str">
            <v>有</v>
          </cell>
          <cell r="DJ36" t="str">
            <v>有</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無</v>
          </cell>
          <cell r="DX36" t="str">
            <v>無</v>
          </cell>
          <cell r="DY36" t="str">
            <v>無</v>
          </cell>
          <cell r="DZ36" t="str">
            <v>無</v>
          </cell>
          <cell r="EA36" t="str">
            <v>無</v>
          </cell>
          <cell r="EB36" t="str">
            <v>無</v>
          </cell>
          <cell r="EC36" t="str">
            <v>無</v>
          </cell>
          <cell r="ED36" t="str">
            <v>無</v>
          </cell>
          <cell r="EE36" t="str">
            <v>無</v>
          </cell>
          <cell r="EF36" t="str">
            <v>無</v>
          </cell>
          <cell r="EG36" t="str">
            <v>無</v>
          </cell>
          <cell r="EH36" t="str">
            <v>無</v>
          </cell>
          <cell r="EI36" t="str">
            <v>兼務</v>
          </cell>
          <cell r="EJ36" t="str">
            <v>兼務</v>
          </cell>
          <cell r="EK36" t="str">
            <v>兼務</v>
          </cell>
          <cell r="EL36" t="str">
            <v>兼務</v>
          </cell>
          <cell r="EM36" t="str">
            <v>兼務</v>
          </cell>
          <cell r="EN36" t="str">
            <v>兼務</v>
          </cell>
          <cell r="EO36" t="str">
            <v>兼務</v>
          </cell>
          <cell r="EP36" t="str">
            <v>兼務</v>
          </cell>
          <cell r="EQ36" t="str">
            <v>兼務</v>
          </cell>
          <cell r="ER36" t="str">
            <v>兼務</v>
          </cell>
          <cell r="ES36" t="str">
            <v>兼務</v>
          </cell>
          <cell r="ET36" t="str">
            <v>兼務</v>
          </cell>
          <cell r="EU36" t="str">
            <v/>
          </cell>
          <cell r="EV36" t="str">
            <v/>
          </cell>
          <cell r="EW36" t="str">
            <v/>
          </cell>
          <cell r="EX36" t="str">
            <v/>
          </cell>
          <cell r="EY36" t="str">
            <v/>
          </cell>
          <cell r="EZ36" t="str">
            <v/>
          </cell>
          <cell r="FA36" t="str">
            <v/>
          </cell>
          <cell r="FB36" t="str">
            <v/>
          </cell>
          <cell r="FC36" t="str">
            <v/>
          </cell>
          <cell r="FD36" t="str">
            <v/>
          </cell>
          <cell r="FE36" t="str">
            <v/>
          </cell>
          <cell r="FF36" t="str">
            <v/>
          </cell>
        </row>
        <row r="37">
          <cell r="C37">
            <v>33</v>
          </cell>
          <cell r="D37" t="str">
            <v>キッズマーム保育園</v>
          </cell>
          <cell r="E37" t="str">
            <v>無</v>
          </cell>
          <cell r="F37">
            <v>58</v>
          </cell>
          <cell r="H37">
            <v>33</v>
          </cell>
          <cell r="I37">
            <v>25</v>
          </cell>
          <cell r="O37">
            <v>1189000</v>
          </cell>
          <cell r="P37">
            <v>2627000</v>
          </cell>
          <cell r="Q37">
            <v>2627000</v>
          </cell>
          <cell r="R37">
            <v>1500000</v>
          </cell>
          <cell r="S37">
            <v>0</v>
          </cell>
          <cell r="T37">
            <v>0</v>
          </cell>
          <cell r="U37">
            <v>0</v>
          </cell>
          <cell r="V37">
            <v>792000</v>
          </cell>
          <cell r="W37">
            <v>1751000</v>
          </cell>
          <cell r="X37">
            <v>1751000</v>
          </cell>
          <cell r="Y37">
            <v>1000000</v>
          </cell>
          <cell r="Z37">
            <v>0</v>
          </cell>
          <cell r="AA37">
            <v>0</v>
          </cell>
          <cell r="AB37">
            <v>0</v>
          </cell>
          <cell r="AC37">
            <v>0</v>
          </cell>
          <cell r="AD37">
            <v>0</v>
          </cell>
          <cell r="AE37">
            <v>0</v>
          </cell>
          <cell r="AF37">
            <v>0</v>
          </cell>
          <cell r="AG37">
            <v>0</v>
          </cell>
          <cell r="AH37">
            <v>0</v>
          </cell>
          <cell r="AI37">
            <v>0</v>
          </cell>
          <cell r="AJ37" t="str">
            <v>令和3年4月1日</v>
          </cell>
          <cell r="AK37" t="str">
            <v>令和3年5月31日交付</v>
          </cell>
          <cell r="AM37" t="str">
            <v>3号の32</v>
          </cell>
          <cell r="AN37" t="str">
            <v>有</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CW37" t="str">
            <v>無</v>
          </cell>
          <cell r="CX37">
            <v>1</v>
          </cell>
          <cell r="CY37" t="str">
            <v>有</v>
          </cell>
          <cell r="CZ37" t="str">
            <v>有</v>
          </cell>
          <cell r="DA37" t="str">
            <v>有</v>
          </cell>
          <cell r="DB37" t="str">
            <v>有</v>
          </cell>
          <cell r="DC37" t="str">
            <v>有</v>
          </cell>
          <cell r="DD37" t="str">
            <v>有</v>
          </cell>
          <cell r="DE37" t="str">
            <v>有</v>
          </cell>
          <cell r="DF37" t="str">
            <v>有</v>
          </cell>
          <cell r="DG37" t="str">
            <v>有</v>
          </cell>
          <cell r="DH37" t="str">
            <v>有</v>
          </cell>
          <cell r="DI37" t="str">
            <v>有</v>
          </cell>
          <cell r="DJ37" t="str">
            <v>有</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有</v>
          </cell>
          <cell r="DX37" t="str">
            <v>有</v>
          </cell>
          <cell r="DY37" t="str">
            <v>有</v>
          </cell>
          <cell r="DZ37" t="str">
            <v>有</v>
          </cell>
          <cell r="EA37" t="str">
            <v>有</v>
          </cell>
          <cell r="EB37" t="str">
            <v>有</v>
          </cell>
          <cell r="EC37" t="str">
            <v>有</v>
          </cell>
          <cell r="ED37" t="str">
            <v>有</v>
          </cell>
          <cell r="EE37" t="str">
            <v>有</v>
          </cell>
          <cell r="EF37" t="str">
            <v>有</v>
          </cell>
          <cell r="EG37" t="str">
            <v>有</v>
          </cell>
          <cell r="EH37" t="str">
            <v>有</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row>
        <row r="38">
          <cell r="C38">
            <v>34</v>
          </cell>
          <cell r="D38" t="str">
            <v>アスク海浜幕張保育園</v>
          </cell>
          <cell r="E38" t="str">
            <v>無</v>
          </cell>
          <cell r="F38">
            <v>54</v>
          </cell>
          <cell r="H38">
            <v>31</v>
          </cell>
          <cell r="I38">
            <v>23</v>
          </cell>
          <cell r="O38">
            <v>1189000</v>
          </cell>
          <cell r="P38">
            <v>2627000</v>
          </cell>
          <cell r="Q38">
            <v>2627000</v>
          </cell>
          <cell r="R38">
            <v>1028000</v>
          </cell>
          <cell r="S38">
            <v>0</v>
          </cell>
          <cell r="T38">
            <v>1982000</v>
          </cell>
          <cell r="U38">
            <v>0</v>
          </cell>
          <cell r="V38">
            <v>0</v>
          </cell>
          <cell r="W38">
            <v>0</v>
          </cell>
          <cell r="X38">
            <v>0</v>
          </cell>
          <cell r="Y38">
            <v>0</v>
          </cell>
          <cell r="Z38">
            <v>0</v>
          </cell>
          <cell r="AA38">
            <v>0</v>
          </cell>
          <cell r="AB38">
            <v>0</v>
          </cell>
          <cell r="AC38">
            <v>1189000</v>
          </cell>
          <cell r="AD38">
            <v>2627000</v>
          </cell>
          <cell r="AE38">
            <v>2627000</v>
          </cell>
          <cell r="AF38">
            <v>1028000</v>
          </cell>
          <cell r="AG38">
            <v>0</v>
          </cell>
          <cell r="AH38">
            <v>1982000</v>
          </cell>
          <cell r="AI38">
            <v>0</v>
          </cell>
          <cell r="AJ38" t="str">
            <v>令和3年4月1日</v>
          </cell>
          <cell r="AL38" t="str">
            <v>令和3年10月29日交付</v>
          </cell>
          <cell r="AM38" t="str">
            <v>3号の33</v>
          </cell>
          <cell r="AN38" t="str">
            <v>有</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v>2</v>
          </cell>
          <cell r="BN38">
            <v>2</v>
          </cell>
          <cell r="BO38">
            <v>2</v>
          </cell>
          <cell r="BP38">
            <v>2</v>
          </cell>
          <cell r="BQ38">
            <v>2</v>
          </cell>
          <cell r="BR38">
            <v>2</v>
          </cell>
          <cell r="BS38">
            <v>2</v>
          </cell>
          <cell r="BT38">
            <v>2</v>
          </cell>
          <cell r="BU38">
            <v>2</v>
          </cell>
          <cell r="BV38">
            <v>2</v>
          </cell>
          <cell r="BW38">
            <v>2</v>
          </cell>
          <cell r="BX38">
            <v>2</v>
          </cell>
          <cell r="CK38">
            <v>0</v>
          </cell>
          <cell r="CL38">
            <v>0</v>
          </cell>
          <cell r="CM38">
            <v>0</v>
          </cell>
          <cell r="CN38">
            <v>0</v>
          </cell>
          <cell r="CO38">
            <v>0</v>
          </cell>
          <cell r="CP38">
            <v>0</v>
          </cell>
          <cell r="CQ38">
            <v>0</v>
          </cell>
          <cell r="CR38">
            <v>0</v>
          </cell>
          <cell r="CS38">
            <v>0</v>
          </cell>
          <cell r="CT38">
            <v>0</v>
          </cell>
          <cell r="CU38">
            <v>0</v>
          </cell>
          <cell r="CV38">
            <v>0</v>
          </cell>
          <cell r="CW38" t="str">
            <v>無</v>
          </cell>
          <cell r="CX38">
            <v>0</v>
          </cell>
          <cell r="CY38" t="str">
            <v>有</v>
          </cell>
          <cell r="CZ38" t="str">
            <v>有</v>
          </cell>
          <cell r="DA38" t="str">
            <v>有</v>
          </cell>
          <cell r="DB38" t="str">
            <v>有</v>
          </cell>
          <cell r="DC38" t="str">
            <v>有</v>
          </cell>
          <cell r="DD38" t="str">
            <v>有</v>
          </cell>
          <cell r="DE38" t="str">
            <v>有</v>
          </cell>
          <cell r="DF38" t="str">
            <v>有</v>
          </cell>
          <cell r="DG38" t="str">
            <v>有</v>
          </cell>
          <cell r="DH38" t="str">
            <v>有</v>
          </cell>
          <cell r="DI38" t="str">
            <v>有</v>
          </cell>
          <cell r="DJ38" t="str">
            <v>有</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有</v>
          </cell>
          <cell r="DX38" t="str">
            <v>有</v>
          </cell>
          <cell r="DY38" t="str">
            <v>有</v>
          </cell>
          <cell r="DZ38" t="str">
            <v>有</v>
          </cell>
          <cell r="EA38" t="str">
            <v>有</v>
          </cell>
          <cell r="EB38" t="str">
            <v>有</v>
          </cell>
          <cell r="EC38" t="str">
            <v>有</v>
          </cell>
          <cell r="ED38" t="str">
            <v>有</v>
          </cell>
          <cell r="EE38" t="str">
            <v>有</v>
          </cell>
          <cell r="EF38" t="str">
            <v>有</v>
          </cell>
          <cell r="EG38" t="str">
            <v>有</v>
          </cell>
          <cell r="EH38" t="str">
            <v>有</v>
          </cell>
          <cell r="EI38" t="str">
            <v>兼務</v>
          </cell>
          <cell r="EJ38" t="str">
            <v>兼務</v>
          </cell>
          <cell r="EK38" t="str">
            <v>兼務</v>
          </cell>
          <cell r="EL38" t="str">
            <v>兼務</v>
          </cell>
          <cell r="EM38" t="str">
            <v>兼務</v>
          </cell>
          <cell r="EN38" t="str">
            <v>兼務</v>
          </cell>
          <cell r="EO38" t="str">
            <v>兼務</v>
          </cell>
          <cell r="EP38" t="str">
            <v>兼務</v>
          </cell>
          <cell r="EQ38" t="str">
            <v>兼務</v>
          </cell>
          <cell r="ER38" t="str">
            <v>兼務</v>
          </cell>
          <cell r="ES38" t="str">
            <v>兼務</v>
          </cell>
          <cell r="ET38" t="str">
            <v>兼務</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row>
        <row r="39">
          <cell r="C39">
            <v>35</v>
          </cell>
          <cell r="D39" t="str">
            <v>明徳浜野駅保育園</v>
          </cell>
          <cell r="E39" t="str">
            <v>無</v>
          </cell>
          <cell r="F39">
            <v>36</v>
          </cell>
          <cell r="H39">
            <v>18</v>
          </cell>
          <cell r="I39">
            <v>18</v>
          </cell>
          <cell r="O39">
            <v>1189000</v>
          </cell>
          <cell r="P39">
            <v>2627000</v>
          </cell>
          <cell r="Q39">
            <v>2627000</v>
          </cell>
          <cell r="R39">
            <v>1028000</v>
          </cell>
          <cell r="S39">
            <v>0</v>
          </cell>
          <cell r="T39">
            <v>0</v>
          </cell>
          <cell r="U39">
            <v>0</v>
          </cell>
          <cell r="V39">
            <v>792000</v>
          </cell>
          <cell r="W39">
            <v>1751000</v>
          </cell>
          <cell r="X39">
            <v>1751000</v>
          </cell>
          <cell r="Y39">
            <v>685000</v>
          </cell>
          <cell r="Z39">
            <v>0</v>
          </cell>
          <cell r="AA39">
            <v>0</v>
          </cell>
          <cell r="AB39">
            <v>0</v>
          </cell>
          <cell r="AC39">
            <v>397000</v>
          </cell>
          <cell r="AD39">
            <v>876000</v>
          </cell>
          <cell r="AE39">
            <v>876000</v>
          </cell>
          <cell r="AF39">
            <v>343000</v>
          </cell>
          <cell r="AG39">
            <v>0</v>
          </cell>
          <cell r="AH39">
            <v>0</v>
          </cell>
          <cell r="AI39">
            <v>0</v>
          </cell>
          <cell r="AJ39" t="str">
            <v>令和3年4月1日</v>
          </cell>
          <cell r="AK39" t="str">
            <v>令和3年5月31日交付</v>
          </cell>
          <cell r="AL39" t="str">
            <v>令和3年10月29日交付</v>
          </cell>
          <cell r="AM39" t="str">
            <v>3号の34</v>
          </cell>
          <cell r="AN39" t="str">
            <v>有</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CW39" t="str">
            <v>無</v>
          </cell>
          <cell r="CX39">
            <v>0</v>
          </cell>
          <cell r="CY39" t="str">
            <v>有</v>
          </cell>
          <cell r="CZ39" t="str">
            <v>有</v>
          </cell>
          <cell r="DA39" t="str">
            <v>有</v>
          </cell>
          <cell r="DB39" t="str">
            <v>有</v>
          </cell>
          <cell r="DC39" t="str">
            <v>有</v>
          </cell>
          <cell r="DD39" t="str">
            <v>有</v>
          </cell>
          <cell r="DE39" t="str">
            <v>有</v>
          </cell>
          <cell r="DF39" t="str">
            <v>有</v>
          </cell>
          <cell r="DG39" t="str">
            <v>有</v>
          </cell>
          <cell r="DH39" t="str">
            <v>有</v>
          </cell>
          <cell r="DI39" t="str">
            <v>有</v>
          </cell>
          <cell r="DJ39" t="str">
            <v>有</v>
          </cell>
          <cell r="DK39" t="str">
            <v>賃金改善</v>
          </cell>
          <cell r="DL39" t="str">
            <v>賃金改善</v>
          </cell>
          <cell r="DM39" t="str">
            <v>賃金改善</v>
          </cell>
          <cell r="DN39" t="str">
            <v>賃金改善</v>
          </cell>
          <cell r="DO39" t="str">
            <v>賃金改善</v>
          </cell>
          <cell r="DP39" t="str">
            <v>賃金改善</v>
          </cell>
          <cell r="DQ39" t="str">
            <v>賃金改善</v>
          </cell>
          <cell r="DR39" t="str">
            <v>賃金改善</v>
          </cell>
          <cell r="DS39" t="str">
            <v>賃金改善</v>
          </cell>
          <cell r="DT39" t="str">
            <v>賃金改善</v>
          </cell>
          <cell r="DU39" t="str">
            <v>賃金改善</v>
          </cell>
          <cell r="DV39" t="str">
            <v>賃金改善</v>
          </cell>
          <cell r="DW39" t="str">
            <v>有</v>
          </cell>
          <cell r="DX39" t="str">
            <v>有</v>
          </cell>
          <cell r="DY39" t="str">
            <v>有</v>
          </cell>
          <cell r="DZ39" t="str">
            <v>有</v>
          </cell>
          <cell r="EA39" t="str">
            <v>有</v>
          </cell>
          <cell r="EB39" t="str">
            <v>有</v>
          </cell>
          <cell r="EC39" t="str">
            <v>有</v>
          </cell>
          <cell r="ED39" t="str">
            <v>有</v>
          </cell>
          <cell r="EE39" t="str">
            <v>有</v>
          </cell>
          <cell r="EF39" t="str">
            <v>有</v>
          </cell>
          <cell r="EG39" t="str">
            <v>有</v>
          </cell>
          <cell r="EH39" t="str">
            <v>有</v>
          </cell>
          <cell r="EI39" t="str">
            <v>配置</v>
          </cell>
          <cell r="EJ39" t="str">
            <v>配置</v>
          </cell>
          <cell r="EK39" t="str">
            <v>配置</v>
          </cell>
          <cell r="EL39" t="str">
            <v>配置</v>
          </cell>
          <cell r="EM39" t="str">
            <v>配置</v>
          </cell>
          <cell r="EN39" t="str">
            <v>配置</v>
          </cell>
          <cell r="EO39" t="str">
            <v>配置</v>
          </cell>
          <cell r="EP39" t="str">
            <v>配置</v>
          </cell>
          <cell r="EQ39" t="str">
            <v>配置</v>
          </cell>
          <cell r="ER39" t="str">
            <v>配置</v>
          </cell>
          <cell r="ES39" t="str">
            <v>配置</v>
          </cell>
          <cell r="ET39" t="str">
            <v>配置</v>
          </cell>
          <cell r="EU39">
            <v>76960</v>
          </cell>
          <cell r="EV39">
            <v>76960</v>
          </cell>
          <cell r="EW39">
            <v>76960</v>
          </cell>
          <cell r="EX39">
            <v>76960</v>
          </cell>
          <cell r="EY39">
            <v>76960</v>
          </cell>
          <cell r="EZ39">
            <v>76960</v>
          </cell>
          <cell r="FA39">
            <v>76960</v>
          </cell>
          <cell r="FB39">
            <v>76960</v>
          </cell>
          <cell r="FC39">
            <v>76960</v>
          </cell>
          <cell r="FD39">
            <v>76960</v>
          </cell>
          <cell r="FE39">
            <v>76960</v>
          </cell>
          <cell r="FF39">
            <v>76960</v>
          </cell>
        </row>
        <row r="40">
          <cell r="C40">
            <v>36</v>
          </cell>
          <cell r="D40" t="str">
            <v>幕張いもっこ保育園</v>
          </cell>
          <cell r="E40" t="str">
            <v>有</v>
          </cell>
          <cell r="F40">
            <v>63</v>
          </cell>
          <cell r="H40">
            <v>0</v>
          </cell>
          <cell r="I40">
            <v>63</v>
          </cell>
          <cell r="J40">
            <v>72</v>
          </cell>
          <cell r="L40">
            <v>72</v>
          </cell>
          <cell r="M40">
            <v>0</v>
          </cell>
          <cell r="O40">
            <v>1189000</v>
          </cell>
          <cell r="P40">
            <v>2627000</v>
          </cell>
          <cell r="Q40">
            <v>2627000</v>
          </cell>
          <cell r="R40">
            <v>1631000</v>
          </cell>
          <cell r="S40">
            <v>0</v>
          </cell>
          <cell r="T40">
            <v>1982000</v>
          </cell>
          <cell r="U40">
            <v>1982000</v>
          </cell>
          <cell r="V40">
            <v>0</v>
          </cell>
          <cell r="W40">
            <v>0</v>
          </cell>
          <cell r="X40">
            <v>0</v>
          </cell>
          <cell r="Y40">
            <v>0</v>
          </cell>
          <cell r="Z40">
            <v>0</v>
          </cell>
          <cell r="AA40">
            <v>0</v>
          </cell>
          <cell r="AB40">
            <v>0</v>
          </cell>
          <cell r="AC40">
            <v>1189000</v>
          </cell>
          <cell r="AD40">
            <v>2627000</v>
          </cell>
          <cell r="AE40">
            <v>2627000</v>
          </cell>
          <cell r="AF40">
            <v>1631000</v>
          </cell>
          <cell r="AG40">
            <v>0</v>
          </cell>
          <cell r="AH40">
            <v>1982000</v>
          </cell>
          <cell r="AI40">
            <v>1982000</v>
          </cell>
          <cell r="AJ40" t="str">
            <v>令和3年4月1日</v>
          </cell>
          <cell r="AL40" t="str">
            <v>令和3年10月29日交付</v>
          </cell>
          <cell r="AM40" t="str">
            <v>3号の35</v>
          </cell>
          <cell r="AN40" t="str">
            <v>有</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v>1</v>
          </cell>
          <cell r="BN40">
            <v>1</v>
          </cell>
          <cell r="BO40">
            <v>1</v>
          </cell>
          <cell r="BP40">
            <v>1</v>
          </cell>
          <cell r="BQ40">
            <v>2</v>
          </cell>
          <cell r="BR40">
            <v>2</v>
          </cell>
          <cell r="BS40">
            <v>2</v>
          </cell>
          <cell r="BT40">
            <v>2</v>
          </cell>
          <cell r="BU40">
            <v>3</v>
          </cell>
          <cell r="BV40">
            <v>3</v>
          </cell>
          <cell r="BW40">
            <v>3</v>
          </cell>
          <cell r="BX40">
            <v>3</v>
          </cell>
          <cell r="CK40">
            <v>0</v>
          </cell>
          <cell r="CL40">
            <v>0</v>
          </cell>
          <cell r="CM40">
            <v>0</v>
          </cell>
          <cell r="CN40">
            <v>0</v>
          </cell>
          <cell r="CO40">
            <v>0</v>
          </cell>
          <cell r="CP40">
            <v>0</v>
          </cell>
          <cell r="CQ40">
            <v>0</v>
          </cell>
          <cell r="CR40">
            <v>0</v>
          </cell>
          <cell r="CS40">
            <v>0</v>
          </cell>
          <cell r="CT40">
            <v>0</v>
          </cell>
          <cell r="CU40">
            <v>0</v>
          </cell>
          <cell r="CV40">
            <v>0</v>
          </cell>
          <cell r="CW40" t="str">
            <v>無</v>
          </cell>
          <cell r="CX40">
            <v>5</v>
          </cell>
          <cell r="CY40" t="str">
            <v>有</v>
          </cell>
          <cell r="CZ40" t="str">
            <v>有</v>
          </cell>
          <cell r="DA40" t="str">
            <v>有</v>
          </cell>
          <cell r="DB40" t="str">
            <v>有</v>
          </cell>
          <cell r="DC40" t="str">
            <v>有</v>
          </cell>
          <cell r="DD40" t="str">
            <v>有</v>
          </cell>
          <cell r="DE40" t="str">
            <v>有</v>
          </cell>
          <cell r="DF40" t="str">
            <v>有</v>
          </cell>
          <cell r="DG40" t="str">
            <v>有</v>
          </cell>
          <cell r="DH40" t="str">
            <v>有</v>
          </cell>
          <cell r="DI40" t="str">
            <v>有</v>
          </cell>
          <cell r="DJ40" t="str">
            <v>有</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有</v>
          </cell>
          <cell r="DX40" t="str">
            <v>有</v>
          </cell>
          <cell r="DY40" t="str">
            <v>有</v>
          </cell>
          <cell r="DZ40" t="str">
            <v>有</v>
          </cell>
          <cell r="EA40" t="str">
            <v>有</v>
          </cell>
          <cell r="EB40" t="str">
            <v>有</v>
          </cell>
          <cell r="EC40" t="str">
            <v>有</v>
          </cell>
          <cell r="ED40" t="str">
            <v>有</v>
          </cell>
          <cell r="EE40" t="str">
            <v>有</v>
          </cell>
          <cell r="EF40" t="str">
            <v>有</v>
          </cell>
          <cell r="EG40" t="str">
            <v>有</v>
          </cell>
          <cell r="EH40" t="str">
            <v>有</v>
          </cell>
          <cell r="EI40" t="str">
            <v>嘱託</v>
          </cell>
          <cell r="EJ40" t="str">
            <v>嘱託</v>
          </cell>
          <cell r="EK40" t="str">
            <v>嘱託</v>
          </cell>
          <cell r="EL40" t="str">
            <v>嘱託</v>
          </cell>
          <cell r="EM40" t="str">
            <v>嘱託</v>
          </cell>
          <cell r="EN40" t="str">
            <v>嘱託</v>
          </cell>
          <cell r="EO40" t="str">
            <v>嘱託</v>
          </cell>
          <cell r="EP40" t="str">
            <v>嘱託</v>
          </cell>
          <cell r="EQ40" t="str">
            <v>嘱託</v>
          </cell>
          <cell r="ER40" t="str">
            <v>嘱託</v>
          </cell>
          <cell r="ES40" t="str">
            <v>嘱託</v>
          </cell>
          <cell r="ET40" t="str">
            <v>嘱託</v>
          </cell>
          <cell r="EU40" t="str">
            <v/>
          </cell>
          <cell r="EV40" t="str">
            <v/>
          </cell>
          <cell r="EW40" t="str">
            <v/>
          </cell>
          <cell r="EX40" t="str">
            <v/>
          </cell>
          <cell r="EY40" t="str">
            <v/>
          </cell>
          <cell r="EZ40" t="str">
            <v/>
          </cell>
          <cell r="FA40" t="str">
            <v/>
          </cell>
          <cell r="FB40" t="str">
            <v/>
          </cell>
          <cell r="FC40" t="str">
            <v/>
          </cell>
          <cell r="FD40" t="str">
            <v/>
          </cell>
          <cell r="FE40" t="str">
            <v/>
          </cell>
          <cell r="FF40" t="str">
            <v/>
          </cell>
        </row>
        <row r="41">
          <cell r="C41">
            <v>37</v>
          </cell>
          <cell r="D41" t="str">
            <v>稲毛すきっぷ保育園</v>
          </cell>
          <cell r="E41" t="str">
            <v>無</v>
          </cell>
          <cell r="F41">
            <v>48</v>
          </cell>
          <cell r="H41">
            <v>24</v>
          </cell>
          <cell r="I41">
            <v>24</v>
          </cell>
          <cell r="O41">
            <v>1189000</v>
          </cell>
          <cell r="P41">
            <v>2627000</v>
          </cell>
          <cell r="Q41">
            <v>2627000</v>
          </cell>
          <cell r="R41">
            <v>1631000</v>
          </cell>
          <cell r="S41">
            <v>0</v>
          </cell>
          <cell r="T41">
            <v>0</v>
          </cell>
          <cell r="U41">
            <v>0</v>
          </cell>
          <cell r="V41">
            <v>792000</v>
          </cell>
          <cell r="W41">
            <v>1751000</v>
          </cell>
          <cell r="X41">
            <v>1751000</v>
          </cell>
          <cell r="Y41">
            <v>1087000</v>
          </cell>
          <cell r="Z41">
            <v>0</v>
          </cell>
          <cell r="AA41">
            <v>0</v>
          </cell>
          <cell r="AB41">
            <v>0</v>
          </cell>
          <cell r="AC41">
            <v>0</v>
          </cell>
          <cell r="AD41">
            <v>0</v>
          </cell>
          <cell r="AE41">
            <v>0</v>
          </cell>
          <cell r="AF41">
            <v>0</v>
          </cell>
          <cell r="AG41">
            <v>0</v>
          </cell>
          <cell r="AH41">
            <v>0</v>
          </cell>
          <cell r="AI41">
            <v>0</v>
          </cell>
          <cell r="AJ41" t="str">
            <v>令和3年4月1日</v>
          </cell>
          <cell r="AK41" t="str">
            <v>令和3年5月31日交付</v>
          </cell>
          <cell r="AM41" t="str">
            <v>3号の36</v>
          </cell>
          <cell r="AN41" t="str">
            <v>有</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CW41" t="str">
            <v>無</v>
          </cell>
          <cell r="CX41">
            <v>1</v>
          </cell>
          <cell r="CY41" t="str">
            <v>有</v>
          </cell>
          <cell r="CZ41" t="str">
            <v>有</v>
          </cell>
          <cell r="DA41" t="str">
            <v>有</v>
          </cell>
          <cell r="DB41" t="str">
            <v>有</v>
          </cell>
          <cell r="DC41" t="str">
            <v>有</v>
          </cell>
          <cell r="DD41" t="str">
            <v>有</v>
          </cell>
          <cell r="DE41" t="str">
            <v>有</v>
          </cell>
          <cell r="DF41" t="str">
            <v>有</v>
          </cell>
          <cell r="DG41" t="str">
            <v>有</v>
          </cell>
          <cell r="DH41" t="str">
            <v>有</v>
          </cell>
          <cell r="DI41" t="str">
            <v>有</v>
          </cell>
          <cell r="DJ41" t="str">
            <v>有</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有</v>
          </cell>
          <cell r="DX41" t="str">
            <v>有</v>
          </cell>
          <cell r="DY41" t="str">
            <v>有</v>
          </cell>
          <cell r="DZ41" t="str">
            <v>有</v>
          </cell>
          <cell r="EA41" t="str">
            <v>有</v>
          </cell>
          <cell r="EB41" t="str">
            <v>有</v>
          </cell>
          <cell r="EC41" t="str">
            <v>有</v>
          </cell>
          <cell r="ED41" t="str">
            <v>有</v>
          </cell>
          <cell r="EE41" t="str">
            <v>有</v>
          </cell>
          <cell r="EF41" t="str">
            <v>有</v>
          </cell>
          <cell r="EG41" t="str">
            <v>有</v>
          </cell>
          <cell r="EH41" t="str">
            <v>有</v>
          </cell>
          <cell r="EI41" t="str">
            <v>嘱託</v>
          </cell>
          <cell r="EJ41" t="str">
            <v>嘱託</v>
          </cell>
          <cell r="EK41" t="str">
            <v>嘱託</v>
          </cell>
          <cell r="EL41" t="str">
            <v>嘱託</v>
          </cell>
          <cell r="EM41" t="str">
            <v>嘱託</v>
          </cell>
          <cell r="EN41" t="str">
            <v>嘱託</v>
          </cell>
          <cell r="EO41" t="str">
            <v>嘱託</v>
          </cell>
          <cell r="EP41" t="str">
            <v>嘱託</v>
          </cell>
          <cell r="EQ41" t="str">
            <v>嘱託</v>
          </cell>
          <cell r="ER41" t="str">
            <v>嘱託</v>
          </cell>
          <cell r="ES41" t="str">
            <v>嘱託</v>
          </cell>
          <cell r="ET41" t="str">
            <v>嘱託</v>
          </cell>
          <cell r="EU41" t="str">
            <v/>
          </cell>
          <cell r="EV41" t="str">
            <v/>
          </cell>
          <cell r="EW41" t="str">
            <v/>
          </cell>
          <cell r="EX41" t="str">
            <v/>
          </cell>
          <cell r="EY41" t="str">
            <v/>
          </cell>
          <cell r="EZ41" t="str">
            <v/>
          </cell>
          <cell r="FA41" t="str">
            <v/>
          </cell>
          <cell r="FB41" t="str">
            <v/>
          </cell>
          <cell r="FC41" t="str">
            <v/>
          </cell>
          <cell r="FD41" t="str">
            <v/>
          </cell>
          <cell r="FE41" t="str">
            <v/>
          </cell>
          <cell r="FF41" t="str">
            <v/>
          </cell>
        </row>
        <row r="42">
          <cell r="C42">
            <v>38</v>
          </cell>
          <cell r="D42" t="str">
            <v>千葉聖心保育園</v>
          </cell>
          <cell r="E42" t="str">
            <v>無</v>
          </cell>
          <cell r="F42">
            <v>75</v>
          </cell>
          <cell r="H42">
            <v>45</v>
          </cell>
          <cell r="I42">
            <v>30</v>
          </cell>
          <cell r="O42">
            <v>1189000</v>
          </cell>
          <cell r="P42">
            <v>2627000</v>
          </cell>
          <cell r="Q42">
            <v>2627000</v>
          </cell>
          <cell r="R42">
            <v>1631000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t="str">
            <v>令和3年4月1日</v>
          </cell>
          <cell r="AM42" t="str">
            <v>3号の37</v>
          </cell>
          <cell r="AN42" t="str">
            <v>有</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v>1</v>
          </cell>
          <cell r="BN42">
            <v>1</v>
          </cell>
          <cell r="BO42">
            <v>1</v>
          </cell>
          <cell r="BP42">
            <v>1</v>
          </cell>
          <cell r="BQ42">
            <v>1</v>
          </cell>
          <cell r="BR42">
            <v>1</v>
          </cell>
          <cell r="BS42">
            <v>1</v>
          </cell>
          <cell r="BT42">
            <v>1</v>
          </cell>
          <cell r="BU42">
            <v>1</v>
          </cell>
          <cell r="BV42">
            <v>1</v>
          </cell>
          <cell r="BW42">
            <v>1</v>
          </cell>
          <cell r="BX42">
            <v>1</v>
          </cell>
          <cell r="CK42">
            <v>0</v>
          </cell>
          <cell r="CL42">
            <v>0</v>
          </cell>
          <cell r="CM42">
            <v>0</v>
          </cell>
          <cell r="CN42">
            <v>0</v>
          </cell>
          <cell r="CO42">
            <v>0</v>
          </cell>
          <cell r="CP42">
            <v>0</v>
          </cell>
          <cell r="CQ42">
            <v>0</v>
          </cell>
          <cell r="CR42">
            <v>0</v>
          </cell>
          <cell r="CS42">
            <v>0</v>
          </cell>
          <cell r="CT42">
            <v>0</v>
          </cell>
          <cell r="CU42">
            <v>0</v>
          </cell>
          <cell r="CV42">
            <v>0</v>
          </cell>
          <cell r="CW42" t="str">
            <v>無</v>
          </cell>
          <cell r="CX42">
            <v>0</v>
          </cell>
          <cell r="CY42" t="str">
            <v>有</v>
          </cell>
          <cell r="CZ42" t="str">
            <v>有</v>
          </cell>
          <cell r="DA42" t="str">
            <v>有</v>
          </cell>
          <cell r="DB42" t="str">
            <v>有</v>
          </cell>
          <cell r="DC42" t="str">
            <v>有</v>
          </cell>
          <cell r="DD42" t="str">
            <v>有</v>
          </cell>
          <cell r="DE42" t="str">
            <v>有</v>
          </cell>
          <cell r="DF42" t="str">
            <v>有</v>
          </cell>
          <cell r="DG42" t="str">
            <v>有</v>
          </cell>
          <cell r="DH42" t="str">
            <v>有</v>
          </cell>
          <cell r="DI42" t="str">
            <v>有</v>
          </cell>
          <cell r="DJ42" t="str">
            <v>有</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有</v>
          </cell>
          <cell r="DX42" t="str">
            <v>有</v>
          </cell>
          <cell r="DY42" t="str">
            <v>有</v>
          </cell>
          <cell r="DZ42" t="str">
            <v>有</v>
          </cell>
          <cell r="EA42" t="str">
            <v>有</v>
          </cell>
          <cell r="EB42" t="str">
            <v>有</v>
          </cell>
          <cell r="EC42" t="str">
            <v>有</v>
          </cell>
          <cell r="ED42" t="str">
            <v>有</v>
          </cell>
          <cell r="EE42" t="str">
            <v>有</v>
          </cell>
          <cell r="EF42" t="str">
            <v>有</v>
          </cell>
          <cell r="EG42" t="str">
            <v>有</v>
          </cell>
          <cell r="EH42" t="str">
            <v>有</v>
          </cell>
          <cell r="EI42" t="str">
            <v>嘱託</v>
          </cell>
          <cell r="EJ42" t="str">
            <v>嘱託</v>
          </cell>
          <cell r="EK42" t="str">
            <v>嘱託</v>
          </cell>
          <cell r="EL42" t="str">
            <v>嘱託</v>
          </cell>
          <cell r="EM42" t="str">
            <v>嘱託</v>
          </cell>
          <cell r="EN42" t="str">
            <v>嘱託</v>
          </cell>
          <cell r="EO42" t="str">
            <v>嘱託</v>
          </cell>
          <cell r="EP42" t="str">
            <v>嘱託</v>
          </cell>
          <cell r="EQ42" t="str">
            <v>嘱託</v>
          </cell>
          <cell r="ER42" t="str">
            <v>嘱託</v>
          </cell>
          <cell r="ES42" t="str">
            <v>嘱託</v>
          </cell>
          <cell r="ET42" t="str">
            <v>嘱託</v>
          </cell>
          <cell r="EU42" t="str">
            <v/>
          </cell>
          <cell r="EV42" t="str">
            <v/>
          </cell>
          <cell r="EW42" t="str">
            <v/>
          </cell>
          <cell r="EX42" t="str">
            <v/>
          </cell>
          <cell r="EY42" t="str">
            <v/>
          </cell>
          <cell r="EZ42" t="str">
            <v/>
          </cell>
          <cell r="FA42" t="str">
            <v/>
          </cell>
          <cell r="FB42" t="str">
            <v/>
          </cell>
          <cell r="FC42" t="str">
            <v/>
          </cell>
          <cell r="FD42" t="str">
            <v/>
          </cell>
          <cell r="FE42" t="str">
            <v/>
          </cell>
          <cell r="FF42" t="str">
            <v/>
          </cell>
        </row>
        <row r="43">
          <cell r="C43">
            <v>39</v>
          </cell>
          <cell r="D43" t="str">
            <v>真生保育園</v>
          </cell>
          <cell r="E43" t="str">
            <v>無</v>
          </cell>
          <cell r="F43">
            <v>90</v>
          </cell>
          <cell r="H43">
            <v>50</v>
          </cell>
          <cell r="I43">
            <v>40</v>
          </cell>
          <cell r="O43">
            <v>1189000</v>
          </cell>
          <cell r="P43">
            <v>2627000</v>
          </cell>
          <cell r="Q43">
            <v>2627000</v>
          </cell>
          <cell r="R43">
            <v>1631000</v>
          </cell>
          <cell r="S43">
            <v>0</v>
          </cell>
          <cell r="T43">
            <v>1982000</v>
          </cell>
          <cell r="U43">
            <v>1982000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t="str">
            <v>令和3年4月1日</v>
          </cell>
          <cell r="AM43" t="str">
            <v>3号の38</v>
          </cell>
          <cell r="AN43" t="str">
            <v>有</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S43">
            <v>1</v>
          </cell>
          <cell r="BT43">
            <v>1</v>
          </cell>
          <cell r="BU43">
            <v>1</v>
          </cell>
          <cell r="BV43">
            <v>1</v>
          </cell>
          <cell r="BW43">
            <v>1</v>
          </cell>
          <cell r="BX43">
            <v>1</v>
          </cell>
          <cell r="CQ43">
            <v>0</v>
          </cell>
          <cell r="CR43">
            <v>0</v>
          </cell>
          <cell r="CS43">
            <v>0</v>
          </cell>
          <cell r="CT43">
            <v>0</v>
          </cell>
          <cell r="CU43">
            <v>0</v>
          </cell>
          <cell r="CV43">
            <v>0</v>
          </cell>
          <cell r="CW43" t="str">
            <v>無</v>
          </cell>
          <cell r="CX43">
            <v>0</v>
          </cell>
          <cell r="CY43" t="str">
            <v>有</v>
          </cell>
          <cell r="CZ43" t="str">
            <v>有</v>
          </cell>
          <cell r="DA43" t="str">
            <v>有</v>
          </cell>
          <cell r="DB43" t="str">
            <v>有</v>
          </cell>
          <cell r="DC43" t="str">
            <v>有</v>
          </cell>
          <cell r="DD43" t="str">
            <v>有</v>
          </cell>
          <cell r="DE43" t="str">
            <v>有</v>
          </cell>
          <cell r="DF43" t="str">
            <v>有</v>
          </cell>
          <cell r="DG43" t="str">
            <v>有</v>
          </cell>
          <cell r="DH43" t="str">
            <v>有</v>
          </cell>
          <cell r="DI43" t="str">
            <v>有</v>
          </cell>
          <cell r="DJ43" t="str">
            <v>有</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有</v>
          </cell>
          <cell r="DX43" t="str">
            <v>有</v>
          </cell>
          <cell r="DY43" t="str">
            <v>有</v>
          </cell>
          <cell r="DZ43" t="str">
            <v>有</v>
          </cell>
          <cell r="EA43" t="str">
            <v>有</v>
          </cell>
          <cell r="EB43" t="str">
            <v>有</v>
          </cell>
          <cell r="EC43" t="str">
            <v>有</v>
          </cell>
          <cell r="ED43" t="str">
            <v>有</v>
          </cell>
          <cell r="EE43" t="str">
            <v>有</v>
          </cell>
          <cell r="EF43" t="str">
            <v>有</v>
          </cell>
          <cell r="EG43" t="str">
            <v>有</v>
          </cell>
          <cell r="EH43" t="str">
            <v>有</v>
          </cell>
          <cell r="EI43" t="str">
            <v>配置</v>
          </cell>
          <cell r="EJ43" t="str">
            <v>配置</v>
          </cell>
          <cell r="EK43" t="str">
            <v>配置</v>
          </cell>
          <cell r="EL43" t="str">
            <v>配置</v>
          </cell>
          <cell r="EM43" t="str">
            <v>配置</v>
          </cell>
          <cell r="EN43" t="str">
            <v>配置</v>
          </cell>
          <cell r="EO43" t="str">
            <v>配置</v>
          </cell>
          <cell r="EP43" t="str">
            <v>配置</v>
          </cell>
          <cell r="EQ43" t="str">
            <v>配置</v>
          </cell>
          <cell r="ER43" t="str">
            <v>配置</v>
          </cell>
          <cell r="ES43" t="str">
            <v>配置</v>
          </cell>
          <cell r="ET43" t="str">
            <v>配置</v>
          </cell>
          <cell r="EU43">
            <v>76960</v>
          </cell>
          <cell r="EV43">
            <v>76960</v>
          </cell>
          <cell r="EW43">
            <v>76960</v>
          </cell>
          <cell r="EX43">
            <v>76960</v>
          </cell>
          <cell r="EY43">
            <v>76960</v>
          </cell>
          <cell r="EZ43">
            <v>76960</v>
          </cell>
          <cell r="FA43">
            <v>76960</v>
          </cell>
          <cell r="FB43">
            <v>76960</v>
          </cell>
          <cell r="FC43">
            <v>76960</v>
          </cell>
          <cell r="FD43">
            <v>76960</v>
          </cell>
          <cell r="FE43">
            <v>76960</v>
          </cell>
          <cell r="FF43">
            <v>76960</v>
          </cell>
        </row>
        <row r="44">
          <cell r="C44">
            <v>40</v>
          </cell>
          <cell r="D44" t="str">
            <v>アップルナースリー検見川浜保育園</v>
          </cell>
          <cell r="E44" t="str">
            <v>無</v>
          </cell>
          <cell r="F44">
            <v>30</v>
          </cell>
          <cell r="H44">
            <v>15</v>
          </cell>
          <cell r="I44">
            <v>15</v>
          </cell>
          <cell r="O44">
            <v>1189000</v>
          </cell>
          <cell r="P44">
            <v>0</v>
          </cell>
          <cell r="Q44">
            <v>0</v>
          </cell>
          <cell r="R44">
            <v>1631000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t="str">
            <v>令和3年4月1日</v>
          </cell>
          <cell r="AM44" t="str">
            <v>3号の39</v>
          </cell>
          <cell r="AN44" t="str">
            <v>有</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P44">
            <v>1</v>
          </cell>
          <cell r="BQ44">
            <v>1</v>
          </cell>
          <cell r="BR44">
            <v>1</v>
          </cell>
          <cell r="BS44">
            <v>1</v>
          </cell>
          <cell r="BT44">
            <v>1</v>
          </cell>
          <cell r="BU44">
            <v>1</v>
          </cell>
          <cell r="BV44">
            <v>1</v>
          </cell>
          <cell r="BW44">
            <v>1</v>
          </cell>
          <cell r="BX44">
            <v>1</v>
          </cell>
          <cell r="CN44">
            <v>0</v>
          </cell>
          <cell r="CO44">
            <v>0</v>
          </cell>
          <cell r="CP44">
            <v>0</v>
          </cell>
          <cell r="CQ44">
            <v>0</v>
          </cell>
          <cell r="CR44">
            <v>0</v>
          </cell>
          <cell r="CS44">
            <v>0</v>
          </cell>
          <cell r="CT44">
            <v>0</v>
          </cell>
          <cell r="CU44">
            <v>0</v>
          </cell>
          <cell r="CV44">
            <v>0</v>
          </cell>
          <cell r="CW44" t="str">
            <v>無</v>
          </cell>
          <cell r="CX44">
            <v>3</v>
          </cell>
          <cell r="CY44" t="str">
            <v>有</v>
          </cell>
          <cell r="CZ44" t="str">
            <v>有</v>
          </cell>
          <cell r="DA44" t="str">
            <v>有</v>
          </cell>
          <cell r="DB44" t="str">
            <v>有</v>
          </cell>
          <cell r="DC44" t="str">
            <v>有</v>
          </cell>
          <cell r="DD44" t="str">
            <v>有</v>
          </cell>
          <cell r="DE44" t="str">
            <v>有</v>
          </cell>
          <cell r="DF44" t="str">
            <v>有</v>
          </cell>
          <cell r="DG44" t="str">
            <v>有</v>
          </cell>
          <cell r="DH44" t="str">
            <v>有</v>
          </cell>
          <cell r="DI44" t="str">
            <v>有</v>
          </cell>
          <cell r="DJ44" t="str">
            <v>有</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有</v>
          </cell>
          <cell r="DX44" t="str">
            <v>有</v>
          </cell>
          <cell r="DY44" t="str">
            <v>有</v>
          </cell>
          <cell r="DZ44" t="str">
            <v>有</v>
          </cell>
          <cell r="EA44" t="str">
            <v>有</v>
          </cell>
          <cell r="EB44" t="str">
            <v>有</v>
          </cell>
          <cell r="EC44" t="str">
            <v>有</v>
          </cell>
          <cell r="ED44" t="str">
            <v>有</v>
          </cell>
          <cell r="EE44" t="str">
            <v>有</v>
          </cell>
          <cell r="EF44" t="str">
            <v>有</v>
          </cell>
          <cell r="EG44" t="str">
            <v>有</v>
          </cell>
          <cell r="EH44" t="str">
            <v>有</v>
          </cell>
          <cell r="EI44" t="str">
            <v>配置</v>
          </cell>
          <cell r="EJ44" t="str">
            <v>配置</v>
          </cell>
          <cell r="EK44" t="str">
            <v>配置</v>
          </cell>
          <cell r="EL44" t="str">
            <v>配置</v>
          </cell>
          <cell r="EM44" t="str">
            <v>配置</v>
          </cell>
          <cell r="EN44" t="str">
            <v>配置</v>
          </cell>
          <cell r="EO44" t="str">
            <v>配置</v>
          </cell>
          <cell r="EP44" t="str">
            <v>配置</v>
          </cell>
          <cell r="EQ44" t="str">
            <v>配置</v>
          </cell>
          <cell r="ER44" t="str">
            <v>配置</v>
          </cell>
          <cell r="ES44" t="str">
            <v>配置</v>
          </cell>
          <cell r="ET44" t="str">
            <v>配置</v>
          </cell>
          <cell r="EU44">
            <v>76960</v>
          </cell>
          <cell r="EV44">
            <v>76960</v>
          </cell>
          <cell r="EW44">
            <v>76960</v>
          </cell>
          <cell r="EX44">
            <v>76960</v>
          </cell>
          <cell r="EY44">
            <v>76960</v>
          </cell>
          <cell r="EZ44">
            <v>76960</v>
          </cell>
          <cell r="FA44">
            <v>76960</v>
          </cell>
          <cell r="FB44">
            <v>76960</v>
          </cell>
          <cell r="FC44">
            <v>76960</v>
          </cell>
          <cell r="FD44">
            <v>76960</v>
          </cell>
          <cell r="FE44">
            <v>76960</v>
          </cell>
          <cell r="FF44">
            <v>76960</v>
          </cell>
        </row>
        <row r="45">
          <cell r="C45">
            <v>41</v>
          </cell>
          <cell r="D45" t="str">
            <v>ポピンズナーサリースクール千葉みなと</v>
          </cell>
          <cell r="E45" t="str">
            <v>無</v>
          </cell>
          <cell r="F45">
            <v>30</v>
          </cell>
          <cell r="H45">
            <v>15</v>
          </cell>
          <cell r="I45">
            <v>15</v>
          </cell>
          <cell r="O45">
            <v>1189000</v>
          </cell>
          <cell r="P45">
            <v>2627000</v>
          </cell>
          <cell r="Q45">
            <v>2627000</v>
          </cell>
          <cell r="R45">
            <v>1631000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t="str">
            <v>令和3年4月1日</v>
          </cell>
          <cell r="AM45" t="str">
            <v>3号の40</v>
          </cell>
          <cell r="AN45" t="str">
            <v>有</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CW45" t="str">
            <v>無</v>
          </cell>
          <cell r="CX45">
            <v>0</v>
          </cell>
          <cell r="CY45" t="str">
            <v>有</v>
          </cell>
          <cell r="CZ45" t="str">
            <v>有</v>
          </cell>
          <cell r="DA45" t="str">
            <v>有</v>
          </cell>
          <cell r="DB45" t="str">
            <v>有</v>
          </cell>
          <cell r="DC45" t="str">
            <v>有</v>
          </cell>
          <cell r="DD45" t="str">
            <v>有</v>
          </cell>
          <cell r="DE45" t="str">
            <v>有</v>
          </cell>
          <cell r="DF45" t="str">
            <v>有</v>
          </cell>
          <cell r="DG45" t="str">
            <v>有</v>
          </cell>
          <cell r="DH45" t="str">
            <v>有</v>
          </cell>
          <cell r="DI45" t="str">
            <v>有</v>
          </cell>
          <cell r="DJ45" t="str">
            <v>有</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有</v>
          </cell>
          <cell r="DX45" t="str">
            <v>有</v>
          </cell>
          <cell r="DY45" t="str">
            <v>有</v>
          </cell>
          <cell r="DZ45" t="str">
            <v>有</v>
          </cell>
          <cell r="EA45" t="str">
            <v>有</v>
          </cell>
          <cell r="EB45" t="str">
            <v>有</v>
          </cell>
          <cell r="EC45" t="str">
            <v>有</v>
          </cell>
          <cell r="ED45" t="str">
            <v>有</v>
          </cell>
          <cell r="EE45" t="str">
            <v>有</v>
          </cell>
          <cell r="EF45" t="str">
            <v>有</v>
          </cell>
          <cell r="EG45" t="str">
            <v>有</v>
          </cell>
          <cell r="EH45" t="str">
            <v>有</v>
          </cell>
          <cell r="EI45" t="str">
            <v>配置</v>
          </cell>
          <cell r="EJ45" t="str">
            <v>配置</v>
          </cell>
          <cell r="EK45" t="str">
            <v>配置</v>
          </cell>
          <cell r="EL45" t="str">
            <v>配置</v>
          </cell>
          <cell r="EM45" t="str">
            <v>配置</v>
          </cell>
          <cell r="EN45" t="str">
            <v>配置</v>
          </cell>
          <cell r="EO45" t="str">
            <v>配置</v>
          </cell>
          <cell r="EP45" t="str">
            <v>配置</v>
          </cell>
          <cell r="EQ45" t="str">
            <v>配置</v>
          </cell>
          <cell r="ER45" t="str">
            <v>配置</v>
          </cell>
          <cell r="ES45" t="str">
            <v>配置</v>
          </cell>
          <cell r="ET45" t="str">
            <v>配置</v>
          </cell>
          <cell r="EU45">
            <v>76960</v>
          </cell>
          <cell r="EV45">
            <v>76960</v>
          </cell>
          <cell r="EW45">
            <v>76960</v>
          </cell>
          <cell r="EX45">
            <v>76960</v>
          </cell>
          <cell r="EY45">
            <v>76960</v>
          </cell>
          <cell r="EZ45">
            <v>76960</v>
          </cell>
          <cell r="FA45">
            <v>76960</v>
          </cell>
          <cell r="FB45">
            <v>76960</v>
          </cell>
          <cell r="FC45">
            <v>76960</v>
          </cell>
          <cell r="FD45">
            <v>76960</v>
          </cell>
          <cell r="FE45">
            <v>76960</v>
          </cell>
          <cell r="FF45">
            <v>76960</v>
          </cell>
        </row>
        <row r="46">
          <cell r="C46">
            <v>42</v>
          </cell>
          <cell r="D46" t="str">
            <v>いろは保育園</v>
          </cell>
          <cell r="E46" t="str">
            <v>無</v>
          </cell>
          <cell r="F46">
            <v>40</v>
          </cell>
          <cell r="H46">
            <v>24</v>
          </cell>
          <cell r="I46">
            <v>16</v>
          </cell>
          <cell r="O46">
            <v>1189000</v>
          </cell>
          <cell r="P46">
            <v>2627000</v>
          </cell>
          <cell r="Q46">
            <v>2627000</v>
          </cell>
          <cell r="R46">
            <v>1028000</v>
          </cell>
          <cell r="S46">
            <v>0</v>
          </cell>
          <cell r="T46">
            <v>1982000</v>
          </cell>
          <cell r="U46">
            <v>0</v>
          </cell>
          <cell r="V46">
            <v>792000</v>
          </cell>
          <cell r="W46">
            <v>1751000</v>
          </cell>
          <cell r="X46">
            <v>1751000</v>
          </cell>
          <cell r="Y46">
            <v>685000</v>
          </cell>
          <cell r="Z46">
            <v>0</v>
          </cell>
          <cell r="AA46">
            <v>1321000</v>
          </cell>
          <cell r="AB46">
            <v>0</v>
          </cell>
          <cell r="AC46">
            <v>397000</v>
          </cell>
          <cell r="AD46">
            <v>876000</v>
          </cell>
          <cell r="AE46">
            <v>876000</v>
          </cell>
          <cell r="AF46">
            <v>343000</v>
          </cell>
          <cell r="AG46">
            <v>0</v>
          </cell>
          <cell r="AH46">
            <v>661000</v>
          </cell>
          <cell r="AI46">
            <v>0</v>
          </cell>
          <cell r="AJ46" t="str">
            <v>令和3年4月1日</v>
          </cell>
          <cell r="AK46" t="str">
            <v>令和3年5月31日交付</v>
          </cell>
          <cell r="AL46" t="str">
            <v>令和3年10月29日交付</v>
          </cell>
          <cell r="AM46" t="str">
            <v>3号の41</v>
          </cell>
          <cell r="AN46" t="str">
            <v>有</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v>1</v>
          </cell>
          <cell r="BN46">
            <v>1</v>
          </cell>
          <cell r="BO46">
            <v>1</v>
          </cell>
          <cell r="BP46">
            <v>1</v>
          </cell>
          <cell r="BQ46">
            <v>1</v>
          </cell>
          <cell r="BR46">
            <v>1</v>
          </cell>
          <cell r="BS46">
            <v>1</v>
          </cell>
          <cell r="BT46">
            <v>1</v>
          </cell>
          <cell r="BU46">
            <v>1</v>
          </cell>
          <cell r="BV46">
            <v>1</v>
          </cell>
          <cell r="BW46">
            <v>1</v>
          </cell>
          <cell r="BX46">
            <v>1</v>
          </cell>
          <cell r="CK46">
            <v>0</v>
          </cell>
          <cell r="CL46">
            <v>0</v>
          </cell>
          <cell r="CM46">
            <v>0</v>
          </cell>
          <cell r="CN46">
            <v>0</v>
          </cell>
          <cell r="CO46">
            <v>0</v>
          </cell>
          <cell r="CP46">
            <v>0</v>
          </cell>
          <cell r="CQ46">
            <v>0</v>
          </cell>
          <cell r="CR46">
            <v>0</v>
          </cell>
          <cell r="CS46">
            <v>0</v>
          </cell>
          <cell r="CT46">
            <v>0</v>
          </cell>
          <cell r="CU46">
            <v>0</v>
          </cell>
          <cell r="CV46">
            <v>0</v>
          </cell>
          <cell r="CW46" t="str">
            <v>無</v>
          </cell>
          <cell r="CX46">
            <v>1</v>
          </cell>
          <cell r="CY46" t="str">
            <v>有</v>
          </cell>
          <cell r="CZ46" t="str">
            <v>有</v>
          </cell>
          <cell r="DA46" t="str">
            <v>有</v>
          </cell>
          <cell r="DB46" t="str">
            <v>有</v>
          </cell>
          <cell r="DC46" t="str">
            <v>有</v>
          </cell>
          <cell r="DD46" t="str">
            <v>有</v>
          </cell>
          <cell r="DE46" t="str">
            <v>有</v>
          </cell>
          <cell r="DF46" t="str">
            <v>有</v>
          </cell>
          <cell r="DG46" t="str">
            <v>有</v>
          </cell>
          <cell r="DH46" t="str">
            <v>有</v>
          </cell>
          <cell r="DI46" t="str">
            <v>有</v>
          </cell>
          <cell r="DJ46" t="str">
            <v>有</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有</v>
          </cell>
          <cell r="DX46" t="str">
            <v>有</v>
          </cell>
          <cell r="DY46" t="str">
            <v>有</v>
          </cell>
          <cell r="DZ46" t="str">
            <v>有</v>
          </cell>
          <cell r="EA46" t="str">
            <v>有</v>
          </cell>
          <cell r="EB46" t="str">
            <v>有</v>
          </cell>
          <cell r="EC46" t="str">
            <v>有</v>
          </cell>
          <cell r="ED46" t="str">
            <v>有</v>
          </cell>
          <cell r="EE46" t="str">
            <v>有</v>
          </cell>
          <cell r="EF46" t="str">
            <v>有</v>
          </cell>
          <cell r="EG46" t="str">
            <v>有</v>
          </cell>
          <cell r="EH46" t="str">
            <v>有</v>
          </cell>
          <cell r="EI46" t="str">
            <v>配置</v>
          </cell>
          <cell r="EJ46" t="str">
            <v>配置</v>
          </cell>
          <cell r="EK46" t="str">
            <v>配置</v>
          </cell>
          <cell r="EL46" t="str">
            <v>配置</v>
          </cell>
          <cell r="EM46" t="str">
            <v>配置</v>
          </cell>
          <cell r="EN46" t="str">
            <v>配置</v>
          </cell>
          <cell r="EO46" t="str">
            <v>配置</v>
          </cell>
          <cell r="EP46" t="str">
            <v>配置</v>
          </cell>
          <cell r="EQ46" t="str">
            <v>配置</v>
          </cell>
          <cell r="ER46" t="str">
            <v>配置</v>
          </cell>
          <cell r="ES46" t="str">
            <v>配置</v>
          </cell>
          <cell r="ET46" t="str">
            <v>配置</v>
          </cell>
          <cell r="EU46">
            <v>76960</v>
          </cell>
          <cell r="EV46">
            <v>76960</v>
          </cell>
          <cell r="EW46">
            <v>76960</v>
          </cell>
          <cell r="EX46">
            <v>76960</v>
          </cell>
          <cell r="EY46">
            <v>76960</v>
          </cell>
          <cell r="EZ46">
            <v>76960</v>
          </cell>
          <cell r="FA46">
            <v>76960</v>
          </cell>
          <cell r="FB46">
            <v>76960</v>
          </cell>
          <cell r="FC46">
            <v>76960</v>
          </cell>
          <cell r="FD46">
            <v>76960</v>
          </cell>
          <cell r="FE46">
            <v>76960</v>
          </cell>
          <cell r="FF46">
            <v>76960</v>
          </cell>
        </row>
        <row r="47">
          <cell r="C47">
            <v>43</v>
          </cell>
          <cell r="D47" t="str">
            <v>稲毛ひだまり保育園</v>
          </cell>
          <cell r="E47" t="str">
            <v>無</v>
          </cell>
          <cell r="F47">
            <v>59</v>
          </cell>
          <cell r="H47">
            <v>33</v>
          </cell>
          <cell r="I47">
            <v>26</v>
          </cell>
          <cell r="O47">
            <v>1189000</v>
          </cell>
          <cell r="P47">
            <v>2627000</v>
          </cell>
          <cell r="Q47">
            <v>2627000</v>
          </cell>
          <cell r="R47">
            <v>1028000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t="str">
            <v>令和3年4月1日</v>
          </cell>
          <cell r="AM47" t="str">
            <v>3号の42</v>
          </cell>
          <cell r="AN47" t="str">
            <v>有</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v>1</v>
          </cell>
          <cell r="BN47">
            <v>1</v>
          </cell>
          <cell r="BO47">
            <v>1</v>
          </cell>
          <cell r="BP47">
            <v>1</v>
          </cell>
          <cell r="BQ47">
            <v>1</v>
          </cell>
          <cell r="BR47">
            <v>1</v>
          </cell>
          <cell r="BS47">
            <v>1</v>
          </cell>
          <cell r="BT47">
            <v>1</v>
          </cell>
          <cell r="BU47">
            <v>1</v>
          </cell>
          <cell r="BV47">
            <v>1</v>
          </cell>
          <cell r="BW47">
            <v>1</v>
          </cell>
          <cell r="BX47">
            <v>1</v>
          </cell>
          <cell r="CK47">
            <v>0</v>
          </cell>
          <cell r="CL47">
            <v>0</v>
          </cell>
          <cell r="CM47">
            <v>0</v>
          </cell>
          <cell r="CN47">
            <v>0</v>
          </cell>
          <cell r="CO47">
            <v>0</v>
          </cell>
          <cell r="CP47">
            <v>0</v>
          </cell>
          <cell r="CQ47">
            <v>0</v>
          </cell>
          <cell r="CR47">
            <v>0</v>
          </cell>
          <cell r="CS47">
            <v>0</v>
          </cell>
          <cell r="CT47">
            <v>0</v>
          </cell>
          <cell r="CU47">
            <v>0</v>
          </cell>
          <cell r="CV47">
            <v>0</v>
          </cell>
          <cell r="CW47" t="str">
            <v>無</v>
          </cell>
          <cell r="CX47">
            <v>0</v>
          </cell>
          <cell r="CY47" t="str">
            <v>有</v>
          </cell>
          <cell r="CZ47" t="str">
            <v>有</v>
          </cell>
          <cell r="DA47" t="str">
            <v>有</v>
          </cell>
          <cell r="DB47" t="str">
            <v>有</v>
          </cell>
          <cell r="DC47" t="str">
            <v>有</v>
          </cell>
          <cell r="DD47" t="str">
            <v>有</v>
          </cell>
          <cell r="DE47" t="str">
            <v>有</v>
          </cell>
          <cell r="DF47" t="str">
            <v>有</v>
          </cell>
          <cell r="DG47" t="str">
            <v>有</v>
          </cell>
          <cell r="DH47" t="str">
            <v>有</v>
          </cell>
          <cell r="DI47" t="str">
            <v>有</v>
          </cell>
          <cell r="DJ47" t="str">
            <v>有</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有</v>
          </cell>
          <cell r="DX47" t="str">
            <v>有</v>
          </cell>
          <cell r="DY47" t="str">
            <v>有</v>
          </cell>
          <cell r="DZ47" t="str">
            <v>有</v>
          </cell>
          <cell r="EA47" t="str">
            <v>有</v>
          </cell>
          <cell r="EB47" t="str">
            <v>有</v>
          </cell>
          <cell r="EC47" t="str">
            <v>有</v>
          </cell>
          <cell r="ED47" t="str">
            <v>有</v>
          </cell>
          <cell r="EE47" t="str">
            <v>有</v>
          </cell>
          <cell r="EF47" t="str">
            <v>有</v>
          </cell>
          <cell r="EG47" t="str">
            <v>有</v>
          </cell>
          <cell r="EH47" t="str">
            <v>有</v>
          </cell>
          <cell r="EI47" t="str">
            <v>配置</v>
          </cell>
          <cell r="EJ47" t="str">
            <v>配置</v>
          </cell>
          <cell r="EK47" t="str">
            <v>配置</v>
          </cell>
          <cell r="EL47" t="str">
            <v>配置</v>
          </cell>
          <cell r="EM47" t="str">
            <v>配置</v>
          </cell>
          <cell r="EN47" t="str">
            <v>配置</v>
          </cell>
          <cell r="EO47" t="str">
            <v>配置</v>
          </cell>
          <cell r="EP47" t="str">
            <v>配置</v>
          </cell>
          <cell r="EQ47" t="str">
            <v>配置</v>
          </cell>
          <cell r="ER47" t="str">
            <v>配置</v>
          </cell>
          <cell r="ES47" t="str">
            <v>配置</v>
          </cell>
          <cell r="ET47" t="str">
            <v>配置</v>
          </cell>
          <cell r="EU47">
            <v>76960</v>
          </cell>
          <cell r="EV47">
            <v>76960</v>
          </cell>
          <cell r="EW47">
            <v>76960</v>
          </cell>
          <cell r="EX47">
            <v>76960</v>
          </cell>
          <cell r="EY47">
            <v>76960</v>
          </cell>
          <cell r="EZ47">
            <v>76960</v>
          </cell>
          <cell r="FA47">
            <v>76960</v>
          </cell>
          <cell r="FB47">
            <v>76960</v>
          </cell>
          <cell r="FC47">
            <v>76960</v>
          </cell>
          <cell r="FD47">
            <v>76960</v>
          </cell>
          <cell r="FE47">
            <v>76960</v>
          </cell>
          <cell r="FF47">
            <v>76960</v>
          </cell>
        </row>
        <row r="48">
          <cell r="C48">
            <v>44</v>
          </cell>
          <cell r="D48" t="str">
            <v>茶々まくはり保育園</v>
          </cell>
          <cell r="E48" t="str">
            <v>無</v>
          </cell>
          <cell r="F48">
            <v>110</v>
          </cell>
          <cell r="H48">
            <v>66</v>
          </cell>
          <cell r="I48">
            <v>44</v>
          </cell>
          <cell r="O48">
            <v>1189000</v>
          </cell>
          <cell r="P48">
            <v>2627000</v>
          </cell>
          <cell r="Q48">
            <v>2627000</v>
          </cell>
          <cell r="R48">
            <v>1028000</v>
          </cell>
          <cell r="S48">
            <v>0</v>
          </cell>
          <cell r="T48">
            <v>1982000</v>
          </cell>
          <cell r="U48">
            <v>1982000</v>
          </cell>
          <cell r="V48">
            <v>792000</v>
          </cell>
          <cell r="W48">
            <v>1751000</v>
          </cell>
          <cell r="X48">
            <v>1751000</v>
          </cell>
          <cell r="Y48">
            <v>685000</v>
          </cell>
          <cell r="Z48">
            <v>0</v>
          </cell>
          <cell r="AA48">
            <v>1321000</v>
          </cell>
          <cell r="AB48">
            <v>1321000</v>
          </cell>
          <cell r="AC48">
            <v>0</v>
          </cell>
          <cell r="AD48">
            <v>0</v>
          </cell>
          <cell r="AE48">
            <v>0</v>
          </cell>
          <cell r="AF48">
            <v>0</v>
          </cell>
          <cell r="AG48">
            <v>0</v>
          </cell>
          <cell r="AH48">
            <v>0</v>
          </cell>
          <cell r="AI48">
            <v>0</v>
          </cell>
          <cell r="AJ48" t="str">
            <v>令和3年4月1日</v>
          </cell>
          <cell r="AK48" t="str">
            <v>令和3年5月31日交付</v>
          </cell>
          <cell r="AM48" t="str">
            <v>3号の43</v>
          </cell>
          <cell r="AN48" t="str">
            <v>有</v>
          </cell>
          <cell r="AO48" t="str">
            <v>一般型</v>
          </cell>
          <cell r="AP48" t="str">
            <v>一般型</v>
          </cell>
          <cell r="AQ48" t="str">
            <v>一般型</v>
          </cell>
          <cell r="AR48" t="str">
            <v>一般型</v>
          </cell>
          <cell r="AS48" t="str">
            <v>一般型</v>
          </cell>
          <cell r="AT48" t="str">
            <v>一般型</v>
          </cell>
          <cell r="AU48" t="str">
            <v>一般型</v>
          </cell>
          <cell r="AV48" t="str">
            <v>一般型</v>
          </cell>
          <cell r="AW48" t="str">
            <v>一般型</v>
          </cell>
          <cell r="AX48" t="str">
            <v>一般型</v>
          </cell>
          <cell r="AY48" t="str">
            <v>一般型</v>
          </cell>
          <cell r="AZ48" t="str">
            <v>一般型</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v>2</v>
          </cell>
          <cell r="BN48">
            <v>2</v>
          </cell>
          <cell r="BO48">
            <v>2</v>
          </cell>
          <cell r="BP48">
            <v>2</v>
          </cell>
          <cell r="BQ48">
            <v>2</v>
          </cell>
          <cell r="BR48">
            <v>2</v>
          </cell>
          <cell r="BS48">
            <v>2</v>
          </cell>
          <cell r="BT48">
            <v>2</v>
          </cell>
          <cell r="BU48">
            <v>2</v>
          </cell>
          <cell r="BV48">
            <v>2</v>
          </cell>
          <cell r="BW48">
            <v>2</v>
          </cell>
          <cell r="BX48">
            <v>2</v>
          </cell>
          <cell r="CK48">
            <v>0</v>
          </cell>
          <cell r="CL48">
            <v>0</v>
          </cell>
          <cell r="CM48">
            <v>0</v>
          </cell>
          <cell r="CN48">
            <v>0</v>
          </cell>
          <cell r="CO48">
            <v>0</v>
          </cell>
          <cell r="CP48">
            <v>0</v>
          </cell>
          <cell r="CQ48">
            <v>0</v>
          </cell>
          <cell r="CR48">
            <v>0</v>
          </cell>
          <cell r="CS48">
            <v>0</v>
          </cell>
          <cell r="CT48">
            <v>0</v>
          </cell>
          <cell r="CU48">
            <v>0</v>
          </cell>
          <cell r="CV48">
            <v>0</v>
          </cell>
          <cell r="CW48" t="str">
            <v>無</v>
          </cell>
          <cell r="CX48">
            <v>0</v>
          </cell>
          <cell r="CY48" t="str">
            <v>有</v>
          </cell>
          <cell r="CZ48" t="str">
            <v>有</v>
          </cell>
          <cell r="DA48" t="str">
            <v>有</v>
          </cell>
          <cell r="DB48" t="str">
            <v>有</v>
          </cell>
          <cell r="DC48" t="str">
            <v>有</v>
          </cell>
          <cell r="DD48" t="str">
            <v>有</v>
          </cell>
          <cell r="DE48" t="str">
            <v>有</v>
          </cell>
          <cell r="DF48" t="str">
            <v>有</v>
          </cell>
          <cell r="DG48" t="str">
            <v>有</v>
          </cell>
          <cell r="DH48" t="str">
            <v>有</v>
          </cell>
          <cell r="DI48" t="str">
            <v>有</v>
          </cell>
          <cell r="DJ48" t="str">
            <v>有</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有</v>
          </cell>
          <cell r="DX48" t="str">
            <v>有</v>
          </cell>
          <cell r="DY48" t="str">
            <v>有</v>
          </cell>
          <cell r="DZ48" t="str">
            <v>有</v>
          </cell>
          <cell r="EA48" t="str">
            <v>有</v>
          </cell>
          <cell r="EB48" t="str">
            <v>有</v>
          </cell>
          <cell r="EC48" t="str">
            <v>有</v>
          </cell>
          <cell r="ED48" t="str">
            <v>有</v>
          </cell>
          <cell r="EE48" t="str">
            <v>有</v>
          </cell>
          <cell r="EF48" t="str">
            <v>有</v>
          </cell>
          <cell r="EG48" t="str">
            <v>有</v>
          </cell>
          <cell r="EH48" t="str">
            <v>有</v>
          </cell>
          <cell r="EI48" t="str">
            <v>配置</v>
          </cell>
          <cell r="EJ48" t="str">
            <v>配置</v>
          </cell>
          <cell r="EK48" t="str">
            <v>配置</v>
          </cell>
          <cell r="EL48" t="str">
            <v>配置</v>
          </cell>
          <cell r="EM48" t="str">
            <v>配置</v>
          </cell>
          <cell r="EN48" t="str">
            <v>配置</v>
          </cell>
          <cell r="EO48" t="str">
            <v>配置</v>
          </cell>
          <cell r="EP48" t="str">
            <v>配置</v>
          </cell>
          <cell r="EQ48" t="str">
            <v>配置</v>
          </cell>
          <cell r="ER48" t="str">
            <v>配置</v>
          </cell>
          <cell r="ES48" t="str">
            <v>配置</v>
          </cell>
          <cell r="ET48" t="str">
            <v>配置</v>
          </cell>
          <cell r="EU48">
            <v>76960</v>
          </cell>
          <cell r="EV48">
            <v>76960</v>
          </cell>
          <cell r="EW48">
            <v>76960</v>
          </cell>
          <cell r="EX48">
            <v>76960</v>
          </cell>
          <cell r="EY48">
            <v>76960</v>
          </cell>
          <cell r="EZ48">
            <v>76960</v>
          </cell>
          <cell r="FA48">
            <v>76960</v>
          </cell>
          <cell r="FB48">
            <v>76960</v>
          </cell>
          <cell r="FC48">
            <v>76960</v>
          </cell>
          <cell r="FD48">
            <v>76960</v>
          </cell>
          <cell r="FE48">
            <v>76960</v>
          </cell>
          <cell r="FF48">
            <v>76960</v>
          </cell>
        </row>
        <row r="49">
          <cell r="C49">
            <v>45</v>
          </cell>
          <cell r="D49" t="str">
            <v>ローゼンそが保育園</v>
          </cell>
          <cell r="E49" t="str">
            <v>無</v>
          </cell>
          <cell r="F49">
            <v>90</v>
          </cell>
          <cell r="H49">
            <v>54</v>
          </cell>
          <cell r="I49">
            <v>36</v>
          </cell>
          <cell r="O49">
            <v>1189000</v>
          </cell>
          <cell r="P49">
            <v>2627000</v>
          </cell>
          <cell r="Q49">
            <v>2627000</v>
          </cell>
          <cell r="R49">
            <v>1631000</v>
          </cell>
          <cell r="S49">
            <v>0</v>
          </cell>
          <cell r="T49">
            <v>3964000</v>
          </cell>
          <cell r="U49">
            <v>0</v>
          </cell>
          <cell r="V49">
            <v>792000</v>
          </cell>
          <cell r="W49">
            <v>1751000</v>
          </cell>
          <cell r="X49">
            <v>1751000</v>
          </cell>
          <cell r="Y49">
            <v>1087000</v>
          </cell>
          <cell r="Z49">
            <v>0</v>
          </cell>
          <cell r="AA49">
            <v>2642000</v>
          </cell>
          <cell r="AB49">
            <v>0</v>
          </cell>
          <cell r="AC49">
            <v>397000</v>
          </cell>
          <cell r="AD49">
            <v>876000</v>
          </cell>
          <cell r="AE49">
            <v>876000</v>
          </cell>
          <cell r="AF49">
            <v>544000</v>
          </cell>
          <cell r="AG49">
            <v>0</v>
          </cell>
          <cell r="AH49">
            <v>1322000</v>
          </cell>
          <cell r="AI49">
            <v>0</v>
          </cell>
          <cell r="AJ49" t="str">
            <v>令和3年4月1日</v>
          </cell>
          <cell r="AK49" t="str">
            <v>令和3年5月31日交付</v>
          </cell>
          <cell r="AL49" t="str">
            <v>令和3年10月29日交付</v>
          </cell>
          <cell r="AM49" t="str">
            <v>3号の44</v>
          </cell>
          <cell r="AN49" t="str">
            <v>有</v>
          </cell>
          <cell r="AO49" t="str">
            <v>-</v>
          </cell>
          <cell r="AP49" t="str">
            <v>-</v>
          </cell>
          <cell r="AQ49" t="str">
            <v>一般型</v>
          </cell>
          <cell r="AR49" t="str">
            <v>一般型</v>
          </cell>
          <cell r="AS49" t="str">
            <v>一般型</v>
          </cell>
          <cell r="AT49" t="str">
            <v>一般型</v>
          </cell>
          <cell r="AU49" t="str">
            <v>一般型</v>
          </cell>
          <cell r="AV49" t="str">
            <v>一般型</v>
          </cell>
          <cell r="AW49" t="str">
            <v>一般型</v>
          </cell>
          <cell r="AX49" t="str">
            <v>一般型</v>
          </cell>
          <cell r="AY49" t="str">
            <v>一般型</v>
          </cell>
          <cell r="AZ49" t="str">
            <v>一般型</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v>3</v>
          </cell>
          <cell r="BN49">
            <v>3</v>
          </cell>
          <cell r="BO49">
            <v>3</v>
          </cell>
          <cell r="BP49">
            <v>3</v>
          </cell>
          <cell r="BQ49">
            <v>3</v>
          </cell>
          <cell r="BR49">
            <v>3</v>
          </cell>
          <cell r="BS49">
            <v>3</v>
          </cell>
          <cell r="BT49">
            <v>3</v>
          </cell>
          <cell r="BU49">
            <v>3</v>
          </cell>
          <cell r="BV49">
            <v>3</v>
          </cell>
          <cell r="BW49">
            <v>3</v>
          </cell>
          <cell r="BX49">
            <v>3</v>
          </cell>
          <cell r="CK49">
            <v>0</v>
          </cell>
          <cell r="CL49">
            <v>0</v>
          </cell>
          <cell r="CM49">
            <v>0</v>
          </cell>
          <cell r="CN49">
            <v>0</v>
          </cell>
          <cell r="CO49">
            <v>0</v>
          </cell>
          <cell r="CP49">
            <v>0</v>
          </cell>
          <cell r="CQ49">
            <v>0</v>
          </cell>
          <cell r="CR49">
            <v>0</v>
          </cell>
          <cell r="CS49">
            <v>0</v>
          </cell>
          <cell r="CT49">
            <v>0</v>
          </cell>
          <cell r="CU49">
            <v>0</v>
          </cell>
          <cell r="CV49">
            <v>0</v>
          </cell>
          <cell r="CW49" t="str">
            <v>無</v>
          </cell>
          <cell r="CX49">
            <v>0</v>
          </cell>
          <cell r="CY49" t="str">
            <v>有</v>
          </cell>
          <cell r="CZ49" t="str">
            <v>有</v>
          </cell>
          <cell r="DA49" t="str">
            <v>有</v>
          </cell>
          <cell r="DB49" t="str">
            <v>有</v>
          </cell>
          <cell r="DC49" t="str">
            <v>有</v>
          </cell>
          <cell r="DD49" t="str">
            <v>有</v>
          </cell>
          <cell r="DE49" t="str">
            <v>有</v>
          </cell>
          <cell r="DF49" t="str">
            <v>有</v>
          </cell>
          <cell r="DG49" t="str">
            <v>有</v>
          </cell>
          <cell r="DH49" t="str">
            <v>有</v>
          </cell>
          <cell r="DI49" t="str">
            <v>有</v>
          </cell>
          <cell r="DJ49" t="str">
            <v>有</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有</v>
          </cell>
          <cell r="DX49" t="str">
            <v>有</v>
          </cell>
          <cell r="DY49" t="str">
            <v>有</v>
          </cell>
          <cell r="DZ49" t="str">
            <v>有</v>
          </cell>
          <cell r="EA49" t="str">
            <v>有</v>
          </cell>
          <cell r="EB49" t="str">
            <v>有</v>
          </cell>
          <cell r="EC49" t="str">
            <v>有</v>
          </cell>
          <cell r="ED49" t="str">
            <v>有</v>
          </cell>
          <cell r="EE49" t="str">
            <v>有</v>
          </cell>
          <cell r="EF49" t="str">
            <v>有</v>
          </cell>
          <cell r="EG49" t="str">
            <v>有</v>
          </cell>
          <cell r="EH49" t="str">
            <v>有</v>
          </cell>
          <cell r="EI49" t="str">
            <v>配置</v>
          </cell>
          <cell r="EJ49" t="str">
            <v>配置</v>
          </cell>
          <cell r="EK49" t="str">
            <v>配置</v>
          </cell>
          <cell r="EL49" t="str">
            <v>配置</v>
          </cell>
          <cell r="EM49" t="str">
            <v>配置</v>
          </cell>
          <cell r="EN49" t="str">
            <v>配置</v>
          </cell>
          <cell r="EO49" t="str">
            <v>配置</v>
          </cell>
          <cell r="EP49" t="str">
            <v>配置</v>
          </cell>
          <cell r="EQ49" t="str">
            <v>配置</v>
          </cell>
          <cell r="ER49" t="str">
            <v>配置</v>
          </cell>
          <cell r="ES49" t="str">
            <v>配置</v>
          </cell>
          <cell r="ET49" t="str">
            <v>配置</v>
          </cell>
          <cell r="EU49">
            <v>76960</v>
          </cell>
          <cell r="EV49">
            <v>76960</v>
          </cell>
          <cell r="EW49">
            <v>76960</v>
          </cell>
          <cell r="EX49">
            <v>76960</v>
          </cell>
          <cell r="EY49">
            <v>76960</v>
          </cell>
          <cell r="EZ49">
            <v>76960</v>
          </cell>
          <cell r="FA49">
            <v>76960</v>
          </cell>
          <cell r="FB49">
            <v>76960</v>
          </cell>
          <cell r="FC49">
            <v>76960</v>
          </cell>
          <cell r="FD49">
            <v>76960</v>
          </cell>
          <cell r="FE49">
            <v>76960</v>
          </cell>
          <cell r="FF49">
            <v>76960</v>
          </cell>
        </row>
        <row r="50">
          <cell r="C50">
            <v>46</v>
          </cell>
          <cell r="D50" t="str">
            <v>ポピンズナーサリースクールみなと公園</v>
          </cell>
          <cell r="E50" t="str">
            <v>無</v>
          </cell>
          <cell r="F50">
            <v>90</v>
          </cell>
          <cell r="H50">
            <v>51</v>
          </cell>
          <cell r="I50">
            <v>39</v>
          </cell>
          <cell r="O50">
            <v>1189000</v>
          </cell>
          <cell r="P50">
            <v>2627000</v>
          </cell>
          <cell r="Q50">
            <v>2627000</v>
          </cell>
          <cell r="R50">
            <v>1631000</v>
          </cell>
          <cell r="S50">
            <v>0</v>
          </cell>
          <cell r="T50">
            <v>0</v>
          </cell>
          <cell r="U50">
            <v>0</v>
          </cell>
          <cell r="V50">
            <v>0</v>
          </cell>
          <cell r="W50">
            <v>0</v>
          </cell>
          <cell r="X50">
            <v>0</v>
          </cell>
          <cell r="Y50">
            <v>0</v>
          </cell>
          <cell r="Z50">
            <v>0</v>
          </cell>
          <cell r="AA50">
            <v>0</v>
          </cell>
          <cell r="AB50">
            <v>0</v>
          </cell>
          <cell r="AC50">
            <v>1189000</v>
          </cell>
          <cell r="AD50">
            <v>2627000</v>
          </cell>
          <cell r="AE50">
            <v>2627000</v>
          </cell>
          <cell r="AF50">
            <v>1631000</v>
          </cell>
          <cell r="AG50">
            <v>0</v>
          </cell>
          <cell r="AH50">
            <v>0</v>
          </cell>
          <cell r="AI50">
            <v>0</v>
          </cell>
          <cell r="AJ50" t="str">
            <v>令和3年4月1日</v>
          </cell>
          <cell r="AL50" t="str">
            <v>令和3年10月29日交付</v>
          </cell>
          <cell r="AM50" t="str">
            <v>3号の45</v>
          </cell>
          <cell r="AN50" t="str">
            <v>有</v>
          </cell>
          <cell r="AO50" t="str">
            <v>一般型</v>
          </cell>
          <cell r="AP50" t="str">
            <v>一般型</v>
          </cell>
          <cell r="AQ50" t="str">
            <v>一般型</v>
          </cell>
          <cell r="AR50" t="str">
            <v>一般型</v>
          </cell>
          <cell r="AS50" t="str">
            <v>一般型</v>
          </cell>
          <cell r="AT50" t="str">
            <v>一般型</v>
          </cell>
          <cell r="AU50" t="str">
            <v>一般型</v>
          </cell>
          <cell r="AV50" t="str">
            <v>一般型</v>
          </cell>
          <cell r="AW50" t="str">
            <v>一般型</v>
          </cell>
          <cell r="AX50" t="str">
            <v>一般型</v>
          </cell>
          <cell r="AY50" t="str">
            <v>一般型</v>
          </cell>
          <cell r="AZ50" t="str">
            <v>一般型</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N50">
            <v>1</v>
          </cell>
          <cell r="BO50">
            <v>1</v>
          </cell>
          <cell r="BP50">
            <v>1</v>
          </cell>
          <cell r="BQ50">
            <v>1</v>
          </cell>
          <cell r="BR50">
            <v>1</v>
          </cell>
          <cell r="BS50">
            <v>1</v>
          </cell>
          <cell r="BT50">
            <v>1</v>
          </cell>
          <cell r="BU50">
            <v>1</v>
          </cell>
          <cell r="BV50">
            <v>1</v>
          </cell>
          <cell r="BW50">
            <v>1</v>
          </cell>
          <cell r="BX50">
            <v>1</v>
          </cell>
          <cell r="CL50">
            <v>0</v>
          </cell>
          <cell r="CM50">
            <v>0</v>
          </cell>
          <cell r="CN50">
            <v>0</v>
          </cell>
          <cell r="CO50">
            <v>0</v>
          </cell>
          <cell r="CP50">
            <v>0</v>
          </cell>
          <cell r="CQ50">
            <v>0</v>
          </cell>
          <cell r="CR50">
            <v>0</v>
          </cell>
          <cell r="CS50">
            <v>0</v>
          </cell>
          <cell r="CT50">
            <v>0</v>
          </cell>
          <cell r="CU50">
            <v>0</v>
          </cell>
          <cell r="CV50">
            <v>0</v>
          </cell>
          <cell r="CW50" t="str">
            <v>無</v>
          </cell>
          <cell r="CX50">
            <v>2</v>
          </cell>
          <cell r="CY50" t="str">
            <v>有</v>
          </cell>
          <cell r="CZ50" t="str">
            <v>有</v>
          </cell>
          <cell r="DA50" t="str">
            <v>有</v>
          </cell>
          <cell r="DB50" t="str">
            <v>有</v>
          </cell>
          <cell r="DC50" t="str">
            <v>有</v>
          </cell>
          <cell r="DD50" t="str">
            <v>有</v>
          </cell>
          <cell r="DE50" t="str">
            <v>有</v>
          </cell>
          <cell r="DF50" t="str">
            <v>有</v>
          </cell>
          <cell r="DG50" t="str">
            <v>有</v>
          </cell>
          <cell r="DH50" t="str">
            <v>有</v>
          </cell>
          <cell r="DI50" t="str">
            <v>有</v>
          </cell>
          <cell r="DJ50" t="str">
            <v>有</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有</v>
          </cell>
          <cell r="DX50" t="str">
            <v>有</v>
          </cell>
          <cell r="DY50" t="str">
            <v>有</v>
          </cell>
          <cell r="DZ50" t="str">
            <v>有</v>
          </cell>
          <cell r="EA50" t="str">
            <v>有</v>
          </cell>
          <cell r="EB50" t="str">
            <v>有</v>
          </cell>
          <cell r="EC50" t="str">
            <v>有</v>
          </cell>
          <cell r="ED50" t="str">
            <v>有</v>
          </cell>
          <cell r="EE50" t="str">
            <v>有</v>
          </cell>
          <cell r="EF50" t="str">
            <v>有</v>
          </cell>
          <cell r="EG50" t="str">
            <v>有</v>
          </cell>
          <cell r="EH50" t="str">
            <v>有</v>
          </cell>
          <cell r="EI50" t="str">
            <v>配置</v>
          </cell>
          <cell r="EJ50" t="str">
            <v>配置</v>
          </cell>
          <cell r="EK50" t="str">
            <v>配置</v>
          </cell>
          <cell r="EL50" t="str">
            <v>配置</v>
          </cell>
          <cell r="EM50" t="str">
            <v>配置</v>
          </cell>
          <cell r="EN50" t="str">
            <v>配置</v>
          </cell>
          <cell r="EO50" t="str">
            <v>配置</v>
          </cell>
          <cell r="EP50" t="str">
            <v>配置</v>
          </cell>
          <cell r="EQ50" t="str">
            <v>配置</v>
          </cell>
          <cell r="ER50" t="str">
            <v>配置</v>
          </cell>
          <cell r="ES50" t="str">
            <v>配置</v>
          </cell>
          <cell r="ET50" t="str">
            <v>配置</v>
          </cell>
          <cell r="EU50">
            <v>76960</v>
          </cell>
          <cell r="EV50">
            <v>76960</v>
          </cell>
          <cell r="EW50">
            <v>76960</v>
          </cell>
          <cell r="EX50">
            <v>76960</v>
          </cell>
          <cell r="EY50">
            <v>76960</v>
          </cell>
          <cell r="EZ50">
            <v>76960</v>
          </cell>
          <cell r="FA50">
            <v>76960</v>
          </cell>
          <cell r="FB50">
            <v>76960</v>
          </cell>
          <cell r="FC50">
            <v>76960</v>
          </cell>
          <cell r="FD50">
            <v>76960</v>
          </cell>
          <cell r="FE50">
            <v>76960</v>
          </cell>
          <cell r="FF50">
            <v>76960</v>
          </cell>
        </row>
        <row r="51">
          <cell r="C51">
            <v>47</v>
          </cell>
          <cell r="D51" t="str">
            <v>ココファン･ナーサリーおゆみ野</v>
          </cell>
          <cell r="E51" t="str">
            <v>無</v>
          </cell>
          <cell r="F51">
            <v>90</v>
          </cell>
          <cell r="H51">
            <v>54</v>
          </cell>
          <cell r="I51">
            <v>36</v>
          </cell>
          <cell r="O51">
            <v>1189000</v>
          </cell>
          <cell r="P51">
            <v>2627000</v>
          </cell>
          <cell r="Q51">
            <v>2627000</v>
          </cell>
          <cell r="R51">
            <v>1631000</v>
          </cell>
          <cell r="S51">
            <v>0</v>
          </cell>
          <cell r="T51">
            <v>1982000</v>
          </cell>
          <cell r="U51">
            <v>0</v>
          </cell>
          <cell r="V51">
            <v>792000</v>
          </cell>
          <cell r="W51">
            <v>1751000</v>
          </cell>
          <cell r="X51">
            <v>1751000</v>
          </cell>
          <cell r="Y51">
            <v>1087000</v>
          </cell>
          <cell r="Z51">
            <v>0</v>
          </cell>
          <cell r="AA51">
            <v>1321000</v>
          </cell>
          <cell r="AB51">
            <v>0</v>
          </cell>
          <cell r="AC51">
            <v>0</v>
          </cell>
          <cell r="AD51">
            <v>0</v>
          </cell>
          <cell r="AE51">
            <v>0</v>
          </cell>
          <cell r="AF51">
            <v>0</v>
          </cell>
          <cell r="AG51">
            <v>0</v>
          </cell>
          <cell r="AH51">
            <v>0</v>
          </cell>
          <cell r="AI51">
            <v>0</v>
          </cell>
          <cell r="AJ51" t="str">
            <v>令和3年4月1日</v>
          </cell>
          <cell r="AK51" t="str">
            <v>令和3年5月31日交付</v>
          </cell>
          <cell r="AM51" t="str">
            <v>3号の46</v>
          </cell>
          <cell r="AN51" t="str">
            <v>有</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v>1</v>
          </cell>
          <cell r="BN51">
            <v>1</v>
          </cell>
          <cell r="BO51">
            <v>1</v>
          </cell>
          <cell r="BP51">
            <v>2</v>
          </cell>
          <cell r="BQ51">
            <v>2</v>
          </cell>
          <cell r="BR51">
            <v>3</v>
          </cell>
          <cell r="BS51">
            <v>3</v>
          </cell>
          <cell r="BT51">
            <v>3</v>
          </cell>
          <cell r="BU51">
            <v>3</v>
          </cell>
          <cell r="BV51">
            <v>3</v>
          </cell>
          <cell r="BW51">
            <v>3</v>
          </cell>
          <cell r="BX51">
            <v>3</v>
          </cell>
          <cell r="CK51">
            <v>0</v>
          </cell>
          <cell r="CL51">
            <v>0</v>
          </cell>
          <cell r="CM51">
            <v>0</v>
          </cell>
          <cell r="CN51">
            <v>0</v>
          </cell>
          <cell r="CO51">
            <v>0</v>
          </cell>
          <cell r="CP51">
            <v>0</v>
          </cell>
          <cell r="CQ51">
            <v>0</v>
          </cell>
          <cell r="CR51">
            <v>0</v>
          </cell>
          <cell r="CS51">
            <v>0</v>
          </cell>
          <cell r="CT51">
            <v>0</v>
          </cell>
          <cell r="CU51">
            <v>0</v>
          </cell>
          <cell r="CV51">
            <v>0</v>
          </cell>
          <cell r="CW51" t="str">
            <v>無</v>
          </cell>
          <cell r="CX51">
            <v>0</v>
          </cell>
          <cell r="CY51" t="str">
            <v>有</v>
          </cell>
          <cell r="CZ51" t="str">
            <v>有</v>
          </cell>
          <cell r="DA51" t="str">
            <v>有</v>
          </cell>
          <cell r="DB51" t="str">
            <v>有</v>
          </cell>
          <cell r="DC51" t="str">
            <v>有</v>
          </cell>
          <cell r="DD51" t="str">
            <v>有</v>
          </cell>
          <cell r="DE51" t="str">
            <v>有</v>
          </cell>
          <cell r="DF51" t="str">
            <v>有</v>
          </cell>
          <cell r="DG51" t="str">
            <v>有</v>
          </cell>
          <cell r="DH51" t="str">
            <v>有</v>
          </cell>
          <cell r="DI51" t="str">
            <v>有</v>
          </cell>
          <cell r="DJ51" t="str">
            <v>有</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有</v>
          </cell>
          <cell r="DX51" t="str">
            <v>有</v>
          </cell>
          <cell r="DY51" t="str">
            <v>有</v>
          </cell>
          <cell r="DZ51" t="str">
            <v>有</v>
          </cell>
          <cell r="EA51" t="str">
            <v>有</v>
          </cell>
          <cell r="EB51" t="str">
            <v>有</v>
          </cell>
          <cell r="EC51" t="str">
            <v>有</v>
          </cell>
          <cell r="ED51" t="str">
            <v>有</v>
          </cell>
          <cell r="EE51" t="str">
            <v>有</v>
          </cell>
          <cell r="EF51" t="str">
            <v>有</v>
          </cell>
          <cell r="EG51" t="str">
            <v>有</v>
          </cell>
          <cell r="EH51" t="str">
            <v>有</v>
          </cell>
          <cell r="EI51" t="str">
            <v>配置</v>
          </cell>
          <cell r="EJ51" t="str">
            <v>配置</v>
          </cell>
          <cell r="EK51" t="str">
            <v>配置</v>
          </cell>
          <cell r="EL51" t="str">
            <v>配置</v>
          </cell>
          <cell r="EM51" t="str">
            <v>配置</v>
          </cell>
          <cell r="EN51" t="str">
            <v>配置</v>
          </cell>
          <cell r="EO51" t="str">
            <v>配置</v>
          </cell>
          <cell r="EP51" t="str">
            <v>配置</v>
          </cell>
          <cell r="EQ51" t="str">
            <v>配置</v>
          </cell>
          <cell r="ER51" t="str">
            <v>配置</v>
          </cell>
          <cell r="ES51" t="str">
            <v>配置</v>
          </cell>
          <cell r="ET51" t="str">
            <v>配置</v>
          </cell>
          <cell r="EU51">
            <v>76960</v>
          </cell>
          <cell r="EV51">
            <v>76960</v>
          </cell>
          <cell r="EW51">
            <v>76960</v>
          </cell>
          <cell r="EX51">
            <v>76960</v>
          </cell>
          <cell r="EY51">
            <v>76960</v>
          </cell>
          <cell r="EZ51">
            <v>76960</v>
          </cell>
          <cell r="FA51">
            <v>76960</v>
          </cell>
          <cell r="FB51">
            <v>76960</v>
          </cell>
          <cell r="FC51">
            <v>76960</v>
          </cell>
          <cell r="FD51">
            <v>76960</v>
          </cell>
          <cell r="FE51">
            <v>76960</v>
          </cell>
          <cell r="FF51">
            <v>76960</v>
          </cell>
        </row>
        <row r="52">
          <cell r="C52">
            <v>48</v>
          </cell>
          <cell r="D52" t="str">
            <v>おゆみ野すきっぷ保育園</v>
          </cell>
          <cell r="E52" t="str">
            <v>無</v>
          </cell>
          <cell r="F52">
            <v>36</v>
          </cell>
          <cell r="H52">
            <v>18</v>
          </cell>
          <cell r="I52">
            <v>18</v>
          </cell>
          <cell r="O52">
            <v>1189000</v>
          </cell>
          <cell r="P52">
            <v>2627000</v>
          </cell>
          <cell r="Q52">
            <v>2627000</v>
          </cell>
          <cell r="R52">
            <v>1631000</v>
          </cell>
          <cell r="S52">
            <v>0</v>
          </cell>
          <cell r="T52">
            <v>0</v>
          </cell>
          <cell r="U52">
            <v>0</v>
          </cell>
          <cell r="V52">
            <v>792000</v>
          </cell>
          <cell r="W52">
            <v>1751000</v>
          </cell>
          <cell r="X52">
            <v>1751000</v>
          </cell>
          <cell r="Y52">
            <v>1087000</v>
          </cell>
          <cell r="Z52">
            <v>0</v>
          </cell>
          <cell r="AA52">
            <v>0</v>
          </cell>
          <cell r="AB52">
            <v>0</v>
          </cell>
          <cell r="AC52">
            <v>0</v>
          </cell>
          <cell r="AD52">
            <v>0</v>
          </cell>
          <cell r="AE52">
            <v>0</v>
          </cell>
          <cell r="AF52">
            <v>0</v>
          </cell>
          <cell r="AG52">
            <v>0</v>
          </cell>
          <cell r="AH52">
            <v>0</v>
          </cell>
          <cell r="AI52">
            <v>0</v>
          </cell>
          <cell r="AJ52" t="str">
            <v>令和3年4月1日</v>
          </cell>
          <cell r="AK52" t="str">
            <v>令和3年5月31日交付</v>
          </cell>
          <cell r="AM52" t="str">
            <v>3号の47</v>
          </cell>
          <cell r="AN52" t="str">
            <v>有</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CW52" t="str">
            <v>無</v>
          </cell>
          <cell r="CX52">
            <v>0</v>
          </cell>
          <cell r="CY52" t="str">
            <v>無</v>
          </cell>
          <cell r="CZ52" t="str">
            <v>無</v>
          </cell>
          <cell r="DA52" t="str">
            <v>無</v>
          </cell>
          <cell r="DB52" t="str">
            <v>無</v>
          </cell>
          <cell r="DC52" t="str">
            <v>無</v>
          </cell>
          <cell r="DD52" t="str">
            <v>無</v>
          </cell>
          <cell r="DE52" t="str">
            <v>無</v>
          </cell>
          <cell r="DF52" t="str">
            <v>無</v>
          </cell>
          <cell r="DG52" t="str">
            <v>無</v>
          </cell>
          <cell r="DH52" t="str">
            <v>無</v>
          </cell>
          <cell r="DI52" t="str">
            <v>無</v>
          </cell>
          <cell r="DJ52" t="str">
            <v>無</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有</v>
          </cell>
          <cell r="DX52" t="str">
            <v>有</v>
          </cell>
          <cell r="DY52" t="str">
            <v>有</v>
          </cell>
          <cell r="DZ52" t="str">
            <v>有</v>
          </cell>
          <cell r="EA52" t="str">
            <v>有</v>
          </cell>
          <cell r="EB52" t="str">
            <v>有</v>
          </cell>
          <cell r="EC52" t="str">
            <v>有</v>
          </cell>
          <cell r="ED52" t="str">
            <v>有</v>
          </cell>
          <cell r="EE52" t="str">
            <v>有</v>
          </cell>
          <cell r="EF52" t="str">
            <v>有</v>
          </cell>
          <cell r="EG52" t="str">
            <v>有</v>
          </cell>
          <cell r="EH52" t="str">
            <v>有</v>
          </cell>
          <cell r="EI52" t="str">
            <v>嘱託</v>
          </cell>
          <cell r="EJ52" t="str">
            <v>嘱託</v>
          </cell>
          <cell r="EK52" t="str">
            <v>嘱託</v>
          </cell>
          <cell r="EL52" t="str">
            <v>嘱託</v>
          </cell>
          <cell r="EM52" t="str">
            <v>嘱託</v>
          </cell>
          <cell r="EN52" t="str">
            <v>嘱託</v>
          </cell>
          <cell r="EO52" t="str">
            <v>嘱託</v>
          </cell>
          <cell r="EP52" t="str">
            <v>嘱託</v>
          </cell>
          <cell r="EQ52" t="str">
            <v>嘱託</v>
          </cell>
          <cell r="ER52" t="str">
            <v>嘱託</v>
          </cell>
          <cell r="ES52" t="str">
            <v>嘱託</v>
          </cell>
          <cell r="ET52" t="str">
            <v>嘱託</v>
          </cell>
          <cell r="EU52" t="str">
            <v/>
          </cell>
          <cell r="EV52" t="str">
            <v/>
          </cell>
          <cell r="EW52" t="str">
            <v/>
          </cell>
          <cell r="EX52" t="str">
            <v/>
          </cell>
          <cell r="EY52" t="str">
            <v/>
          </cell>
          <cell r="EZ52" t="str">
            <v/>
          </cell>
          <cell r="FA52" t="str">
            <v/>
          </cell>
          <cell r="FB52" t="str">
            <v/>
          </cell>
          <cell r="FC52" t="str">
            <v/>
          </cell>
          <cell r="FD52" t="str">
            <v/>
          </cell>
          <cell r="FE52" t="str">
            <v/>
          </cell>
          <cell r="FF52" t="str">
            <v/>
          </cell>
        </row>
        <row r="53">
          <cell r="C53">
            <v>49</v>
          </cell>
          <cell r="D53" t="str">
            <v>たかし保育園稲毛海岸</v>
          </cell>
          <cell r="E53" t="str">
            <v>無</v>
          </cell>
          <cell r="F53">
            <v>30</v>
          </cell>
          <cell r="H53">
            <v>18</v>
          </cell>
          <cell r="I53">
            <v>12</v>
          </cell>
          <cell r="O53">
            <v>1189000</v>
          </cell>
          <cell r="P53">
            <v>2627000</v>
          </cell>
          <cell r="Q53">
            <v>2627000</v>
          </cell>
          <cell r="R53">
            <v>1631000</v>
          </cell>
          <cell r="S53">
            <v>0</v>
          </cell>
          <cell r="T53">
            <v>0</v>
          </cell>
          <cell r="U53">
            <v>0</v>
          </cell>
          <cell r="V53">
            <v>0</v>
          </cell>
          <cell r="W53">
            <v>0</v>
          </cell>
          <cell r="X53">
            <v>0</v>
          </cell>
          <cell r="Y53">
            <v>0</v>
          </cell>
          <cell r="Z53">
            <v>0</v>
          </cell>
          <cell r="AA53">
            <v>0</v>
          </cell>
          <cell r="AB53">
            <v>0</v>
          </cell>
          <cell r="AC53">
            <v>1189000</v>
          </cell>
          <cell r="AD53">
            <v>2627000</v>
          </cell>
          <cell r="AE53">
            <v>2627000</v>
          </cell>
          <cell r="AF53">
            <v>1631000</v>
          </cell>
          <cell r="AG53">
            <v>0</v>
          </cell>
          <cell r="AH53">
            <v>0</v>
          </cell>
          <cell r="AI53">
            <v>0</v>
          </cell>
          <cell r="AJ53" t="str">
            <v>令和3年4月1日</v>
          </cell>
          <cell r="AL53" t="str">
            <v>令和3年10月29日交付</v>
          </cell>
          <cell r="AM53" t="str">
            <v>3号の48</v>
          </cell>
          <cell r="AN53" t="str">
            <v>有</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CW53" t="str">
            <v>無</v>
          </cell>
          <cell r="CX53">
            <v>1</v>
          </cell>
          <cell r="CY53" t="str">
            <v>無</v>
          </cell>
          <cell r="CZ53" t="str">
            <v>有</v>
          </cell>
          <cell r="DA53" t="str">
            <v>有</v>
          </cell>
          <cell r="DB53" t="str">
            <v>有</v>
          </cell>
          <cell r="DC53" t="str">
            <v>有</v>
          </cell>
          <cell r="DD53" t="str">
            <v>有</v>
          </cell>
          <cell r="DE53" t="str">
            <v>有</v>
          </cell>
          <cell r="DF53" t="str">
            <v>有</v>
          </cell>
          <cell r="DG53" t="str">
            <v>有</v>
          </cell>
          <cell r="DH53" t="str">
            <v>有</v>
          </cell>
          <cell r="DI53" t="str">
            <v>有</v>
          </cell>
          <cell r="DJ53" t="str">
            <v>有</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有</v>
          </cell>
          <cell r="DX53" t="str">
            <v>有</v>
          </cell>
          <cell r="DY53" t="str">
            <v>有</v>
          </cell>
          <cell r="DZ53" t="str">
            <v>有</v>
          </cell>
          <cell r="EA53" t="str">
            <v>有</v>
          </cell>
          <cell r="EB53" t="str">
            <v>有</v>
          </cell>
          <cell r="EC53" t="str">
            <v>有</v>
          </cell>
          <cell r="ED53" t="str">
            <v>有</v>
          </cell>
          <cell r="EE53" t="str">
            <v>有</v>
          </cell>
          <cell r="EF53" t="str">
            <v>有</v>
          </cell>
          <cell r="EG53" t="str">
            <v>有</v>
          </cell>
          <cell r="EH53" t="str">
            <v>有</v>
          </cell>
          <cell r="EI53" t="str">
            <v>配置</v>
          </cell>
          <cell r="EJ53" t="str">
            <v>配置</v>
          </cell>
          <cell r="EK53" t="str">
            <v>配置</v>
          </cell>
          <cell r="EL53" t="str">
            <v>配置</v>
          </cell>
          <cell r="EM53" t="str">
            <v>配置</v>
          </cell>
          <cell r="EN53" t="str">
            <v>配置</v>
          </cell>
          <cell r="EO53" t="str">
            <v>配置</v>
          </cell>
          <cell r="EP53" t="str">
            <v>配置</v>
          </cell>
          <cell r="EQ53" t="str">
            <v>配置</v>
          </cell>
          <cell r="ER53" t="str">
            <v>配置</v>
          </cell>
          <cell r="ES53" t="str">
            <v>配置</v>
          </cell>
          <cell r="ET53" t="str">
            <v>配置</v>
          </cell>
          <cell r="EU53">
            <v>76960</v>
          </cell>
          <cell r="EV53">
            <v>76960</v>
          </cell>
          <cell r="EW53">
            <v>76960</v>
          </cell>
          <cell r="EX53">
            <v>76960</v>
          </cell>
          <cell r="EY53">
            <v>76960</v>
          </cell>
          <cell r="EZ53">
            <v>76960</v>
          </cell>
          <cell r="FA53">
            <v>76960</v>
          </cell>
          <cell r="FB53">
            <v>76960</v>
          </cell>
          <cell r="FC53">
            <v>76960</v>
          </cell>
          <cell r="FD53">
            <v>76960</v>
          </cell>
          <cell r="FE53">
            <v>76960</v>
          </cell>
          <cell r="FF53">
            <v>76960</v>
          </cell>
        </row>
        <row r="54">
          <cell r="C54">
            <v>50</v>
          </cell>
          <cell r="D54" t="str">
            <v>幕張本郷きらきら保育園</v>
          </cell>
          <cell r="E54" t="str">
            <v>無</v>
          </cell>
          <cell r="F54">
            <v>59</v>
          </cell>
          <cell r="H54">
            <v>30</v>
          </cell>
          <cell r="I54">
            <v>29</v>
          </cell>
          <cell r="O54">
            <v>1189000</v>
          </cell>
          <cell r="P54">
            <v>2627000</v>
          </cell>
          <cell r="Q54">
            <v>2627000</v>
          </cell>
          <cell r="R54">
            <v>1631000</v>
          </cell>
          <cell r="S54">
            <v>0</v>
          </cell>
          <cell r="T54">
            <v>0</v>
          </cell>
          <cell r="U54">
            <v>0</v>
          </cell>
          <cell r="V54">
            <v>792000</v>
          </cell>
          <cell r="W54">
            <v>1751000</v>
          </cell>
          <cell r="X54">
            <v>1751000</v>
          </cell>
          <cell r="Y54">
            <v>1087000</v>
          </cell>
          <cell r="Z54">
            <v>0</v>
          </cell>
          <cell r="AA54">
            <v>0</v>
          </cell>
          <cell r="AB54">
            <v>0</v>
          </cell>
          <cell r="AC54">
            <v>397000</v>
          </cell>
          <cell r="AD54">
            <v>876000</v>
          </cell>
          <cell r="AE54">
            <v>876000</v>
          </cell>
          <cell r="AF54">
            <v>544000</v>
          </cell>
          <cell r="AG54">
            <v>0</v>
          </cell>
          <cell r="AH54">
            <v>0</v>
          </cell>
          <cell r="AI54">
            <v>0</v>
          </cell>
          <cell r="AJ54" t="str">
            <v>令和3年4月1日</v>
          </cell>
          <cell r="AK54" t="str">
            <v>令和3年5月31日交付</v>
          </cell>
          <cell r="AL54" t="str">
            <v>令和3年10月29日交付</v>
          </cell>
          <cell r="AM54" t="str">
            <v>3号の49</v>
          </cell>
          <cell r="AN54" t="str">
            <v>有</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v>1</v>
          </cell>
          <cell r="BN54">
            <v>1</v>
          </cell>
          <cell r="BO54">
            <v>1</v>
          </cell>
          <cell r="BP54">
            <v>1</v>
          </cell>
          <cell r="BQ54">
            <v>1</v>
          </cell>
          <cell r="BR54">
            <v>1</v>
          </cell>
          <cell r="BS54">
            <v>1</v>
          </cell>
          <cell r="BT54">
            <v>1</v>
          </cell>
          <cell r="BU54">
            <v>1</v>
          </cell>
          <cell r="BV54">
            <v>1</v>
          </cell>
          <cell r="BW54">
            <v>1</v>
          </cell>
          <cell r="BX54">
            <v>1</v>
          </cell>
          <cell r="CK54">
            <v>0</v>
          </cell>
          <cell r="CL54">
            <v>0</v>
          </cell>
          <cell r="CM54">
            <v>0</v>
          </cell>
          <cell r="CN54">
            <v>0</v>
          </cell>
          <cell r="CO54">
            <v>0</v>
          </cell>
          <cell r="CP54">
            <v>0</v>
          </cell>
          <cell r="CQ54">
            <v>0</v>
          </cell>
          <cell r="CR54">
            <v>0</v>
          </cell>
          <cell r="CS54">
            <v>0</v>
          </cell>
          <cell r="CT54">
            <v>0</v>
          </cell>
          <cell r="CU54">
            <v>0</v>
          </cell>
          <cell r="CV54">
            <v>0</v>
          </cell>
          <cell r="CW54" t="str">
            <v>無</v>
          </cell>
          <cell r="CX54">
            <v>0</v>
          </cell>
          <cell r="CY54" t="str">
            <v>有</v>
          </cell>
          <cell r="CZ54" t="str">
            <v>有</v>
          </cell>
          <cell r="DA54" t="str">
            <v>有</v>
          </cell>
          <cell r="DB54" t="str">
            <v>有</v>
          </cell>
          <cell r="DC54" t="str">
            <v>有</v>
          </cell>
          <cell r="DD54" t="str">
            <v>有</v>
          </cell>
          <cell r="DE54" t="str">
            <v>有</v>
          </cell>
          <cell r="DF54" t="str">
            <v>有</v>
          </cell>
          <cell r="DG54" t="str">
            <v>有</v>
          </cell>
          <cell r="DH54" t="str">
            <v>有</v>
          </cell>
          <cell r="DI54" t="str">
            <v>有</v>
          </cell>
          <cell r="DJ54" t="str">
            <v>有</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有</v>
          </cell>
          <cell r="DX54" t="str">
            <v>有</v>
          </cell>
          <cell r="DY54" t="str">
            <v>有</v>
          </cell>
          <cell r="DZ54" t="str">
            <v>有</v>
          </cell>
          <cell r="EA54" t="str">
            <v>有</v>
          </cell>
          <cell r="EB54" t="str">
            <v>有</v>
          </cell>
          <cell r="EC54" t="str">
            <v>有</v>
          </cell>
          <cell r="ED54" t="str">
            <v>有</v>
          </cell>
          <cell r="EE54" t="str">
            <v>有</v>
          </cell>
          <cell r="EF54" t="str">
            <v>有</v>
          </cell>
          <cell r="EG54" t="str">
            <v>有</v>
          </cell>
          <cell r="EH54" t="str">
            <v>有</v>
          </cell>
          <cell r="EI54" t="str">
            <v>嘱託</v>
          </cell>
          <cell r="EJ54" t="str">
            <v>嘱託</v>
          </cell>
          <cell r="EK54" t="str">
            <v>嘱託</v>
          </cell>
          <cell r="EL54" t="str">
            <v>嘱託</v>
          </cell>
          <cell r="EM54" t="str">
            <v>嘱託</v>
          </cell>
          <cell r="EN54" t="str">
            <v>嘱託</v>
          </cell>
          <cell r="EO54" t="str">
            <v>嘱託</v>
          </cell>
          <cell r="EP54" t="str">
            <v>嘱託</v>
          </cell>
          <cell r="EQ54" t="str">
            <v>嘱託</v>
          </cell>
          <cell r="ER54" t="str">
            <v>嘱託</v>
          </cell>
          <cell r="ES54" t="str">
            <v>嘱託</v>
          </cell>
          <cell r="ET54" t="str">
            <v>嘱託</v>
          </cell>
          <cell r="EU54" t="str">
            <v/>
          </cell>
          <cell r="EV54" t="str">
            <v/>
          </cell>
          <cell r="EW54" t="str">
            <v/>
          </cell>
          <cell r="EX54" t="str">
            <v/>
          </cell>
          <cell r="EY54" t="str">
            <v/>
          </cell>
          <cell r="EZ54" t="str">
            <v/>
          </cell>
          <cell r="FA54" t="str">
            <v/>
          </cell>
          <cell r="FB54" t="str">
            <v/>
          </cell>
          <cell r="FC54" t="str">
            <v/>
          </cell>
          <cell r="FD54" t="str">
            <v/>
          </cell>
          <cell r="FE54" t="str">
            <v/>
          </cell>
          <cell r="FF54" t="str">
            <v/>
          </cell>
        </row>
        <row r="55">
          <cell r="C55">
            <v>51</v>
          </cell>
          <cell r="D55" t="str">
            <v>泉保育園</v>
          </cell>
          <cell r="E55" t="str">
            <v>無</v>
          </cell>
          <cell r="F55">
            <v>60</v>
          </cell>
          <cell r="H55">
            <v>33</v>
          </cell>
          <cell r="I55">
            <v>27</v>
          </cell>
          <cell r="O55">
            <v>1189000</v>
          </cell>
          <cell r="P55">
            <v>2627000</v>
          </cell>
          <cell r="Q55">
            <v>2627000</v>
          </cell>
          <cell r="R55">
            <v>1631000</v>
          </cell>
          <cell r="S55">
            <v>0</v>
          </cell>
          <cell r="T55">
            <v>0</v>
          </cell>
          <cell r="U55">
            <v>0</v>
          </cell>
          <cell r="V55">
            <v>792000</v>
          </cell>
          <cell r="W55">
            <v>1751000</v>
          </cell>
          <cell r="X55">
            <v>1751000</v>
          </cell>
          <cell r="Y55">
            <v>1087000</v>
          </cell>
          <cell r="Z55">
            <v>0</v>
          </cell>
          <cell r="AA55">
            <v>0</v>
          </cell>
          <cell r="AB55">
            <v>0</v>
          </cell>
          <cell r="AC55">
            <v>0</v>
          </cell>
          <cell r="AD55">
            <v>0</v>
          </cell>
          <cell r="AE55">
            <v>0</v>
          </cell>
          <cell r="AF55">
            <v>0</v>
          </cell>
          <cell r="AG55">
            <v>0</v>
          </cell>
          <cell r="AH55">
            <v>0</v>
          </cell>
          <cell r="AI55">
            <v>0</v>
          </cell>
          <cell r="AJ55" t="str">
            <v>令和3年4月1日</v>
          </cell>
          <cell r="AK55" t="str">
            <v>令和3年5月31日交付</v>
          </cell>
          <cell r="AM55" t="str">
            <v>3号の50</v>
          </cell>
          <cell r="AN55" t="str">
            <v>有</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CW55" t="str">
            <v>無</v>
          </cell>
          <cell r="CX55">
            <v>0</v>
          </cell>
          <cell r="CY55" t="str">
            <v>無</v>
          </cell>
          <cell r="CZ55" t="str">
            <v>無</v>
          </cell>
          <cell r="DA55" t="str">
            <v>無</v>
          </cell>
          <cell r="DB55" t="str">
            <v>無</v>
          </cell>
          <cell r="DC55" t="str">
            <v>無</v>
          </cell>
          <cell r="DD55" t="str">
            <v>無</v>
          </cell>
          <cell r="DE55" t="str">
            <v>無</v>
          </cell>
          <cell r="DF55" t="str">
            <v>無</v>
          </cell>
          <cell r="DG55" t="str">
            <v>無</v>
          </cell>
          <cell r="DH55" t="str">
            <v>無</v>
          </cell>
          <cell r="DI55" t="str">
            <v>無</v>
          </cell>
          <cell r="DJ55" t="str">
            <v>無</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有</v>
          </cell>
          <cell r="DX55" t="str">
            <v>有</v>
          </cell>
          <cell r="DY55" t="str">
            <v>有</v>
          </cell>
          <cell r="DZ55" t="str">
            <v>有</v>
          </cell>
          <cell r="EA55" t="str">
            <v>有</v>
          </cell>
          <cell r="EB55" t="str">
            <v>有</v>
          </cell>
          <cell r="EC55" t="str">
            <v>有</v>
          </cell>
          <cell r="ED55" t="str">
            <v>有</v>
          </cell>
          <cell r="EE55" t="str">
            <v>有</v>
          </cell>
          <cell r="EF55" t="str">
            <v>有</v>
          </cell>
          <cell r="EG55" t="str">
            <v>有</v>
          </cell>
          <cell r="EH55" t="str">
            <v>有</v>
          </cell>
          <cell r="EI55" t="str">
            <v>配置</v>
          </cell>
          <cell r="EJ55" t="str">
            <v>配置</v>
          </cell>
          <cell r="EK55" t="str">
            <v>配置</v>
          </cell>
          <cell r="EL55" t="str">
            <v>配置</v>
          </cell>
          <cell r="EM55" t="str">
            <v>配置</v>
          </cell>
          <cell r="EN55" t="str">
            <v>配置</v>
          </cell>
          <cell r="EO55" t="str">
            <v>配置</v>
          </cell>
          <cell r="EP55" t="str">
            <v>配置</v>
          </cell>
          <cell r="EQ55" t="str">
            <v>配置</v>
          </cell>
          <cell r="ER55" t="str">
            <v>配置</v>
          </cell>
          <cell r="ES55" t="str">
            <v>配置</v>
          </cell>
          <cell r="ET55" t="str">
            <v>配置</v>
          </cell>
          <cell r="EU55">
            <v>76960</v>
          </cell>
          <cell r="EV55">
            <v>76960</v>
          </cell>
          <cell r="EW55">
            <v>76960</v>
          </cell>
          <cell r="EX55">
            <v>76960</v>
          </cell>
          <cell r="EY55">
            <v>76960</v>
          </cell>
          <cell r="EZ55">
            <v>76960</v>
          </cell>
          <cell r="FA55">
            <v>76960</v>
          </cell>
          <cell r="FB55">
            <v>76960</v>
          </cell>
          <cell r="FC55">
            <v>76960</v>
          </cell>
          <cell r="FD55">
            <v>76960</v>
          </cell>
          <cell r="FE55">
            <v>76960</v>
          </cell>
          <cell r="FF55">
            <v>76960</v>
          </cell>
        </row>
        <row r="56">
          <cell r="C56">
            <v>52</v>
          </cell>
          <cell r="D56" t="str">
            <v>ココファン・ナーサリー稲毛</v>
          </cell>
          <cell r="E56" t="str">
            <v>無</v>
          </cell>
          <cell r="F56">
            <v>59</v>
          </cell>
          <cell r="H56">
            <v>35</v>
          </cell>
          <cell r="I56">
            <v>24</v>
          </cell>
          <cell r="O56">
            <v>1189000</v>
          </cell>
          <cell r="P56">
            <v>2627000</v>
          </cell>
          <cell r="Q56">
            <v>2627000</v>
          </cell>
          <cell r="R56">
            <v>1028000</v>
          </cell>
          <cell r="S56">
            <v>0</v>
          </cell>
          <cell r="T56">
            <v>0</v>
          </cell>
          <cell r="U56">
            <v>0</v>
          </cell>
          <cell r="V56">
            <v>792000</v>
          </cell>
          <cell r="W56">
            <v>1751000</v>
          </cell>
          <cell r="X56">
            <v>1751000</v>
          </cell>
          <cell r="Y56">
            <v>685000</v>
          </cell>
          <cell r="Z56">
            <v>0</v>
          </cell>
          <cell r="AA56">
            <v>0</v>
          </cell>
          <cell r="AB56">
            <v>0</v>
          </cell>
          <cell r="AC56">
            <v>0</v>
          </cell>
          <cell r="AD56">
            <v>0</v>
          </cell>
          <cell r="AE56">
            <v>0</v>
          </cell>
          <cell r="AF56">
            <v>0</v>
          </cell>
          <cell r="AG56">
            <v>0</v>
          </cell>
          <cell r="AH56">
            <v>0</v>
          </cell>
          <cell r="AI56">
            <v>0</v>
          </cell>
          <cell r="AJ56" t="str">
            <v>令和3年4月1日</v>
          </cell>
          <cell r="AK56" t="str">
            <v>令和3年5月31日交付</v>
          </cell>
          <cell r="AM56" t="str">
            <v>3号の51</v>
          </cell>
          <cell r="AN56" t="str">
            <v>有</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N56">
            <v>1</v>
          </cell>
          <cell r="BO56">
            <v>1</v>
          </cell>
          <cell r="BP56">
            <v>1</v>
          </cell>
          <cell r="BQ56">
            <v>1</v>
          </cell>
          <cell r="BR56">
            <v>1</v>
          </cell>
          <cell r="BS56">
            <v>1</v>
          </cell>
          <cell r="BT56">
            <v>1</v>
          </cell>
          <cell r="BU56">
            <v>1</v>
          </cell>
          <cell r="BV56">
            <v>1</v>
          </cell>
          <cell r="BW56">
            <v>1</v>
          </cell>
          <cell r="BX56">
            <v>1</v>
          </cell>
          <cell r="CL56">
            <v>0</v>
          </cell>
          <cell r="CM56">
            <v>0</v>
          </cell>
          <cell r="CN56">
            <v>0</v>
          </cell>
          <cell r="CO56">
            <v>0</v>
          </cell>
          <cell r="CP56">
            <v>0</v>
          </cell>
          <cell r="CQ56">
            <v>0</v>
          </cell>
          <cell r="CR56">
            <v>0</v>
          </cell>
          <cell r="CS56">
            <v>0</v>
          </cell>
          <cell r="CT56">
            <v>0</v>
          </cell>
          <cell r="CU56">
            <v>0</v>
          </cell>
          <cell r="CV56">
            <v>0</v>
          </cell>
          <cell r="CW56" t="str">
            <v>無</v>
          </cell>
          <cell r="CX56">
            <v>0</v>
          </cell>
          <cell r="CY56" t="str">
            <v>有</v>
          </cell>
          <cell r="CZ56" t="str">
            <v>有</v>
          </cell>
          <cell r="DA56" t="str">
            <v>有</v>
          </cell>
          <cell r="DB56" t="str">
            <v>有</v>
          </cell>
          <cell r="DC56" t="str">
            <v>有</v>
          </cell>
          <cell r="DD56" t="str">
            <v>有</v>
          </cell>
          <cell r="DE56" t="str">
            <v>有</v>
          </cell>
          <cell r="DF56" t="str">
            <v>有</v>
          </cell>
          <cell r="DG56" t="str">
            <v>有</v>
          </cell>
          <cell r="DH56" t="str">
            <v>有</v>
          </cell>
          <cell r="DI56" t="str">
            <v>有</v>
          </cell>
          <cell r="DJ56" t="str">
            <v>有</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有</v>
          </cell>
          <cell r="DX56" t="str">
            <v>有</v>
          </cell>
          <cell r="DY56" t="str">
            <v>有</v>
          </cell>
          <cell r="DZ56" t="str">
            <v>有</v>
          </cell>
          <cell r="EA56" t="str">
            <v>有</v>
          </cell>
          <cell r="EB56" t="str">
            <v>有</v>
          </cell>
          <cell r="EC56" t="str">
            <v>有</v>
          </cell>
          <cell r="ED56" t="str">
            <v>有</v>
          </cell>
          <cell r="EE56" t="str">
            <v>有</v>
          </cell>
          <cell r="EF56" t="str">
            <v>有</v>
          </cell>
          <cell r="EG56" t="str">
            <v>有</v>
          </cell>
          <cell r="EH56" t="str">
            <v>有</v>
          </cell>
          <cell r="EI56" t="str">
            <v>配置</v>
          </cell>
          <cell r="EJ56" t="str">
            <v>配置</v>
          </cell>
          <cell r="EK56" t="str">
            <v>配置</v>
          </cell>
          <cell r="EL56" t="str">
            <v>配置</v>
          </cell>
          <cell r="EM56" t="str">
            <v>配置</v>
          </cell>
          <cell r="EN56" t="str">
            <v>配置</v>
          </cell>
          <cell r="EO56" t="str">
            <v>配置</v>
          </cell>
          <cell r="EP56" t="str">
            <v>配置</v>
          </cell>
          <cell r="EQ56" t="str">
            <v>配置</v>
          </cell>
          <cell r="ER56" t="str">
            <v>配置</v>
          </cell>
          <cell r="ES56" t="str">
            <v>配置</v>
          </cell>
          <cell r="ET56" t="str">
            <v>配置</v>
          </cell>
          <cell r="EU56">
            <v>76960</v>
          </cell>
          <cell r="EV56">
            <v>76960</v>
          </cell>
          <cell r="EW56">
            <v>76960</v>
          </cell>
          <cell r="EX56">
            <v>76960</v>
          </cell>
          <cell r="EY56">
            <v>76960</v>
          </cell>
          <cell r="EZ56">
            <v>76960</v>
          </cell>
          <cell r="FA56">
            <v>76960</v>
          </cell>
          <cell r="FB56">
            <v>76960</v>
          </cell>
          <cell r="FC56">
            <v>76960</v>
          </cell>
          <cell r="FD56">
            <v>76960</v>
          </cell>
          <cell r="FE56">
            <v>76960</v>
          </cell>
          <cell r="FF56">
            <v>76960</v>
          </cell>
        </row>
        <row r="57">
          <cell r="C57">
            <v>53</v>
          </cell>
          <cell r="D57" t="str">
            <v>都賀保育園</v>
          </cell>
          <cell r="E57" t="str">
            <v>無</v>
          </cell>
          <cell r="F57">
            <v>90</v>
          </cell>
          <cell r="H57">
            <v>51</v>
          </cell>
          <cell r="I57">
            <v>39</v>
          </cell>
          <cell r="O57">
            <v>1189000</v>
          </cell>
          <cell r="P57">
            <v>2627000</v>
          </cell>
          <cell r="Q57">
            <v>2627000</v>
          </cell>
          <cell r="R57">
            <v>1028000</v>
          </cell>
          <cell r="S57">
            <v>0</v>
          </cell>
          <cell r="T57">
            <v>0</v>
          </cell>
          <cell r="U57">
            <v>1982000</v>
          </cell>
          <cell r="V57">
            <v>792000</v>
          </cell>
          <cell r="W57">
            <v>1751000</v>
          </cell>
          <cell r="X57">
            <v>1751000</v>
          </cell>
          <cell r="Y57">
            <v>685000</v>
          </cell>
          <cell r="Z57">
            <v>0</v>
          </cell>
          <cell r="AA57">
            <v>0</v>
          </cell>
          <cell r="AB57">
            <v>1321000</v>
          </cell>
          <cell r="AC57">
            <v>397000</v>
          </cell>
          <cell r="AD57">
            <v>876000</v>
          </cell>
          <cell r="AE57">
            <v>876000</v>
          </cell>
          <cell r="AF57">
            <v>343000</v>
          </cell>
          <cell r="AG57">
            <v>0</v>
          </cell>
          <cell r="AH57">
            <v>0</v>
          </cell>
          <cell r="AI57">
            <v>661000</v>
          </cell>
          <cell r="AJ57" t="str">
            <v>令和3年4月1日</v>
          </cell>
          <cell r="AK57" t="str">
            <v>令和3年5月31日交付</v>
          </cell>
          <cell r="AL57" t="str">
            <v>令和3年10月29日交付</v>
          </cell>
          <cell r="AM57" t="str">
            <v>3号の52</v>
          </cell>
          <cell r="AN57" t="str">
            <v>有</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CW57" t="str">
            <v>無</v>
          </cell>
          <cell r="CX57">
            <v>2</v>
          </cell>
          <cell r="CY57" t="str">
            <v>有</v>
          </cell>
          <cell r="CZ57" t="str">
            <v>有</v>
          </cell>
          <cell r="DA57" t="str">
            <v>有</v>
          </cell>
          <cell r="DB57" t="str">
            <v>有</v>
          </cell>
          <cell r="DC57" t="str">
            <v>有</v>
          </cell>
          <cell r="DD57" t="str">
            <v>有</v>
          </cell>
          <cell r="DE57" t="str">
            <v>有</v>
          </cell>
          <cell r="DF57" t="str">
            <v>有</v>
          </cell>
          <cell r="DG57" t="str">
            <v>有</v>
          </cell>
          <cell r="DH57" t="str">
            <v>有</v>
          </cell>
          <cell r="DI57" t="str">
            <v>有</v>
          </cell>
          <cell r="DJ57" t="str">
            <v>有</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有</v>
          </cell>
          <cell r="DX57" t="str">
            <v>有</v>
          </cell>
          <cell r="DY57" t="str">
            <v>有</v>
          </cell>
          <cell r="DZ57" t="str">
            <v>有</v>
          </cell>
          <cell r="EA57" t="str">
            <v>有</v>
          </cell>
          <cell r="EB57" t="str">
            <v>有</v>
          </cell>
          <cell r="EC57" t="str">
            <v>有</v>
          </cell>
          <cell r="ED57" t="str">
            <v>有</v>
          </cell>
          <cell r="EE57" t="str">
            <v>有</v>
          </cell>
          <cell r="EF57" t="str">
            <v>有</v>
          </cell>
          <cell r="EG57" t="str">
            <v>有</v>
          </cell>
          <cell r="EH57" t="str">
            <v>有</v>
          </cell>
          <cell r="EI57" t="str">
            <v>配置</v>
          </cell>
          <cell r="EJ57" t="str">
            <v>配置</v>
          </cell>
          <cell r="EK57" t="str">
            <v>配置</v>
          </cell>
          <cell r="EL57" t="str">
            <v>配置</v>
          </cell>
          <cell r="EM57" t="str">
            <v>配置</v>
          </cell>
          <cell r="EN57" t="str">
            <v>配置</v>
          </cell>
          <cell r="EO57" t="str">
            <v>配置</v>
          </cell>
          <cell r="EP57" t="str">
            <v>配置</v>
          </cell>
          <cell r="EQ57" t="str">
            <v>配置</v>
          </cell>
          <cell r="ER57" t="str">
            <v>配置</v>
          </cell>
          <cell r="ES57" t="str">
            <v>配置</v>
          </cell>
          <cell r="ET57" t="str">
            <v>配置</v>
          </cell>
          <cell r="EU57">
            <v>76960</v>
          </cell>
          <cell r="EV57">
            <v>76960</v>
          </cell>
          <cell r="EW57">
            <v>76960</v>
          </cell>
          <cell r="EX57">
            <v>76960</v>
          </cell>
          <cell r="EY57">
            <v>76960</v>
          </cell>
          <cell r="EZ57">
            <v>76960</v>
          </cell>
          <cell r="FA57">
            <v>76960</v>
          </cell>
          <cell r="FB57">
            <v>76960</v>
          </cell>
          <cell r="FC57">
            <v>76960</v>
          </cell>
          <cell r="FD57">
            <v>76960</v>
          </cell>
          <cell r="FE57">
            <v>76960</v>
          </cell>
          <cell r="FF57">
            <v>76960</v>
          </cell>
        </row>
        <row r="58">
          <cell r="C58">
            <v>54</v>
          </cell>
          <cell r="D58" t="str">
            <v>ニチイキッズ
あすみが丘保育園</v>
          </cell>
          <cell r="E58" t="str">
            <v>無</v>
          </cell>
          <cell r="F58">
            <v>59</v>
          </cell>
          <cell r="H58">
            <v>32</v>
          </cell>
          <cell r="I58">
            <v>27</v>
          </cell>
          <cell r="O58">
            <v>1189000</v>
          </cell>
          <cell r="P58">
            <v>2627000</v>
          </cell>
          <cell r="Q58">
            <v>2627000</v>
          </cell>
          <cell r="R58">
            <v>1028000</v>
          </cell>
          <cell r="S58">
            <v>0</v>
          </cell>
          <cell r="T58">
            <v>1982000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t="str">
            <v>令和3年4月1日</v>
          </cell>
          <cell r="AM58" t="str">
            <v>3号の53</v>
          </cell>
          <cell r="AN58" t="str">
            <v>有</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v>1</v>
          </cell>
          <cell r="BN58">
            <v>1</v>
          </cell>
          <cell r="BO58">
            <v>1</v>
          </cell>
          <cell r="BP58">
            <v>1</v>
          </cell>
          <cell r="BQ58">
            <v>1</v>
          </cell>
          <cell r="BR58">
            <v>1</v>
          </cell>
          <cell r="BS58">
            <v>1</v>
          </cell>
          <cell r="BT58">
            <v>1</v>
          </cell>
          <cell r="BU58">
            <v>1</v>
          </cell>
          <cell r="BV58">
            <v>1</v>
          </cell>
          <cell r="BW58">
            <v>1</v>
          </cell>
          <cell r="BX58">
            <v>1</v>
          </cell>
          <cell r="CK58">
            <v>0</v>
          </cell>
          <cell r="CL58">
            <v>0</v>
          </cell>
          <cell r="CM58">
            <v>0</v>
          </cell>
          <cell r="CN58">
            <v>0</v>
          </cell>
          <cell r="CO58">
            <v>0</v>
          </cell>
          <cell r="CP58">
            <v>0</v>
          </cell>
          <cell r="CQ58">
            <v>0</v>
          </cell>
          <cell r="CR58">
            <v>0</v>
          </cell>
          <cell r="CS58">
            <v>0</v>
          </cell>
          <cell r="CT58">
            <v>0</v>
          </cell>
          <cell r="CU58">
            <v>0</v>
          </cell>
          <cell r="CV58">
            <v>0</v>
          </cell>
          <cell r="CW58" t="str">
            <v>無</v>
          </cell>
          <cell r="CX58">
            <v>0</v>
          </cell>
          <cell r="CY58" t="str">
            <v>有</v>
          </cell>
          <cell r="CZ58" t="str">
            <v>有</v>
          </cell>
          <cell r="DA58" t="str">
            <v>有</v>
          </cell>
          <cell r="DB58" t="str">
            <v>有</v>
          </cell>
          <cell r="DC58" t="str">
            <v>有</v>
          </cell>
          <cell r="DD58" t="str">
            <v>有</v>
          </cell>
          <cell r="DE58" t="str">
            <v>有</v>
          </cell>
          <cell r="DF58" t="str">
            <v>有</v>
          </cell>
          <cell r="DG58" t="str">
            <v>有</v>
          </cell>
          <cell r="DH58" t="str">
            <v>有</v>
          </cell>
          <cell r="DI58" t="str">
            <v>有</v>
          </cell>
          <cell r="DJ58" t="str">
            <v>有</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有</v>
          </cell>
          <cell r="DX58" t="str">
            <v>有</v>
          </cell>
          <cell r="DY58" t="str">
            <v>有</v>
          </cell>
          <cell r="DZ58" t="str">
            <v>有</v>
          </cell>
          <cell r="EA58" t="str">
            <v>有</v>
          </cell>
          <cell r="EB58" t="str">
            <v>有</v>
          </cell>
          <cell r="EC58" t="str">
            <v>有</v>
          </cell>
          <cell r="ED58" t="str">
            <v>有</v>
          </cell>
          <cell r="EE58" t="str">
            <v>有</v>
          </cell>
          <cell r="EF58" t="str">
            <v>有</v>
          </cell>
          <cell r="EG58" t="str">
            <v>有</v>
          </cell>
          <cell r="EH58" t="str">
            <v>有</v>
          </cell>
          <cell r="EI58" t="str">
            <v>配置</v>
          </cell>
          <cell r="EJ58" t="str">
            <v>配置</v>
          </cell>
          <cell r="EK58" t="str">
            <v>配置</v>
          </cell>
          <cell r="EL58" t="str">
            <v>配置</v>
          </cell>
          <cell r="EM58" t="str">
            <v>配置</v>
          </cell>
          <cell r="EN58" t="str">
            <v>配置</v>
          </cell>
          <cell r="EO58" t="str">
            <v>配置</v>
          </cell>
          <cell r="EP58" t="str">
            <v>配置</v>
          </cell>
          <cell r="EQ58" t="str">
            <v>配置</v>
          </cell>
          <cell r="ER58" t="str">
            <v>配置</v>
          </cell>
          <cell r="ES58" t="str">
            <v>配置</v>
          </cell>
          <cell r="ET58" t="str">
            <v>配置</v>
          </cell>
          <cell r="EU58">
            <v>76960</v>
          </cell>
          <cell r="EV58">
            <v>76960</v>
          </cell>
          <cell r="EW58">
            <v>76960</v>
          </cell>
          <cell r="EX58">
            <v>76960</v>
          </cell>
          <cell r="EY58">
            <v>76960</v>
          </cell>
          <cell r="EZ58">
            <v>76960</v>
          </cell>
          <cell r="FA58">
            <v>76960</v>
          </cell>
          <cell r="FB58">
            <v>76960</v>
          </cell>
          <cell r="FC58">
            <v>76960</v>
          </cell>
          <cell r="FD58">
            <v>76960</v>
          </cell>
          <cell r="FE58">
            <v>76960</v>
          </cell>
          <cell r="FF58">
            <v>76960</v>
          </cell>
        </row>
        <row r="59">
          <cell r="C59">
            <v>55</v>
          </cell>
          <cell r="D59" t="str">
            <v>美光保育園</v>
          </cell>
          <cell r="E59" t="str">
            <v>無</v>
          </cell>
          <cell r="F59">
            <v>90</v>
          </cell>
          <cell r="H59">
            <v>50</v>
          </cell>
          <cell r="I59">
            <v>40</v>
          </cell>
          <cell r="O59">
            <v>1189000</v>
          </cell>
          <cell r="P59">
            <v>2627000</v>
          </cell>
          <cell r="Q59">
            <v>2627000</v>
          </cell>
          <cell r="R59">
            <v>1631000</v>
          </cell>
          <cell r="S59">
            <v>0</v>
          </cell>
          <cell r="T59">
            <v>1982000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t="str">
            <v>令和3年4月1日</v>
          </cell>
          <cell r="AM59" t="str">
            <v>3号の54</v>
          </cell>
          <cell r="AN59" t="str">
            <v>有</v>
          </cell>
          <cell r="AO59" t="str">
            <v>一般型</v>
          </cell>
          <cell r="AP59" t="str">
            <v>一般型</v>
          </cell>
          <cell r="AQ59" t="str">
            <v>一般型</v>
          </cell>
          <cell r="AR59" t="str">
            <v>一般型</v>
          </cell>
          <cell r="AS59" t="str">
            <v>一般型</v>
          </cell>
          <cell r="AT59" t="str">
            <v>一般型</v>
          </cell>
          <cell r="AU59" t="str">
            <v>一般型</v>
          </cell>
          <cell r="AV59" t="str">
            <v>一般型</v>
          </cell>
          <cell r="AW59" t="str">
            <v>一般型</v>
          </cell>
          <cell r="AX59" t="str">
            <v>一般型</v>
          </cell>
          <cell r="AY59" t="str">
            <v>一般型</v>
          </cell>
          <cell r="AZ59" t="str">
            <v>一般型</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v>1</v>
          </cell>
          <cell r="BN59">
            <v>1</v>
          </cell>
          <cell r="BO59">
            <v>1</v>
          </cell>
          <cell r="BP59">
            <v>1</v>
          </cell>
          <cell r="BQ59">
            <v>1</v>
          </cell>
          <cell r="BR59">
            <v>1</v>
          </cell>
          <cell r="BS59">
            <v>1</v>
          </cell>
          <cell r="BT59">
            <v>1</v>
          </cell>
          <cell r="BU59">
            <v>1</v>
          </cell>
          <cell r="BV59">
            <v>1</v>
          </cell>
          <cell r="BW59">
            <v>1</v>
          </cell>
          <cell r="BX59">
            <v>1</v>
          </cell>
          <cell r="CK59">
            <v>0</v>
          </cell>
          <cell r="CL59">
            <v>0</v>
          </cell>
          <cell r="CM59">
            <v>0</v>
          </cell>
          <cell r="CN59">
            <v>0</v>
          </cell>
          <cell r="CO59">
            <v>0</v>
          </cell>
          <cell r="CP59">
            <v>0</v>
          </cell>
          <cell r="CQ59">
            <v>0</v>
          </cell>
          <cell r="CR59">
            <v>0</v>
          </cell>
          <cell r="CS59">
            <v>0</v>
          </cell>
          <cell r="CT59">
            <v>0</v>
          </cell>
          <cell r="CU59">
            <v>0</v>
          </cell>
          <cell r="CV59">
            <v>0</v>
          </cell>
          <cell r="CW59" t="str">
            <v>無</v>
          </cell>
          <cell r="CX59">
            <v>1</v>
          </cell>
          <cell r="CY59" t="str">
            <v>有</v>
          </cell>
          <cell r="CZ59" t="str">
            <v>有</v>
          </cell>
          <cell r="DA59" t="str">
            <v>有</v>
          </cell>
          <cell r="DB59" t="str">
            <v>有</v>
          </cell>
          <cell r="DC59" t="str">
            <v>有</v>
          </cell>
          <cell r="DD59" t="str">
            <v>有</v>
          </cell>
          <cell r="DE59" t="str">
            <v>有</v>
          </cell>
          <cell r="DF59" t="str">
            <v>有</v>
          </cell>
          <cell r="DG59" t="str">
            <v>有</v>
          </cell>
          <cell r="DH59" t="str">
            <v>有</v>
          </cell>
          <cell r="DI59" t="str">
            <v>有</v>
          </cell>
          <cell r="DJ59" t="str">
            <v>有</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有</v>
          </cell>
          <cell r="DX59" t="str">
            <v>有</v>
          </cell>
          <cell r="DY59" t="str">
            <v>有</v>
          </cell>
          <cell r="DZ59" t="str">
            <v>有</v>
          </cell>
          <cell r="EA59" t="str">
            <v>有</v>
          </cell>
          <cell r="EB59" t="str">
            <v>有</v>
          </cell>
          <cell r="EC59" t="str">
            <v>有</v>
          </cell>
          <cell r="ED59" t="str">
            <v>有</v>
          </cell>
          <cell r="EE59" t="str">
            <v>有</v>
          </cell>
          <cell r="EF59" t="str">
            <v>有</v>
          </cell>
          <cell r="EG59" t="str">
            <v>有</v>
          </cell>
          <cell r="EH59" t="str">
            <v>有</v>
          </cell>
          <cell r="EI59" t="str">
            <v>配置</v>
          </cell>
          <cell r="EJ59" t="str">
            <v>配置</v>
          </cell>
          <cell r="EK59" t="str">
            <v>配置</v>
          </cell>
          <cell r="EL59" t="str">
            <v>配置</v>
          </cell>
          <cell r="EM59" t="str">
            <v>配置</v>
          </cell>
          <cell r="EN59" t="str">
            <v>配置</v>
          </cell>
          <cell r="EO59" t="str">
            <v>配置</v>
          </cell>
          <cell r="EP59" t="str">
            <v>配置</v>
          </cell>
          <cell r="EQ59" t="str">
            <v>配置</v>
          </cell>
          <cell r="ER59" t="str">
            <v>配置</v>
          </cell>
          <cell r="ES59" t="str">
            <v>配置</v>
          </cell>
          <cell r="ET59" t="str">
            <v>配置</v>
          </cell>
          <cell r="EU59">
            <v>76960</v>
          </cell>
          <cell r="EV59">
            <v>76960</v>
          </cell>
          <cell r="EW59">
            <v>76960</v>
          </cell>
          <cell r="EX59">
            <v>76960</v>
          </cell>
          <cell r="EY59">
            <v>76960</v>
          </cell>
          <cell r="EZ59">
            <v>76960</v>
          </cell>
          <cell r="FA59">
            <v>76960</v>
          </cell>
          <cell r="FB59">
            <v>76960</v>
          </cell>
          <cell r="FC59">
            <v>76960</v>
          </cell>
          <cell r="FD59">
            <v>76960</v>
          </cell>
          <cell r="FE59">
            <v>76960</v>
          </cell>
          <cell r="FF59">
            <v>76960</v>
          </cell>
        </row>
        <row r="60">
          <cell r="C60">
            <v>56</v>
          </cell>
          <cell r="D60" t="str">
            <v>第２幕張海浜保育園</v>
          </cell>
          <cell r="E60" t="str">
            <v>無</v>
          </cell>
          <cell r="F60">
            <v>30</v>
          </cell>
          <cell r="H60">
            <v>17</v>
          </cell>
          <cell r="I60">
            <v>13</v>
          </cell>
          <cell r="O60">
            <v>1189000</v>
          </cell>
          <cell r="P60">
            <v>2627000</v>
          </cell>
          <cell r="Q60">
            <v>2627000</v>
          </cell>
          <cell r="R60">
            <v>1631000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t="str">
            <v>令和3年4月1日</v>
          </cell>
          <cell r="AM60" t="str">
            <v>3号の55</v>
          </cell>
          <cell r="AN60" t="str">
            <v>有</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CW60" t="str">
            <v>無</v>
          </cell>
          <cell r="CX60">
            <v>0</v>
          </cell>
          <cell r="CY60" t="str">
            <v>無</v>
          </cell>
          <cell r="CZ60" t="str">
            <v>無</v>
          </cell>
          <cell r="DA60" t="str">
            <v>無</v>
          </cell>
          <cell r="DB60" t="str">
            <v>有</v>
          </cell>
          <cell r="DC60" t="str">
            <v>有</v>
          </cell>
          <cell r="DD60" t="str">
            <v>有</v>
          </cell>
          <cell r="DE60" t="str">
            <v>有</v>
          </cell>
          <cell r="DF60" t="str">
            <v>有</v>
          </cell>
          <cell r="DG60" t="str">
            <v>有</v>
          </cell>
          <cell r="DH60" t="str">
            <v>有</v>
          </cell>
          <cell r="DI60" t="str">
            <v>有</v>
          </cell>
          <cell r="DJ60" t="str">
            <v>有</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有</v>
          </cell>
          <cell r="DX60" t="str">
            <v>有</v>
          </cell>
          <cell r="DY60" t="str">
            <v>有</v>
          </cell>
          <cell r="DZ60" t="str">
            <v>有</v>
          </cell>
          <cell r="EA60" t="str">
            <v>有</v>
          </cell>
          <cell r="EB60" t="str">
            <v>有</v>
          </cell>
          <cell r="EC60" t="str">
            <v>有</v>
          </cell>
          <cell r="ED60" t="str">
            <v>有</v>
          </cell>
          <cell r="EE60" t="str">
            <v>有</v>
          </cell>
          <cell r="EF60" t="str">
            <v>有</v>
          </cell>
          <cell r="EG60" t="str">
            <v>有</v>
          </cell>
          <cell r="EH60" t="str">
            <v>有</v>
          </cell>
          <cell r="EI60" t="str">
            <v>兼務</v>
          </cell>
          <cell r="EJ60" t="str">
            <v>兼務</v>
          </cell>
          <cell r="EK60" t="str">
            <v>兼務</v>
          </cell>
          <cell r="EL60" t="str">
            <v>兼務</v>
          </cell>
          <cell r="EM60" t="str">
            <v>兼務</v>
          </cell>
          <cell r="EN60" t="str">
            <v>兼務</v>
          </cell>
          <cell r="EO60" t="str">
            <v>兼務</v>
          </cell>
          <cell r="EP60" t="str">
            <v>兼務</v>
          </cell>
          <cell r="EQ60" t="str">
            <v>兼務</v>
          </cell>
          <cell r="ER60" t="str">
            <v>兼務</v>
          </cell>
          <cell r="ES60" t="str">
            <v>兼務</v>
          </cell>
          <cell r="ET60" t="str">
            <v>兼務</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row>
        <row r="61">
          <cell r="C61">
            <v>57</v>
          </cell>
          <cell r="D61" t="str">
            <v>ピラミッドメソッド千葉保育園</v>
          </cell>
          <cell r="E61" t="str">
            <v>無</v>
          </cell>
          <cell r="F61">
            <v>59</v>
          </cell>
          <cell r="H61">
            <v>33</v>
          </cell>
          <cell r="I61">
            <v>26</v>
          </cell>
          <cell r="O61">
            <v>1189000</v>
          </cell>
          <cell r="P61">
            <v>2627000</v>
          </cell>
          <cell r="Q61">
            <v>2627000</v>
          </cell>
          <cell r="R61">
            <v>1028000</v>
          </cell>
          <cell r="S61">
            <v>0</v>
          </cell>
          <cell r="T61">
            <v>1982000</v>
          </cell>
          <cell r="U61">
            <v>0</v>
          </cell>
          <cell r="V61">
            <v>792000</v>
          </cell>
          <cell r="W61">
            <v>1751000</v>
          </cell>
          <cell r="X61">
            <v>1751000</v>
          </cell>
          <cell r="Y61">
            <v>685000</v>
          </cell>
          <cell r="Z61">
            <v>0</v>
          </cell>
          <cell r="AA61">
            <v>1321000</v>
          </cell>
          <cell r="AB61">
            <v>0</v>
          </cell>
          <cell r="AC61">
            <v>397000</v>
          </cell>
          <cell r="AD61">
            <v>876000</v>
          </cell>
          <cell r="AE61">
            <v>876000</v>
          </cell>
          <cell r="AF61">
            <v>343000</v>
          </cell>
          <cell r="AG61">
            <v>0</v>
          </cell>
          <cell r="AH61">
            <v>661000</v>
          </cell>
          <cell r="AI61">
            <v>0</v>
          </cell>
          <cell r="AJ61" t="str">
            <v>令和3年4月1日</v>
          </cell>
          <cell r="AK61" t="str">
            <v>令和3年5月31日交付</v>
          </cell>
          <cell r="AL61" t="str">
            <v>令和3年10月29日交付</v>
          </cell>
          <cell r="AM61" t="str">
            <v>3号の56</v>
          </cell>
          <cell r="AN61" t="str">
            <v>有</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v>1</v>
          </cell>
          <cell r="BN61">
            <v>1</v>
          </cell>
          <cell r="BO61">
            <v>1</v>
          </cell>
          <cell r="BP61">
            <v>1</v>
          </cell>
          <cell r="BQ61">
            <v>1</v>
          </cell>
          <cell r="BR61">
            <v>1</v>
          </cell>
          <cell r="BS61">
            <v>1</v>
          </cell>
          <cell r="BT61">
            <v>1</v>
          </cell>
          <cell r="BU61">
            <v>1</v>
          </cell>
          <cell r="BV61">
            <v>1</v>
          </cell>
          <cell r="BW61">
            <v>1</v>
          </cell>
          <cell r="BX61">
            <v>1</v>
          </cell>
          <cell r="CK61">
            <v>1</v>
          </cell>
          <cell r="CL61">
            <v>1</v>
          </cell>
          <cell r="CM61">
            <v>1</v>
          </cell>
          <cell r="CN61">
            <v>1</v>
          </cell>
          <cell r="CO61">
            <v>1</v>
          </cell>
          <cell r="CP61">
            <v>1</v>
          </cell>
          <cell r="CQ61">
            <v>1</v>
          </cell>
          <cell r="CR61">
            <v>1</v>
          </cell>
          <cell r="CS61">
            <v>1</v>
          </cell>
          <cell r="CT61">
            <v>1</v>
          </cell>
          <cell r="CU61">
            <v>1</v>
          </cell>
          <cell r="CV61">
            <v>1</v>
          </cell>
          <cell r="CW61" t="str">
            <v>無</v>
          </cell>
          <cell r="CX61">
            <v>0</v>
          </cell>
          <cell r="CY61" t="str">
            <v>有</v>
          </cell>
          <cell r="CZ61" t="str">
            <v>有</v>
          </cell>
          <cell r="DA61" t="str">
            <v>有</v>
          </cell>
          <cell r="DB61" t="str">
            <v>有</v>
          </cell>
          <cell r="DC61" t="str">
            <v>有</v>
          </cell>
          <cell r="DD61" t="str">
            <v>有</v>
          </cell>
          <cell r="DE61" t="str">
            <v>有</v>
          </cell>
          <cell r="DF61" t="str">
            <v>有</v>
          </cell>
          <cell r="DG61" t="str">
            <v>有</v>
          </cell>
          <cell r="DH61" t="str">
            <v>有</v>
          </cell>
          <cell r="DI61" t="str">
            <v>有</v>
          </cell>
          <cell r="DJ61" t="str">
            <v>有</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有</v>
          </cell>
          <cell r="DX61" t="str">
            <v>有</v>
          </cell>
          <cell r="DY61" t="str">
            <v>有</v>
          </cell>
          <cell r="DZ61" t="str">
            <v>有</v>
          </cell>
          <cell r="EA61" t="str">
            <v>有</v>
          </cell>
          <cell r="EB61" t="str">
            <v>有</v>
          </cell>
          <cell r="EC61" t="str">
            <v>有</v>
          </cell>
          <cell r="ED61" t="str">
            <v>有</v>
          </cell>
          <cell r="EE61" t="str">
            <v>有</v>
          </cell>
          <cell r="EF61" t="str">
            <v>有</v>
          </cell>
          <cell r="EG61" t="str">
            <v>有</v>
          </cell>
          <cell r="EH61" t="str">
            <v>有</v>
          </cell>
          <cell r="EI61" t="str">
            <v>配置</v>
          </cell>
          <cell r="EJ61" t="str">
            <v>配置</v>
          </cell>
          <cell r="EK61" t="str">
            <v>配置</v>
          </cell>
          <cell r="EL61" t="str">
            <v>配置</v>
          </cell>
          <cell r="EM61" t="str">
            <v>配置</v>
          </cell>
          <cell r="EN61" t="str">
            <v>配置</v>
          </cell>
          <cell r="EO61" t="str">
            <v>配置</v>
          </cell>
          <cell r="EP61" t="str">
            <v>配置</v>
          </cell>
          <cell r="EQ61" t="str">
            <v>配置</v>
          </cell>
          <cell r="ER61" t="str">
            <v>配置</v>
          </cell>
          <cell r="ES61" t="str">
            <v>配置</v>
          </cell>
          <cell r="ET61" t="str">
            <v>配置</v>
          </cell>
          <cell r="EU61">
            <v>76960</v>
          </cell>
          <cell r="EV61">
            <v>76960</v>
          </cell>
          <cell r="EW61">
            <v>76960</v>
          </cell>
          <cell r="EX61">
            <v>76960</v>
          </cell>
          <cell r="EY61">
            <v>76960</v>
          </cell>
          <cell r="EZ61">
            <v>76960</v>
          </cell>
          <cell r="FA61">
            <v>76960</v>
          </cell>
          <cell r="FB61">
            <v>76960</v>
          </cell>
          <cell r="FC61">
            <v>76960</v>
          </cell>
          <cell r="FD61">
            <v>76960</v>
          </cell>
          <cell r="FE61">
            <v>76960</v>
          </cell>
          <cell r="FF61">
            <v>76960</v>
          </cell>
        </row>
        <row r="62">
          <cell r="C62">
            <v>58</v>
          </cell>
          <cell r="D62" t="str">
            <v>ルーチェ保育園千葉新田町</v>
          </cell>
          <cell r="E62" t="str">
            <v>無</v>
          </cell>
          <cell r="F62">
            <v>59</v>
          </cell>
          <cell r="H62">
            <v>33</v>
          </cell>
          <cell r="I62">
            <v>26</v>
          </cell>
          <cell r="O62">
            <v>1189000</v>
          </cell>
          <cell r="P62">
            <v>2627000</v>
          </cell>
          <cell r="Q62">
            <v>2627000</v>
          </cell>
          <cell r="R62">
            <v>1631000</v>
          </cell>
          <cell r="S62">
            <v>0</v>
          </cell>
          <cell r="T62">
            <v>0</v>
          </cell>
          <cell r="U62">
            <v>0</v>
          </cell>
          <cell r="V62">
            <v>792000</v>
          </cell>
          <cell r="W62">
            <v>1751000</v>
          </cell>
          <cell r="X62">
            <v>1751000</v>
          </cell>
          <cell r="Y62">
            <v>1087000</v>
          </cell>
          <cell r="Z62">
            <v>0</v>
          </cell>
          <cell r="AA62">
            <v>0</v>
          </cell>
          <cell r="AB62">
            <v>0</v>
          </cell>
          <cell r="AC62">
            <v>0</v>
          </cell>
          <cell r="AD62">
            <v>0</v>
          </cell>
          <cell r="AE62">
            <v>0</v>
          </cell>
          <cell r="AF62">
            <v>0</v>
          </cell>
          <cell r="AG62">
            <v>0</v>
          </cell>
          <cell r="AH62">
            <v>0</v>
          </cell>
          <cell r="AI62">
            <v>0</v>
          </cell>
          <cell r="AJ62" t="str">
            <v>令和3年4月1日</v>
          </cell>
          <cell r="AK62" t="str">
            <v>令和3年5月31日交付</v>
          </cell>
          <cell r="AM62" t="str">
            <v>3号の57</v>
          </cell>
          <cell r="AN62" t="str">
            <v>有</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N62">
            <v>1</v>
          </cell>
          <cell r="BO62">
            <v>1</v>
          </cell>
          <cell r="BP62">
            <v>1</v>
          </cell>
          <cell r="BQ62">
            <v>1</v>
          </cell>
          <cell r="BR62">
            <v>1</v>
          </cell>
          <cell r="BS62">
            <v>1</v>
          </cell>
          <cell r="BT62">
            <v>1</v>
          </cell>
          <cell r="BU62">
            <v>1</v>
          </cell>
          <cell r="BV62">
            <v>1</v>
          </cell>
          <cell r="BW62">
            <v>1</v>
          </cell>
          <cell r="BX62">
            <v>1</v>
          </cell>
          <cell r="CL62">
            <v>0</v>
          </cell>
          <cell r="CM62">
            <v>0</v>
          </cell>
          <cell r="CN62">
            <v>0</v>
          </cell>
          <cell r="CO62">
            <v>0</v>
          </cell>
          <cell r="CP62">
            <v>0</v>
          </cell>
          <cell r="CQ62">
            <v>0</v>
          </cell>
          <cell r="CR62">
            <v>0</v>
          </cell>
          <cell r="CS62">
            <v>0</v>
          </cell>
          <cell r="CT62">
            <v>0</v>
          </cell>
          <cell r="CU62">
            <v>0</v>
          </cell>
          <cell r="CV62">
            <v>0</v>
          </cell>
          <cell r="CW62" t="str">
            <v>無</v>
          </cell>
          <cell r="CX62">
            <v>0</v>
          </cell>
          <cell r="CY62" t="str">
            <v>有</v>
          </cell>
          <cell r="CZ62" t="str">
            <v>有</v>
          </cell>
          <cell r="DA62" t="str">
            <v>有</v>
          </cell>
          <cell r="DB62" t="str">
            <v>有</v>
          </cell>
          <cell r="DC62" t="str">
            <v>有</v>
          </cell>
          <cell r="DD62" t="str">
            <v>有</v>
          </cell>
          <cell r="DE62" t="str">
            <v>有</v>
          </cell>
          <cell r="DF62" t="str">
            <v>有</v>
          </cell>
          <cell r="DG62" t="str">
            <v>有</v>
          </cell>
          <cell r="DH62" t="str">
            <v>有</v>
          </cell>
          <cell r="DI62" t="str">
            <v>有</v>
          </cell>
          <cell r="DJ62" t="str">
            <v>有</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有</v>
          </cell>
          <cell r="DX62" t="str">
            <v>有</v>
          </cell>
          <cell r="DY62" t="str">
            <v>有</v>
          </cell>
          <cell r="DZ62" t="str">
            <v>有</v>
          </cell>
          <cell r="EA62" t="str">
            <v>有</v>
          </cell>
          <cell r="EB62" t="str">
            <v>有</v>
          </cell>
          <cell r="EC62" t="str">
            <v>有</v>
          </cell>
          <cell r="ED62" t="str">
            <v>有</v>
          </cell>
          <cell r="EE62" t="str">
            <v>有</v>
          </cell>
          <cell r="EF62" t="str">
            <v>有</v>
          </cell>
          <cell r="EG62" t="str">
            <v>有</v>
          </cell>
          <cell r="EH62" t="str">
            <v>有</v>
          </cell>
          <cell r="EI62" t="str">
            <v>配置</v>
          </cell>
          <cell r="EJ62" t="str">
            <v>配置</v>
          </cell>
          <cell r="EK62" t="str">
            <v>配置</v>
          </cell>
          <cell r="EL62" t="str">
            <v>配置</v>
          </cell>
          <cell r="EM62" t="str">
            <v>配置</v>
          </cell>
          <cell r="EN62" t="str">
            <v>配置</v>
          </cell>
          <cell r="EO62" t="str">
            <v>配置</v>
          </cell>
          <cell r="EP62" t="str">
            <v>配置</v>
          </cell>
          <cell r="EQ62" t="str">
            <v>配置</v>
          </cell>
          <cell r="ER62" t="str">
            <v>配置</v>
          </cell>
          <cell r="ES62" t="str">
            <v>配置</v>
          </cell>
          <cell r="ET62" t="str">
            <v>配置</v>
          </cell>
          <cell r="EU62">
            <v>76960</v>
          </cell>
          <cell r="EV62">
            <v>76960</v>
          </cell>
          <cell r="EW62">
            <v>76960</v>
          </cell>
          <cell r="EX62">
            <v>76960</v>
          </cell>
          <cell r="EY62">
            <v>76960</v>
          </cell>
          <cell r="EZ62">
            <v>76960</v>
          </cell>
          <cell r="FA62">
            <v>76960</v>
          </cell>
          <cell r="FB62">
            <v>76960</v>
          </cell>
          <cell r="FC62">
            <v>76960</v>
          </cell>
          <cell r="FD62">
            <v>76960</v>
          </cell>
          <cell r="FE62">
            <v>76960</v>
          </cell>
          <cell r="FF62">
            <v>76960</v>
          </cell>
        </row>
        <row r="63">
          <cell r="C63">
            <v>59</v>
          </cell>
          <cell r="D63" t="str">
            <v>ふぇりーちぇほいくえん</v>
          </cell>
          <cell r="E63" t="str">
            <v>無</v>
          </cell>
          <cell r="F63">
            <v>59</v>
          </cell>
          <cell r="H63">
            <v>30</v>
          </cell>
          <cell r="I63">
            <v>29</v>
          </cell>
          <cell r="O63">
            <v>1189000</v>
          </cell>
          <cell r="P63">
            <v>0</v>
          </cell>
          <cell r="Q63">
            <v>0</v>
          </cell>
          <cell r="R63">
            <v>1028000</v>
          </cell>
          <cell r="S63">
            <v>0</v>
          </cell>
          <cell r="T63">
            <v>0</v>
          </cell>
          <cell r="U63">
            <v>0</v>
          </cell>
          <cell r="V63">
            <v>792000</v>
          </cell>
          <cell r="W63">
            <v>0</v>
          </cell>
          <cell r="X63">
            <v>0</v>
          </cell>
          <cell r="Y63">
            <v>685000</v>
          </cell>
          <cell r="Z63">
            <v>0</v>
          </cell>
          <cell r="AA63">
            <v>0</v>
          </cell>
          <cell r="AB63">
            <v>0</v>
          </cell>
          <cell r="AC63">
            <v>0</v>
          </cell>
          <cell r="AD63">
            <v>0</v>
          </cell>
          <cell r="AE63">
            <v>0</v>
          </cell>
          <cell r="AF63">
            <v>0</v>
          </cell>
          <cell r="AG63">
            <v>0</v>
          </cell>
          <cell r="AH63">
            <v>0</v>
          </cell>
          <cell r="AI63">
            <v>0</v>
          </cell>
          <cell r="AJ63" t="str">
            <v>令和3年4月1日</v>
          </cell>
          <cell r="AK63" t="str">
            <v>令和3年5月31日交付</v>
          </cell>
          <cell r="AM63" t="str">
            <v>3号の58</v>
          </cell>
          <cell r="AN63" t="str">
            <v>有</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CW63" t="str">
            <v>無</v>
          </cell>
          <cell r="CX63">
            <v>0</v>
          </cell>
          <cell r="CY63" t="str">
            <v>有</v>
          </cell>
          <cell r="CZ63" t="str">
            <v>有</v>
          </cell>
          <cell r="DA63" t="str">
            <v>有</v>
          </cell>
          <cell r="DB63" t="str">
            <v>有</v>
          </cell>
          <cell r="DC63" t="str">
            <v>有</v>
          </cell>
          <cell r="DD63" t="str">
            <v>有</v>
          </cell>
          <cell r="DE63" t="str">
            <v>有</v>
          </cell>
          <cell r="DF63" t="str">
            <v>有</v>
          </cell>
          <cell r="DG63" t="str">
            <v>有</v>
          </cell>
          <cell r="DH63" t="str">
            <v>有</v>
          </cell>
          <cell r="DI63" t="str">
            <v>有</v>
          </cell>
          <cell r="DJ63" t="str">
            <v>有</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有</v>
          </cell>
          <cell r="DX63" t="str">
            <v>有</v>
          </cell>
          <cell r="DY63" t="str">
            <v>有</v>
          </cell>
          <cell r="DZ63" t="str">
            <v>有</v>
          </cell>
          <cell r="EA63" t="str">
            <v>有</v>
          </cell>
          <cell r="EB63" t="str">
            <v>有</v>
          </cell>
          <cell r="EC63" t="str">
            <v>有</v>
          </cell>
          <cell r="ED63" t="str">
            <v>有</v>
          </cell>
          <cell r="EE63" t="str">
            <v>有</v>
          </cell>
          <cell r="EF63" t="str">
            <v>有</v>
          </cell>
          <cell r="EG63" t="str">
            <v>有</v>
          </cell>
          <cell r="EH63" t="str">
            <v>有</v>
          </cell>
          <cell r="EI63" t="str">
            <v>配置</v>
          </cell>
          <cell r="EJ63" t="str">
            <v>配置</v>
          </cell>
          <cell r="EK63" t="str">
            <v>配置</v>
          </cell>
          <cell r="EL63" t="str">
            <v>配置</v>
          </cell>
          <cell r="EM63" t="str">
            <v>配置</v>
          </cell>
          <cell r="EN63" t="str">
            <v>配置</v>
          </cell>
          <cell r="EO63" t="str">
            <v>配置</v>
          </cell>
          <cell r="EP63" t="str">
            <v>配置</v>
          </cell>
          <cell r="EQ63" t="str">
            <v>配置</v>
          </cell>
          <cell r="ER63" t="str">
            <v>配置</v>
          </cell>
          <cell r="ES63" t="str">
            <v>配置</v>
          </cell>
          <cell r="ET63" t="str">
            <v>配置</v>
          </cell>
          <cell r="EU63">
            <v>76960</v>
          </cell>
          <cell r="EV63">
            <v>76960</v>
          </cell>
          <cell r="EW63">
            <v>76960</v>
          </cell>
          <cell r="EX63">
            <v>76960</v>
          </cell>
          <cell r="EY63">
            <v>76960</v>
          </cell>
          <cell r="EZ63">
            <v>76960</v>
          </cell>
          <cell r="FA63">
            <v>76960</v>
          </cell>
          <cell r="FB63">
            <v>76960</v>
          </cell>
          <cell r="FC63">
            <v>76960</v>
          </cell>
          <cell r="FD63">
            <v>76960</v>
          </cell>
          <cell r="FE63">
            <v>76960</v>
          </cell>
          <cell r="FF63">
            <v>76960</v>
          </cell>
        </row>
        <row r="64">
          <cell r="C64">
            <v>60</v>
          </cell>
          <cell r="D64" t="str">
            <v>新検見川すきっぷ保育園</v>
          </cell>
          <cell r="E64" t="str">
            <v>無</v>
          </cell>
          <cell r="F64">
            <v>40</v>
          </cell>
          <cell r="H64">
            <v>23</v>
          </cell>
          <cell r="I64">
            <v>17</v>
          </cell>
          <cell r="O64">
            <v>1189000</v>
          </cell>
          <cell r="P64">
            <v>2627000</v>
          </cell>
          <cell r="Q64">
            <v>2627000</v>
          </cell>
          <cell r="R64">
            <v>1631000</v>
          </cell>
          <cell r="S64">
            <v>0</v>
          </cell>
          <cell r="T64">
            <v>0</v>
          </cell>
          <cell r="U64">
            <v>0</v>
          </cell>
          <cell r="V64">
            <v>792000</v>
          </cell>
          <cell r="W64">
            <v>1751000</v>
          </cell>
          <cell r="X64">
            <v>1751000</v>
          </cell>
          <cell r="Y64">
            <v>1087000</v>
          </cell>
          <cell r="Z64">
            <v>0</v>
          </cell>
          <cell r="AA64">
            <v>0</v>
          </cell>
          <cell r="AB64">
            <v>0</v>
          </cell>
          <cell r="AC64">
            <v>0</v>
          </cell>
          <cell r="AD64">
            <v>0</v>
          </cell>
          <cell r="AE64">
            <v>0</v>
          </cell>
          <cell r="AF64">
            <v>0</v>
          </cell>
          <cell r="AG64">
            <v>0</v>
          </cell>
          <cell r="AH64">
            <v>0</v>
          </cell>
          <cell r="AI64">
            <v>0</v>
          </cell>
          <cell r="AJ64" t="str">
            <v>令和3年4月1日</v>
          </cell>
          <cell r="AK64" t="str">
            <v>令和3年5月31日交付</v>
          </cell>
          <cell r="AM64" t="str">
            <v>3号の59</v>
          </cell>
          <cell r="AN64" t="str">
            <v>有</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CW64" t="str">
            <v>無</v>
          </cell>
          <cell r="CX64">
            <v>0</v>
          </cell>
          <cell r="CY64" t="str">
            <v>有</v>
          </cell>
          <cell r="CZ64" t="str">
            <v>有</v>
          </cell>
          <cell r="DA64" t="str">
            <v>有</v>
          </cell>
          <cell r="DB64" t="str">
            <v>有</v>
          </cell>
          <cell r="DC64" t="str">
            <v>有</v>
          </cell>
          <cell r="DD64" t="str">
            <v>有</v>
          </cell>
          <cell r="DE64" t="str">
            <v>有</v>
          </cell>
          <cell r="DF64" t="str">
            <v>有</v>
          </cell>
          <cell r="DG64" t="str">
            <v>有</v>
          </cell>
          <cell r="DH64" t="str">
            <v>有</v>
          </cell>
          <cell r="DI64" t="str">
            <v>有</v>
          </cell>
          <cell r="DJ64" t="str">
            <v>有</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有</v>
          </cell>
          <cell r="DX64" t="str">
            <v>有</v>
          </cell>
          <cell r="DY64" t="str">
            <v>有</v>
          </cell>
          <cell r="DZ64" t="str">
            <v>有</v>
          </cell>
          <cell r="EA64" t="str">
            <v>有</v>
          </cell>
          <cell r="EB64" t="str">
            <v>有</v>
          </cell>
          <cell r="EC64" t="str">
            <v>有</v>
          </cell>
          <cell r="ED64" t="str">
            <v>有</v>
          </cell>
          <cell r="EE64" t="str">
            <v>有</v>
          </cell>
          <cell r="EF64" t="str">
            <v>有</v>
          </cell>
          <cell r="EG64" t="str">
            <v>有</v>
          </cell>
          <cell r="EH64" t="str">
            <v>有</v>
          </cell>
          <cell r="EI64" t="str">
            <v>嘱託</v>
          </cell>
          <cell r="EJ64" t="str">
            <v>嘱託</v>
          </cell>
          <cell r="EK64" t="str">
            <v>嘱託</v>
          </cell>
          <cell r="EL64" t="str">
            <v>嘱託</v>
          </cell>
          <cell r="EM64" t="str">
            <v>嘱託</v>
          </cell>
          <cell r="EN64" t="str">
            <v>嘱託</v>
          </cell>
          <cell r="EO64" t="str">
            <v>嘱託</v>
          </cell>
          <cell r="EP64" t="str">
            <v>嘱託</v>
          </cell>
          <cell r="EQ64" t="str">
            <v>嘱託</v>
          </cell>
          <cell r="ER64" t="str">
            <v>嘱託</v>
          </cell>
          <cell r="ES64" t="str">
            <v>嘱託</v>
          </cell>
          <cell r="ET64" t="str">
            <v>嘱託</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row>
        <row r="65">
          <cell r="C65">
            <v>61</v>
          </cell>
          <cell r="D65" t="str">
            <v>幕張本郷ナーサリー</v>
          </cell>
          <cell r="E65" t="str">
            <v>無</v>
          </cell>
          <cell r="F65">
            <v>48</v>
          </cell>
          <cell r="H65">
            <v>24</v>
          </cell>
          <cell r="I65">
            <v>24</v>
          </cell>
          <cell r="O65">
            <v>1189000</v>
          </cell>
          <cell r="P65">
            <v>2627000</v>
          </cell>
          <cell r="Q65">
            <v>2627000</v>
          </cell>
          <cell r="R65">
            <v>1631000</v>
          </cell>
          <cell r="S65">
            <v>0</v>
          </cell>
          <cell r="T65">
            <v>1982000</v>
          </cell>
          <cell r="U65">
            <v>0</v>
          </cell>
          <cell r="V65">
            <v>792000</v>
          </cell>
          <cell r="W65">
            <v>1751000</v>
          </cell>
          <cell r="X65">
            <v>1751000</v>
          </cell>
          <cell r="Y65">
            <v>1087000</v>
          </cell>
          <cell r="Z65">
            <v>0</v>
          </cell>
          <cell r="AA65">
            <v>1321000</v>
          </cell>
          <cell r="AB65">
            <v>0</v>
          </cell>
          <cell r="AC65">
            <v>0</v>
          </cell>
          <cell r="AD65">
            <v>0</v>
          </cell>
          <cell r="AE65">
            <v>0</v>
          </cell>
          <cell r="AF65">
            <v>0</v>
          </cell>
          <cell r="AG65">
            <v>0</v>
          </cell>
          <cell r="AH65">
            <v>0</v>
          </cell>
          <cell r="AI65">
            <v>0</v>
          </cell>
          <cell r="AJ65" t="str">
            <v>令和3年4月1日</v>
          </cell>
          <cell r="AK65" t="str">
            <v>令和3年5月31日交付</v>
          </cell>
          <cell r="AM65" t="str">
            <v>3号の60</v>
          </cell>
          <cell r="AN65" t="str">
            <v>有</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v>1</v>
          </cell>
          <cell r="BN65">
            <v>1</v>
          </cell>
          <cell r="BO65">
            <v>1</v>
          </cell>
          <cell r="BP65">
            <v>1</v>
          </cell>
          <cell r="BQ65">
            <v>1</v>
          </cell>
          <cell r="BR65">
            <v>1</v>
          </cell>
          <cell r="BS65">
            <v>1</v>
          </cell>
          <cell r="BT65">
            <v>1</v>
          </cell>
          <cell r="BU65">
            <v>1</v>
          </cell>
          <cell r="BV65">
            <v>1</v>
          </cell>
          <cell r="BW65">
            <v>1</v>
          </cell>
          <cell r="BX65">
            <v>1</v>
          </cell>
          <cell r="CK65">
            <v>0</v>
          </cell>
          <cell r="CL65">
            <v>0</v>
          </cell>
          <cell r="CM65">
            <v>0</v>
          </cell>
          <cell r="CN65">
            <v>0</v>
          </cell>
          <cell r="CO65">
            <v>0</v>
          </cell>
          <cell r="CP65">
            <v>0</v>
          </cell>
          <cell r="CQ65">
            <v>0</v>
          </cell>
          <cell r="CR65">
            <v>0</v>
          </cell>
          <cell r="CS65">
            <v>0</v>
          </cell>
          <cell r="CT65">
            <v>0</v>
          </cell>
          <cell r="CU65">
            <v>0</v>
          </cell>
          <cell r="CV65">
            <v>0</v>
          </cell>
          <cell r="CW65" t="str">
            <v>無</v>
          </cell>
          <cell r="CX65">
            <v>0</v>
          </cell>
          <cell r="CY65" t="str">
            <v>有</v>
          </cell>
          <cell r="CZ65" t="str">
            <v>有</v>
          </cell>
          <cell r="DA65" t="str">
            <v>有</v>
          </cell>
          <cell r="DB65" t="str">
            <v>有</v>
          </cell>
          <cell r="DC65" t="str">
            <v>有</v>
          </cell>
          <cell r="DD65" t="str">
            <v>有</v>
          </cell>
          <cell r="DE65" t="str">
            <v>有</v>
          </cell>
          <cell r="DF65" t="str">
            <v>有</v>
          </cell>
          <cell r="DG65" t="str">
            <v>有</v>
          </cell>
          <cell r="DH65" t="str">
            <v>有</v>
          </cell>
          <cell r="DI65" t="str">
            <v>有</v>
          </cell>
          <cell r="DJ65" t="str">
            <v>有</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有</v>
          </cell>
          <cell r="DX65" t="str">
            <v>有</v>
          </cell>
          <cell r="DY65" t="str">
            <v>有</v>
          </cell>
          <cell r="DZ65" t="str">
            <v>有</v>
          </cell>
          <cell r="EA65" t="str">
            <v>有</v>
          </cell>
          <cell r="EB65" t="str">
            <v>有</v>
          </cell>
          <cell r="EC65" t="str">
            <v>有</v>
          </cell>
          <cell r="ED65" t="str">
            <v>有</v>
          </cell>
          <cell r="EE65" t="str">
            <v>有</v>
          </cell>
          <cell r="EF65" t="str">
            <v>有</v>
          </cell>
          <cell r="EG65" t="str">
            <v>有</v>
          </cell>
          <cell r="EH65" t="str">
            <v>有</v>
          </cell>
          <cell r="EI65" t="str">
            <v>兼務</v>
          </cell>
          <cell r="EJ65" t="str">
            <v>兼務</v>
          </cell>
          <cell r="EK65" t="str">
            <v>兼務</v>
          </cell>
          <cell r="EL65" t="str">
            <v>兼務</v>
          </cell>
          <cell r="EM65" t="str">
            <v>兼務</v>
          </cell>
          <cell r="EN65" t="str">
            <v>兼務</v>
          </cell>
          <cell r="EO65" t="str">
            <v>兼務</v>
          </cell>
          <cell r="EP65" t="str">
            <v>兼務</v>
          </cell>
          <cell r="EQ65" t="str">
            <v>兼務</v>
          </cell>
          <cell r="ER65" t="str">
            <v>兼務</v>
          </cell>
          <cell r="ES65" t="str">
            <v>兼務</v>
          </cell>
          <cell r="ET65" t="str">
            <v>兼務</v>
          </cell>
          <cell r="EU65" t="str">
            <v/>
          </cell>
          <cell r="EV65" t="str">
            <v/>
          </cell>
          <cell r="EW65" t="str">
            <v/>
          </cell>
          <cell r="EX65" t="str">
            <v/>
          </cell>
          <cell r="EY65" t="str">
            <v/>
          </cell>
          <cell r="EZ65" t="str">
            <v/>
          </cell>
          <cell r="FA65" t="str">
            <v/>
          </cell>
          <cell r="FB65" t="str">
            <v/>
          </cell>
          <cell r="FC65" t="str">
            <v/>
          </cell>
          <cell r="FD65" t="str">
            <v/>
          </cell>
          <cell r="FE65" t="str">
            <v/>
          </cell>
          <cell r="FF65" t="str">
            <v/>
          </cell>
        </row>
        <row r="66">
          <cell r="C66">
            <v>62</v>
          </cell>
          <cell r="D66" t="str">
            <v>ししの子保育園</v>
          </cell>
          <cell r="E66" t="str">
            <v>有</v>
          </cell>
          <cell r="F66">
            <v>25</v>
          </cell>
          <cell r="H66">
            <v>0</v>
          </cell>
          <cell r="I66">
            <v>25</v>
          </cell>
          <cell r="J66">
            <v>33</v>
          </cell>
          <cell r="L66">
            <v>33</v>
          </cell>
          <cell r="M66">
            <v>0</v>
          </cell>
          <cell r="O66">
            <v>1189000</v>
          </cell>
          <cell r="P66">
            <v>0</v>
          </cell>
          <cell r="Q66">
            <v>0</v>
          </cell>
          <cell r="R66">
            <v>1631000</v>
          </cell>
          <cell r="S66">
            <v>0</v>
          </cell>
          <cell r="T66">
            <v>0</v>
          </cell>
          <cell r="U66">
            <v>0</v>
          </cell>
          <cell r="V66">
            <v>792000</v>
          </cell>
          <cell r="W66">
            <v>0</v>
          </cell>
          <cell r="X66">
            <v>0</v>
          </cell>
          <cell r="Y66">
            <v>1087000</v>
          </cell>
          <cell r="Z66">
            <v>0</v>
          </cell>
          <cell r="AA66">
            <v>0</v>
          </cell>
          <cell r="AB66">
            <v>0</v>
          </cell>
          <cell r="AC66">
            <v>0</v>
          </cell>
          <cell r="AD66">
            <v>0</v>
          </cell>
          <cell r="AE66">
            <v>0</v>
          </cell>
          <cell r="AF66">
            <v>0</v>
          </cell>
          <cell r="AG66">
            <v>0</v>
          </cell>
          <cell r="AH66">
            <v>0</v>
          </cell>
          <cell r="AI66">
            <v>0</v>
          </cell>
          <cell r="AJ66" t="str">
            <v>令和3年4月1日</v>
          </cell>
          <cell r="AK66" t="str">
            <v>令和3年5月31日交付</v>
          </cell>
          <cell r="AM66" t="str">
            <v>3号の61</v>
          </cell>
          <cell r="AN66" t="str">
            <v>有</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v>1</v>
          </cell>
          <cell r="BN66">
            <v>1</v>
          </cell>
          <cell r="BO66">
            <v>1</v>
          </cell>
          <cell r="BP66">
            <v>1</v>
          </cell>
          <cell r="BQ66">
            <v>1</v>
          </cell>
          <cell r="BR66">
            <v>1</v>
          </cell>
          <cell r="BS66">
            <v>1</v>
          </cell>
          <cell r="BT66">
            <v>1</v>
          </cell>
          <cell r="BU66">
            <v>1</v>
          </cell>
          <cell r="BV66">
            <v>1</v>
          </cell>
          <cell r="BW66">
            <v>1</v>
          </cell>
          <cell r="BX66">
            <v>1</v>
          </cell>
          <cell r="CK66">
            <v>0</v>
          </cell>
          <cell r="CL66">
            <v>0</v>
          </cell>
          <cell r="CM66">
            <v>0</v>
          </cell>
          <cell r="CN66">
            <v>0</v>
          </cell>
          <cell r="CO66">
            <v>0</v>
          </cell>
          <cell r="CP66">
            <v>0</v>
          </cell>
          <cell r="CQ66">
            <v>0</v>
          </cell>
          <cell r="CR66">
            <v>0</v>
          </cell>
          <cell r="CS66">
            <v>0</v>
          </cell>
          <cell r="CT66">
            <v>0</v>
          </cell>
          <cell r="CU66">
            <v>0</v>
          </cell>
          <cell r="CV66">
            <v>0</v>
          </cell>
          <cell r="CW66" t="str">
            <v>無</v>
          </cell>
          <cell r="CX66">
            <v>0</v>
          </cell>
          <cell r="CY66" t="str">
            <v>有</v>
          </cell>
          <cell r="CZ66" t="str">
            <v>有</v>
          </cell>
          <cell r="DA66" t="str">
            <v>有</v>
          </cell>
          <cell r="DB66" t="str">
            <v>有</v>
          </cell>
          <cell r="DC66" t="str">
            <v>有</v>
          </cell>
          <cell r="DD66" t="str">
            <v>有</v>
          </cell>
          <cell r="DE66" t="str">
            <v>有</v>
          </cell>
          <cell r="DF66" t="str">
            <v>有</v>
          </cell>
          <cell r="DG66" t="str">
            <v>有</v>
          </cell>
          <cell r="DH66" t="str">
            <v>有</v>
          </cell>
          <cell r="DI66" t="str">
            <v>有</v>
          </cell>
          <cell r="DJ66" t="str">
            <v>有</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有</v>
          </cell>
          <cell r="DX66" t="str">
            <v>有</v>
          </cell>
          <cell r="DY66" t="str">
            <v>有</v>
          </cell>
          <cell r="DZ66" t="str">
            <v>有</v>
          </cell>
          <cell r="EA66" t="str">
            <v>有</v>
          </cell>
          <cell r="EB66" t="str">
            <v>有</v>
          </cell>
          <cell r="EC66" t="str">
            <v>有</v>
          </cell>
          <cell r="ED66" t="str">
            <v>有</v>
          </cell>
          <cell r="EE66" t="str">
            <v>有</v>
          </cell>
          <cell r="EF66" t="str">
            <v>有</v>
          </cell>
          <cell r="EG66" t="str">
            <v>有</v>
          </cell>
          <cell r="EH66" t="str">
            <v>有</v>
          </cell>
          <cell r="EI66" t="str">
            <v>配置</v>
          </cell>
          <cell r="EJ66" t="str">
            <v>配置</v>
          </cell>
          <cell r="EK66" t="str">
            <v>配置</v>
          </cell>
          <cell r="EL66" t="str">
            <v>配置</v>
          </cell>
          <cell r="EM66" t="str">
            <v>配置</v>
          </cell>
          <cell r="EN66" t="str">
            <v>配置</v>
          </cell>
          <cell r="EO66" t="str">
            <v>配置</v>
          </cell>
          <cell r="EP66" t="str">
            <v>配置</v>
          </cell>
          <cell r="EQ66" t="str">
            <v>配置</v>
          </cell>
          <cell r="ER66" t="str">
            <v>配置</v>
          </cell>
          <cell r="ES66" t="str">
            <v>配置</v>
          </cell>
          <cell r="ET66" t="str">
            <v>配置</v>
          </cell>
          <cell r="EU66">
            <v>76960</v>
          </cell>
          <cell r="EV66">
            <v>76960</v>
          </cell>
          <cell r="EW66">
            <v>76960</v>
          </cell>
          <cell r="EX66">
            <v>76960</v>
          </cell>
          <cell r="EY66">
            <v>76960</v>
          </cell>
          <cell r="EZ66">
            <v>76960</v>
          </cell>
          <cell r="FA66">
            <v>76960</v>
          </cell>
          <cell r="FB66">
            <v>76960</v>
          </cell>
          <cell r="FC66">
            <v>76960</v>
          </cell>
          <cell r="FD66">
            <v>76960</v>
          </cell>
          <cell r="FE66">
            <v>76960</v>
          </cell>
          <cell r="FF66">
            <v>76960</v>
          </cell>
        </row>
        <row r="67">
          <cell r="C67">
            <v>63</v>
          </cell>
          <cell r="D67" t="str">
            <v>アストロナーサリー小仲台</v>
          </cell>
          <cell r="E67" t="str">
            <v>無</v>
          </cell>
          <cell r="F67">
            <v>30</v>
          </cell>
          <cell r="H67">
            <v>17</v>
          </cell>
          <cell r="I67">
            <v>13</v>
          </cell>
          <cell r="O67">
            <v>1189000</v>
          </cell>
          <cell r="P67">
            <v>2627000</v>
          </cell>
          <cell r="Q67">
            <v>2627000</v>
          </cell>
          <cell r="R67">
            <v>1631000</v>
          </cell>
          <cell r="S67">
            <v>0</v>
          </cell>
          <cell r="T67">
            <v>0</v>
          </cell>
          <cell r="U67">
            <v>0</v>
          </cell>
          <cell r="V67">
            <v>792000</v>
          </cell>
          <cell r="W67">
            <v>1751000</v>
          </cell>
          <cell r="X67">
            <v>1751000</v>
          </cell>
          <cell r="Y67">
            <v>1087000</v>
          </cell>
          <cell r="Z67">
            <v>0</v>
          </cell>
          <cell r="AA67">
            <v>0</v>
          </cell>
          <cell r="AB67">
            <v>0</v>
          </cell>
          <cell r="AC67">
            <v>397000</v>
          </cell>
          <cell r="AD67">
            <v>876000</v>
          </cell>
          <cell r="AE67">
            <v>876000</v>
          </cell>
          <cell r="AF67">
            <v>544000</v>
          </cell>
          <cell r="AG67">
            <v>0</v>
          </cell>
          <cell r="AH67">
            <v>0</v>
          </cell>
          <cell r="AI67">
            <v>0</v>
          </cell>
          <cell r="AJ67" t="str">
            <v>令和3年4月1日</v>
          </cell>
          <cell r="AK67" t="str">
            <v>令和3年5月31日交付</v>
          </cell>
          <cell r="AL67" t="str">
            <v>令和3年10月29日交付</v>
          </cell>
          <cell r="AM67" t="str">
            <v>3号の62</v>
          </cell>
          <cell r="AN67" t="str">
            <v>有</v>
          </cell>
          <cell r="AO67" t="str">
            <v>一般型</v>
          </cell>
          <cell r="AP67" t="str">
            <v>一般型</v>
          </cell>
          <cell r="AQ67" t="str">
            <v>一般型</v>
          </cell>
          <cell r="AR67" t="str">
            <v>一般型</v>
          </cell>
          <cell r="AS67" t="str">
            <v>一般型</v>
          </cell>
          <cell r="AT67" t="str">
            <v>一般型</v>
          </cell>
          <cell r="AU67" t="str">
            <v>一般型</v>
          </cell>
          <cell r="AV67" t="str">
            <v>一般型</v>
          </cell>
          <cell r="AW67" t="str">
            <v>一般型</v>
          </cell>
          <cell r="AX67" t="str">
            <v>一般型</v>
          </cell>
          <cell r="AY67" t="str">
            <v>一般型</v>
          </cell>
          <cell r="AZ67" t="str">
            <v>一般型</v>
          </cell>
          <cell r="BA67" t="str">
            <v>有</v>
          </cell>
          <cell r="BB67" t="str">
            <v>有</v>
          </cell>
          <cell r="BC67" t="str">
            <v>有</v>
          </cell>
          <cell r="BD67" t="str">
            <v>有</v>
          </cell>
          <cell r="BE67" t="str">
            <v>有</v>
          </cell>
          <cell r="BF67" t="str">
            <v>有</v>
          </cell>
          <cell r="BG67" t="str">
            <v>有</v>
          </cell>
          <cell r="BH67" t="str">
            <v>有</v>
          </cell>
          <cell r="BI67" t="str">
            <v>有</v>
          </cell>
          <cell r="BJ67" t="str">
            <v>有</v>
          </cell>
          <cell r="BK67" t="str">
            <v>有</v>
          </cell>
          <cell r="BL67" t="str">
            <v>有</v>
          </cell>
          <cell r="CW67" t="str">
            <v>無</v>
          </cell>
          <cell r="CX67">
            <v>1</v>
          </cell>
          <cell r="CY67" t="str">
            <v>有</v>
          </cell>
          <cell r="CZ67" t="str">
            <v>有</v>
          </cell>
          <cell r="DA67" t="str">
            <v>有</v>
          </cell>
          <cell r="DB67" t="str">
            <v>有</v>
          </cell>
          <cell r="DC67" t="str">
            <v>有</v>
          </cell>
          <cell r="DD67" t="str">
            <v>有</v>
          </cell>
          <cell r="DE67" t="str">
            <v>有</v>
          </cell>
          <cell r="DF67" t="str">
            <v>有</v>
          </cell>
          <cell r="DG67" t="str">
            <v>有</v>
          </cell>
          <cell r="DH67" t="str">
            <v>有</v>
          </cell>
          <cell r="DI67" t="str">
            <v>有</v>
          </cell>
          <cell r="DJ67" t="str">
            <v>有</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有</v>
          </cell>
          <cell r="DX67" t="str">
            <v>有</v>
          </cell>
          <cell r="DY67" t="str">
            <v>有</v>
          </cell>
          <cell r="DZ67" t="str">
            <v>有</v>
          </cell>
          <cell r="EA67" t="str">
            <v>有</v>
          </cell>
          <cell r="EB67" t="str">
            <v>有</v>
          </cell>
          <cell r="EC67" t="str">
            <v>有</v>
          </cell>
          <cell r="ED67" t="str">
            <v>有</v>
          </cell>
          <cell r="EE67" t="str">
            <v>有</v>
          </cell>
          <cell r="EF67" t="str">
            <v>有</v>
          </cell>
          <cell r="EG67" t="str">
            <v>有</v>
          </cell>
          <cell r="EH67" t="str">
            <v>有</v>
          </cell>
          <cell r="EI67" t="str">
            <v>配置</v>
          </cell>
          <cell r="EJ67" t="str">
            <v>配置</v>
          </cell>
          <cell r="EK67" t="str">
            <v>配置</v>
          </cell>
          <cell r="EL67" t="str">
            <v>配置</v>
          </cell>
          <cell r="EM67" t="str">
            <v>配置</v>
          </cell>
          <cell r="EN67" t="str">
            <v>配置</v>
          </cell>
          <cell r="EO67" t="str">
            <v>配置</v>
          </cell>
          <cell r="EP67" t="str">
            <v>配置</v>
          </cell>
          <cell r="EQ67" t="str">
            <v>配置</v>
          </cell>
          <cell r="ER67" t="str">
            <v>配置</v>
          </cell>
          <cell r="ES67" t="str">
            <v>配置</v>
          </cell>
          <cell r="ET67" t="str">
            <v>配置</v>
          </cell>
          <cell r="EU67">
            <v>76960</v>
          </cell>
          <cell r="EV67">
            <v>76960</v>
          </cell>
          <cell r="EW67">
            <v>76960</v>
          </cell>
          <cell r="EX67">
            <v>76960</v>
          </cell>
          <cell r="EY67">
            <v>76960</v>
          </cell>
          <cell r="EZ67">
            <v>76960</v>
          </cell>
          <cell r="FA67">
            <v>76960</v>
          </cell>
          <cell r="FB67">
            <v>76960</v>
          </cell>
          <cell r="FC67">
            <v>76960</v>
          </cell>
          <cell r="FD67">
            <v>76960</v>
          </cell>
          <cell r="FE67">
            <v>76960</v>
          </cell>
          <cell r="FF67">
            <v>76960</v>
          </cell>
        </row>
        <row r="68">
          <cell r="C68">
            <v>64</v>
          </cell>
          <cell r="D68" t="str">
            <v>ココファン・ナーサリー稲毛東</v>
          </cell>
          <cell r="E68" t="str">
            <v>無</v>
          </cell>
          <cell r="F68">
            <v>56</v>
          </cell>
          <cell r="H68">
            <v>32</v>
          </cell>
          <cell r="I68">
            <v>24</v>
          </cell>
          <cell r="O68">
            <v>1189000</v>
          </cell>
          <cell r="P68">
            <v>2627000</v>
          </cell>
          <cell r="Q68">
            <v>2627000</v>
          </cell>
          <cell r="R68">
            <v>1028000</v>
          </cell>
          <cell r="S68">
            <v>0</v>
          </cell>
          <cell r="T68">
            <v>0</v>
          </cell>
          <cell r="U68">
            <v>0</v>
          </cell>
          <cell r="V68">
            <v>792000</v>
          </cell>
          <cell r="W68">
            <v>1751000</v>
          </cell>
          <cell r="X68">
            <v>1751000</v>
          </cell>
          <cell r="Y68">
            <v>685000</v>
          </cell>
          <cell r="Z68">
            <v>0</v>
          </cell>
          <cell r="AA68">
            <v>0</v>
          </cell>
          <cell r="AB68">
            <v>0</v>
          </cell>
          <cell r="AC68">
            <v>0</v>
          </cell>
          <cell r="AD68">
            <v>0</v>
          </cell>
          <cell r="AE68">
            <v>0</v>
          </cell>
          <cell r="AF68">
            <v>0</v>
          </cell>
          <cell r="AG68">
            <v>0</v>
          </cell>
          <cell r="AH68">
            <v>0</v>
          </cell>
          <cell r="AI68">
            <v>0</v>
          </cell>
          <cell r="AJ68" t="str">
            <v>令和3年4月1日</v>
          </cell>
          <cell r="AK68" t="str">
            <v>令和3年5月31日交付</v>
          </cell>
          <cell r="AM68" t="str">
            <v>3号の63</v>
          </cell>
          <cell r="AN68" t="str">
            <v>有</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CW68" t="str">
            <v>無</v>
          </cell>
          <cell r="CX68">
            <v>0</v>
          </cell>
          <cell r="CY68" t="str">
            <v>有</v>
          </cell>
          <cell r="CZ68" t="str">
            <v>有</v>
          </cell>
          <cell r="DA68" t="str">
            <v>有</v>
          </cell>
          <cell r="DB68" t="str">
            <v>有</v>
          </cell>
          <cell r="DC68" t="str">
            <v>有</v>
          </cell>
          <cell r="DD68" t="str">
            <v>有</v>
          </cell>
          <cell r="DE68" t="str">
            <v>有</v>
          </cell>
          <cell r="DF68" t="str">
            <v>有</v>
          </cell>
          <cell r="DG68" t="str">
            <v>有</v>
          </cell>
          <cell r="DH68" t="str">
            <v>有</v>
          </cell>
          <cell r="DI68" t="str">
            <v>有</v>
          </cell>
          <cell r="DJ68" t="str">
            <v>有</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有</v>
          </cell>
          <cell r="DX68" t="str">
            <v>有</v>
          </cell>
          <cell r="DY68" t="str">
            <v>有</v>
          </cell>
          <cell r="DZ68" t="str">
            <v>有</v>
          </cell>
          <cell r="EA68" t="str">
            <v>有</v>
          </cell>
          <cell r="EB68" t="str">
            <v>有</v>
          </cell>
          <cell r="EC68" t="str">
            <v>有</v>
          </cell>
          <cell r="ED68" t="str">
            <v>有</v>
          </cell>
          <cell r="EE68" t="str">
            <v>有</v>
          </cell>
          <cell r="EF68" t="str">
            <v>有</v>
          </cell>
          <cell r="EG68" t="str">
            <v>有</v>
          </cell>
          <cell r="EH68" t="str">
            <v>有</v>
          </cell>
          <cell r="EI68" t="str">
            <v>配置</v>
          </cell>
          <cell r="EJ68" t="str">
            <v>配置</v>
          </cell>
          <cell r="EK68" t="str">
            <v>配置</v>
          </cell>
          <cell r="EL68" t="str">
            <v>配置</v>
          </cell>
          <cell r="EM68" t="str">
            <v>配置</v>
          </cell>
          <cell r="EN68" t="str">
            <v>配置</v>
          </cell>
          <cell r="EO68" t="str">
            <v>配置</v>
          </cell>
          <cell r="EP68" t="str">
            <v>配置</v>
          </cell>
          <cell r="EQ68" t="str">
            <v>配置</v>
          </cell>
          <cell r="ER68" t="str">
            <v>配置</v>
          </cell>
          <cell r="ES68" t="str">
            <v>配置</v>
          </cell>
          <cell r="ET68" t="str">
            <v>配置</v>
          </cell>
          <cell r="EU68">
            <v>76960</v>
          </cell>
          <cell r="EV68">
            <v>76960</v>
          </cell>
          <cell r="EW68">
            <v>76960</v>
          </cell>
          <cell r="EX68">
            <v>76960</v>
          </cell>
          <cell r="EY68">
            <v>76960</v>
          </cell>
          <cell r="EZ68">
            <v>76960</v>
          </cell>
          <cell r="FA68">
            <v>76960</v>
          </cell>
          <cell r="FB68">
            <v>76960</v>
          </cell>
          <cell r="FC68">
            <v>76960</v>
          </cell>
          <cell r="FD68">
            <v>76960</v>
          </cell>
          <cell r="FE68">
            <v>76960</v>
          </cell>
          <cell r="FF68">
            <v>76960</v>
          </cell>
        </row>
        <row r="69">
          <cell r="C69">
            <v>65</v>
          </cell>
          <cell r="D69" t="str">
            <v>アストロキャンプ稲毛東保育園</v>
          </cell>
          <cell r="E69" t="str">
            <v>無</v>
          </cell>
          <cell r="F69">
            <v>40</v>
          </cell>
          <cell r="H69">
            <v>23</v>
          </cell>
          <cell r="I69">
            <v>17</v>
          </cell>
          <cell r="O69">
            <v>1189000</v>
          </cell>
          <cell r="P69">
            <v>2627000</v>
          </cell>
          <cell r="Q69">
            <v>2627000</v>
          </cell>
          <cell r="R69">
            <v>0</v>
          </cell>
          <cell r="S69">
            <v>0</v>
          </cell>
          <cell r="T69">
            <v>0</v>
          </cell>
          <cell r="U69">
            <v>0</v>
          </cell>
          <cell r="V69">
            <v>792000</v>
          </cell>
          <cell r="W69">
            <v>1751000</v>
          </cell>
          <cell r="X69">
            <v>1751000</v>
          </cell>
          <cell r="Y69">
            <v>0</v>
          </cell>
          <cell r="Z69">
            <v>0</v>
          </cell>
          <cell r="AA69">
            <v>0</v>
          </cell>
          <cell r="AB69">
            <v>0</v>
          </cell>
          <cell r="AC69">
            <v>397000</v>
          </cell>
          <cell r="AD69">
            <v>876000</v>
          </cell>
          <cell r="AE69">
            <v>876000</v>
          </cell>
          <cell r="AF69">
            <v>0</v>
          </cell>
          <cell r="AG69">
            <v>0</v>
          </cell>
          <cell r="AH69">
            <v>0</v>
          </cell>
          <cell r="AI69">
            <v>0</v>
          </cell>
          <cell r="AJ69" t="str">
            <v>令和3年4月1日</v>
          </cell>
          <cell r="AK69" t="str">
            <v>令和3年5月31日交付</v>
          </cell>
          <cell r="AL69" t="str">
            <v>令和3年10月29日交付</v>
          </cell>
          <cell r="AM69" t="str">
            <v>3号の64</v>
          </cell>
          <cell r="AN69" t="str">
            <v>有</v>
          </cell>
          <cell r="AO69" t="str">
            <v>一般型</v>
          </cell>
          <cell r="AP69" t="str">
            <v>一般型</v>
          </cell>
          <cell r="AQ69" t="str">
            <v>一般型</v>
          </cell>
          <cell r="AR69" t="str">
            <v>一般型</v>
          </cell>
          <cell r="AS69" t="str">
            <v>一般型</v>
          </cell>
          <cell r="AT69" t="str">
            <v>一般型</v>
          </cell>
          <cell r="AU69" t="str">
            <v>一般型</v>
          </cell>
          <cell r="AV69" t="str">
            <v>一般型</v>
          </cell>
          <cell r="AW69" t="str">
            <v>一般型</v>
          </cell>
          <cell r="AX69" t="str">
            <v>一般型</v>
          </cell>
          <cell r="AY69" t="str">
            <v>一般型</v>
          </cell>
          <cell r="AZ69" t="str">
            <v>一般型</v>
          </cell>
          <cell r="BA69" t="str">
            <v>有</v>
          </cell>
          <cell r="BB69" t="str">
            <v>有</v>
          </cell>
          <cell r="BC69" t="str">
            <v>有</v>
          </cell>
          <cell r="BD69" t="str">
            <v>有</v>
          </cell>
          <cell r="BE69" t="str">
            <v>有</v>
          </cell>
          <cell r="BF69" t="str">
            <v>有</v>
          </cell>
          <cell r="BG69" t="str">
            <v>有</v>
          </cell>
          <cell r="BH69" t="str">
            <v>有</v>
          </cell>
          <cell r="BI69" t="str">
            <v>有</v>
          </cell>
          <cell r="BJ69" t="str">
            <v>有</v>
          </cell>
          <cell r="BK69" t="str">
            <v>有</v>
          </cell>
          <cell r="BL69" t="str">
            <v>有</v>
          </cell>
          <cell r="CW69" t="str">
            <v>無</v>
          </cell>
          <cell r="CX69">
            <v>0</v>
          </cell>
          <cell r="CY69" t="str">
            <v>有</v>
          </cell>
          <cell r="CZ69" t="str">
            <v>有</v>
          </cell>
          <cell r="DA69" t="str">
            <v>有</v>
          </cell>
          <cell r="DB69" t="str">
            <v>有</v>
          </cell>
          <cell r="DC69" t="str">
            <v>有</v>
          </cell>
          <cell r="DD69" t="str">
            <v>有</v>
          </cell>
          <cell r="DE69" t="str">
            <v>有</v>
          </cell>
          <cell r="DF69" t="str">
            <v>有</v>
          </cell>
          <cell r="DG69" t="str">
            <v>有</v>
          </cell>
          <cell r="DH69" t="str">
            <v>有</v>
          </cell>
          <cell r="DI69" t="str">
            <v>有</v>
          </cell>
          <cell r="DJ69" t="str">
            <v>有</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有</v>
          </cell>
          <cell r="DX69" t="str">
            <v>有</v>
          </cell>
          <cell r="DY69" t="str">
            <v>有</v>
          </cell>
          <cell r="DZ69" t="str">
            <v>有</v>
          </cell>
          <cell r="EA69" t="str">
            <v>有</v>
          </cell>
          <cell r="EB69" t="str">
            <v>有</v>
          </cell>
          <cell r="EC69" t="str">
            <v>有</v>
          </cell>
          <cell r="ED69" t="str">
            <v>有</v>
          </cell>
          <cell r="EE69" t="str">
            <v>有</v>
          </cell>
          <cell r="EF69" t="str">
            <v>有</v>
          </cell>
          <cell r="EG69" t="str">
            <v>有</v>
          </cell>
          <cell r="EH69" t="str">
            <v>有</v>
          </cell>
          <cell r="EI69" t="str">
            <v>配置</v>
          </cell>
          <cell r="EJ69" t="str">
            <v>配置</v>
          </cell>
          <cell r="EK69" t="str">
            <v>配置</v>
          </cell>
          <cell r="EL69" t="str">
            <v>配置</v>
          </cell>
          <cell r="EM69" t="str">
            <v>配置</v>
          </cell>
          <cell r="EN69" t="str">
            <v>配置</v>
          </cell>
          <cell r="EO69" t="str">
            <v>配置</v>
          </cell>
          <cell r="EP69" t="str">
            <v>配置</v>
          </cell>
          <cell r="EQ69" t="str">
            <v>配置</v>
          </cell>
          <cell r="ER69" t="str">
            <v>配置</v>
          </cell>
          <cell r="ES69" t="str">
            <v>配置</v>
          </cell>
          <cell r="ET69" t="str">
            <v>配置</v>
          </cell>
          <cell r="EU69">
            <v>76960</v>
          </cell>
          <cell r="EV69">
            <v>76960</v>
          </cell>
          <cell r="EW69">
            <v>76960</v>
          </cell>
          <cell r="EX69">
            <v>76960</v>
          </cell>
          <cell r="EY69">
            <v>76960</v>
          </cell>
          <cell r="EZ69">
            <v>76960</v>
          </cell>
          <cell r="FA69">
            <v>76960</v>
          </cell>
          <cell r="FB69">
            <v>76960</v>
          </cell>
          <cell r="FC69">
            <v>76960</v>
          </cell>
          <cell r="FD69">
            <v>76960</v>
          </cell>
          <cell r="FE69">
            <v>76960</v>
          </cell>
          <cell r="FF69">
            <v>76960</v>
          </cell>
        </row>
        <row r="70">
          <cell r="C70">
            <v>66</v>
          </cell>
          <cell r="D70" t="str">
            <v>あおぞら保育園</v>
          </cell>
          <cell r="E70" t="str">
            <v>無</v>
          </cell>
          <cell r="F70">
            <v>31</v>
          </cell>
          <cell r="H70">
            <v>18</v>
          </cell>
          <cell r="I70">
            <v>13</v>
          </cell>
          <cell r="O70">
            <v>1189000</v>
          </cell>
          <cell r="P70">
            <v>1291000</v>
          </cell>
          <cell r="Q70">
            <v>2627000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t="str">
            <v>令和3年4月1日</v>
          </cell>
          <cell r="AM70" t="str">
            <v>3号の65</v>
          </cell>
          <cell r="AN70" t="str">
            <v>有</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v>1</v>
          </cell>
          <cell r="BN70">
            <v>1</v>
          </cell>
          <cell r="BO70">
            <v>1</v>
          </cell>
          <cell r="BP70">
            <v>2</v>
          </cell>
          <cell r="BQ70">
            <v>2</v>
          </cell>
          <cell r="BR70">
            <v>2</v>
          </cell>
          <cell r="BS70">
            <v>2</v>
          </cell>
          <cell r="BT70">
            <v>2</v>
          </cell>
          <cell r="BU70">
            <v>2</v>
          </cell>
          <cell r="BV70">
            <v>2</v>
          </cell>
          <cell r="BW70">
            <v>2</v>
          </cell>
          <cell r="BX70">
            <v>2</v>
          </cell>
          <cell r="CK70">
            <v>0</v>
          </cell>
          <cell r="CL70">
            <v>0</v>
          </cell>
          <cell r="CM70">
            <v>0</v>
          </cell>
          <cell r="CN70">
            <v>0</v>
          </cell>
          <cell r="CO70">
            <v>0</v>
          </cell>
          <cell r="CP70">
            <v>0</v>
          </cell>
          <cell r="CQ70">
            <v>0</v>
          </cell>
          <cell r="CR70">
            <v>0</v>
          </cell>
          <cell r="CS70">
            <v>0</v>
          </cell>
          <cell r="CT70">
            <v>0</v>
          </cell>
          <cell r="CU70">
            <v>0</v>
          </cell>
          <cell r="CV70">
            <v>0</v>
          </cell>
          <cell r="CW70" t="str">
            <v>無</v>
          </cell>
          <cell r="CX70">
            <v>1</v>
          </cell>
          <cell r="CY70" t="str">
            <v>有</v>
          </cell>
          <cell r="CZ70" t="str">
            <v>有</v>
          </cell>
          <cell r="DA70" t="str">
            <v>有</v>
          </cell>
          <cell r="DB70" t="str">
            <v>有</v>
          </cell>
          <cell r="DC70" t="str">
            <v>有</v>
          </cell>
          <cell r="DD70" t="str">
            <v>有</v>
          </cell>
          <cell r="DE70" t="str">
            <v>有</v>
          </cell>
          <cell r="DF70" t="str">
            <v>有</v>
          </cell>
          <cell r="DG70" t="str">
            <v>有</v>
          </cell>
          <cell r="DH70" t="str">
            <v>有</v>
          </cell>
          <cell r="DI70" t="str">
            <v>有</v>
          </cell>
          <cell r="DJ70" t="str">
            <v>有</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有</v>
          </cell>
          <cell r="DX70" t="str">
            <v>有</v>
          </cell>
          <cell r="DY70" t="str">
            <v>有</v>
          </cell>
          <cell r="DZ70" t="str">
            <v>有</v>
          </cell>
          <cell r="EA70" t="str">
            <v>有</v>
          </cell>
          <cell r="EB70" t="str">
            <v>有</v>
          </cell>
          <cell r="EC70" t="str">
            <v>有</v>
          </cell>
          <cell r="ED70" t="str">
            <v>有</v>
          </cell>
          <cell r="EE70" t="str">
            <v>有</v>
          </cell>
          <cell r="EF70" t="str">
            <v>有</v>
          </cell>
          <cell r="EG70" t="str">
            <v>有</v>
          </cell>
          <cell r="EH70" t="str">
            <v>有</v>
          </cell>
          <cell r="EI70" t="str">
            <v>兼務</v>
          </cell>
          <cell r="EJ70" t="str">
            <v>兼務</v>
          </cell>
          <cell r="EK70" t="str">
            <v>兼務</v>
          </cell>
          <cell r="EL70" t="str">
            <v>兼務</v>
          </cell>
          <cell r="EM70" t="str">
            <v>兼務</v>
          </cell>
          <cell r="EN70" t="str">
            <v>兼務</v>
          </cell>
          <cell r="EO70" t="str">
            <v>兼務</v>
          </cell>
          <cell r="EP70" t="str">
            <v>兼務</v>
          </cell>
          <cell r="EQ70" t="str">
            <v>兼務</v>
          </cell>
          <cell r="ER70" t="str">
            <v>兼務</v>
          </cell>
          <cell r="ES70" t="str">
            <v>兼務</v>
          </cell>
          <cell r="ET70" t="str">
            <v>兼務</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row>
        <row r="71">
          <cell r="C71">
            <v>67</v>
          </cell>
          <cell r="D71" t="str">
            <v>テンダーラビング保育園誉田</v>
          </cell>
          <cell r="E71" t="str">
            <v>無</v>
          </cell>
          <cell r="F71">
            <v>59</v>
          </cell>
          <cell r="H71">
            <v>33</v>
          </cell>
          <cell r="I71">
            <v>26</v>
          </cell>
          <cell r="O71">
            <v>1189000</v>
          </cell>
          <cell r="P71">
            <v>2627000</v>
          </cell>
          <cell r="Q71">
            <v>0</v>
          </cell>
          <cell r="R71">
            <v>1028000</v>
          </cell>
          <cell r="S71">
            <v>0</v>
          </cell>
          <cell r="T71">
            <v>0</v>
          </cell>
          <cell r="U71">
            <v>0</v>
          </cell>
          <cell r="V71">
            <v>792000</v>
          </cell>
          <cell r="W71">
            <v>1751000</v>
          </cell>
          <cell r="X71">
            <v>0</v>
          </cell>
          <cell r="Y71">
            <v>685000</v>
          </cell>
          <cell r="Z71">
            <v>0</v>
          </cell>
          <cell r="AA71">
            <v>0</v>
          </cell>
          <cell r="AB71">
            <v>0</v>
          </cell>
          <cell r="AC71">
            <v>397000</v>
          </cell>
          <cell r="AD71">
            <v>876000</v>
          </cell>
          <cell r="AE71">
            <v>0</v>
          </cell>
          <cell r="AF71">
            <v>343000</v>
          </cell>
          <cell r="AG71">
            <v>0</v>
          </cell>
          <cell r="AH71">
            <v>0</v>
          </cell>
          <cell r="AI71">
            <v>0</v>
          </cell>
          <cell r="AJ71" t="str">
            <v>令和3年4月1日</v>
          </cell>
          <cell r="AK71" t="str">
            <v>令和3年5月31日交付</v>
          </cell>
          <cell r="AL71" t="str">
            <v>令和3年10月29日交付</v>
          </cell>
          <cell r="AM71" t="str">
            <v>3号の66</v>
          </cell>
          <cell r="AN71" t="str">
            <v>有</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CW71" t="str">
            <v>無</v>
          </cell>
          <cell r="CX71">
            <v>2</v>
          </cell>
          <cell r="CY71" t="str">
            <v>有</v>
          </cell>
          <cell r="CZ71" t="str">
            <v>有</v>
          </cell>
          <cell r="DA71" t="str">
            <v>有</v>
          </cell>
          <cell r="DB71" t="str">
            <v>有</v>
          </cell>
          <cell r="DC71" t="str">
            <v>有</v>
          </cell>
          <cell r="DD71" t="str">
            <v>有</v>
          </cell>
          <cell r="DE71" t="str">
            <v>有</v>
          </cell>
          <cell r="DF71" t="str">
            <v>有</v>
          </cell>
          <cell r="DG71" t="str">
            <v>有</v>
          </cell>
          <cell r="DH71" t="str">
            <v>有</v>
          </cell>
          <cell r="DI71" t="str">
            <v>有</v>
          </cell>
          <cell r="DJ71" t="str">
            <v>有</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有</v>
          </cell>
          <cell r="DX71" t="str">
            <v>有</v>
          </cell>
          <cell r="DY71" t="str">
            <v>有</v>
          </cell>
          <cell r="DZ71" t="str">
            <v>有</v>
          </cell>
          <cell r="EA71" t="str">
            <v>有</v>
          </cell>
          <cell r="EB71" t="str">
            <v>有</v>
          </cell>
          <cell r="EC71" t="str">
            <v>有</v>
          </cell>
          <cell r="ED71" t="str">
            <v>有</v>
          </cell>
          <cell r="EE71" t="str">
            <v>有</v>
          </cell>
          <cell r="EF71" t="str">
            <v>有</v>
          </cell>
          <cell r="EG71" t="str">
            <v>有</v>
          </cell>
          <cell r="EH71" t="str">
            <v>有</v>
          </cell>
          <cell r="EI71" t="str">
            <v>配置</v>
          </cell>
          <cell r="EJ71" t="str">
            <v>配置</v>
          </cell>
          <cell r="EK71" t="str">
            <v>配置</v>
          </cell>
          <cell r="EL71" t="str">
            <v>配置</v>
          </cell>
          <cell r="EM71" t="str">
            <v>配置</v>
          </cell>
          <cell r="EN71" t="str">
            <v>配置</v>
          </cell>
          <cell r="EO71" t="str">
            <v>配置</v>
          </cell>
          <cell r="EP71" t="str">
            <v>配置</v>
          </cell>
          <cell r="EQ71" t="str">
            <v>配置</v>
          </cell>
          <cell r="ER71" t="str">
            <v>配置</v>
          </cell>
          <cell r="ES71" t="str">
            <v>配置</v>
          </cell>
          <cell r="ET71" t="str">
            <v>配置</v>
          </cell>
          <cell r="EU71">
            <v>76960</v>
          </cell>
          <cell r="EV71">
            <v>76960</v>
          </cell>
          <cell r="EW71">
            <v>76960</v>
          </cell>
          <cell r="EX71">
            <v>76960</v>
          </cell>
          <cell r="EY71">
            <v>76960</v>
          </cell>
          <cell r="EZ71">
            <v>76960</v>
          </cell>
          <cell r="FA71">
            <v>76960</v>
          </cell>
          <cell r="FB71">
            <v>76960</v>
          </cell>
          <cell r="FC71">
            <v>76960</v>
          </cell>
          <cell r="FD71">
            <v>76960</v>
          </cell>
          <cell r="FE71">
            <v>76960</v>
          </cell>
          <cell r="FF71">
            <v>76960</v>
          </cell>
        </row>
        <row r="72">
          <cell r="C72">
            <v>68</v>
          </cell>
          <cell r="D72" t="str">
            <v>誉田おもいやり保育園</v>
          </cell>
          <cell r="E72" t="str">
            <v>有</v>
          </cell>
          <cell r="F72">
            <v>79</v>
          </cell>
          <cell r="H72">
            <v>39</v>
          </cell>
          <cell r="I72">
            <v>40</v>
          </cell>
          <cell r="J72">
            <v>20</v>
          </cell>
          <cell r="L72">
            <v>20</v>
          </cell>
          <cell r="M72">
            <v>0</v>
          </cell>
          <cell r="O72">
            <v>1189000</v>
          </cell>
          <cell r="P72">
            <v>2627000</v>
          </cell>
          <cell r="Q72">
            <v>2627000</v>
          </cell>
          <cell r="R72">
            <v>1028000</v>
          </cell>
          <cell r="S72">
            <v>0</v>
          </cell>
          <cell r="T72">
            <v>1982000</v>
          </cell>
          <cell r="U72">
            <v>0</v>
          </cell>
          <cell r="V72">
            <v>792000</v>
          </cell>
          <cell r="W72">
            <v>1751000</v>
          </cell>
          <cell r="X72">
            <v>1751000</v>
          </cell>
          <cell r="Y72">
            <v>685000</v>
          </cell>
          <cell r="Z72">
            <v>0</v>
          </cell>
          <cell r="AA72">
            <v>1321000</v>
          </cell>
          <cell r="AB72">
            <v>0</v>
          </cell>
          <cell r="AC72">
            <v>0</v>
          </cell>
          <cell r="AD72">
            <v>0</v>
          </cell>
          <cell r="AE72">
            <v>0</v>
          </cell>
          <cell r="AF72">
            <v>0</v>
          </cell>
          <cell r="AG72">
            <v>0</v>
          </cell>
          <cell r="AH72">
            <v>0</v>
          </cell>
          <cell r="AI72">
            <v>0</v>
          </cell>
          <cell r="AJ72" t="str">
            <v>令和3年4月1日</v>
          </cell>
          <cell r="AK72" t="str">
            <v>令和3年5月31日交付</v>
          </cell>
          <cell r="AM72" t="str">
            <v>3号の67</v>
          </cell>
          <cell r="AN72" t="str">
            <v>有</v>
          </cell>
          <cell r="AO72" t="str">
            <v>一般型</v>
          </cell>
          <cell r="AP72" t="str">
            <v>一般型</v>
          </cell>
          <cell r="AQ72" t="str">
            <v>一般型</v>
          </cell>
          <cell r="AR72" t="str">
            <v>一般型</v>
          </cell>
          <cell r="AS72" t="str">
            <v>一般型</v>
          </cell>
          <cell r="AT72" t="str">
            <v>一般型</v>
          </cell>
          <cell r="AU72" t="str">
            <v>一般型</v>
          </cell>
          <cell r="AV72" t="str">
            <v>一般型</v>
          </cell>
          <cell r="AW72" t="str">
            <v>一般型</v>
          </cell>
          <cell r="AX72" t="str">
            <v>一般型</v>
          </cell>
          <cell r="AY72" t="str">
            <v>一般型</v>
          </cell>
          <cell r="AZ72" t="str">
            <v>一般型</v>
          </cell>
          <cell r="BA72" t="str">
            <v>有</v>
          </cell>
          <cell r="BB72" t="str">
            <v>有</v>
          </cell>
          <cell r="BC72" t="str">
            <v>有</v>
          </cell>
          <cell r="BD72" t="str">
            <v>有</v>
          </cell>
          <cell r="BE72" t="str">
            <v>有</v>
          </cell>
          <cell r="BF72" t="str">
            <v>有</v>
          </cell>
          <cell r="BG72" t="str">
            <v>有</v>
          </cell>
          <cell r="BH72" t="str">
            <v>有</v>
          </cell>
          <cell r="BI72" t="str">
            <v>有</v>
          </cell>
          <cell r="BJ72" t="str">
            <v>有</v>
          </cell>
          <cell r="BK72" t="str">
            <v>有</v>
          </cell>
          <cell r="BL72" t="str">
            <v>有</v>
          </cell>
          <cell r="BM72">
            <v>1</v>
          </cell>
          <cell r="BN72">
            <v>1</v>
          </cell>
          <cell r="BO72">
            <v>1</v>
          </cell>
          <cell r="BP72">
            <v>1</v>
          </cell>
          <cell r="BQ72">
            <v>2</v>
          </cell>
          <cell r="BR72">
            <v>2</v>
          </cell>
          <cell r="BS72">
            <v>2</v>
          </cell>
          <cell r="BT72">
            <v>2</v>
          </cell>
          <cell r="BU72">
            <v>2</v>
          </cell>
          <cell r="BV72">
            <v>2</v>
          </cell>
          <cell r="BW72">
            <v>2</v>
          </cell>
          <cell r="BX72">
            <v>2</v>
          </cell>
          <cell r="CK72">
            <v>0</v>
          </cell>
          <cell r="CL72">
            <v>0</v>
          </cell>
          <cell r="CM72">
            <v>0</v>
          </cell>
          <cell r="CN72">
            <v>0</v>
          </cell>
          <cell r="CO72">
            <v>0</v>
          </cell>
          <cell r="CP72">
            <v>0</v>
          </cell>
          <cell r="CQ72">
            <v>0</v>
          </cell>
          <cell r="CR72">
            <v>0</v>
          </cell>
          <cell r="CS72">
            <v>0</v>
          </cell>
          <cell r="CT72">
            <v>0</v>
          </cell>
          <cell r="CU72">
            <v>0</v>
          </cell>
          <cell r="CV72">
            <v>0</v>
          </cell>
          <cell r="CW72" t="str">
            <v>無</v>
          </cell>
          <cell r="CX72">
            <v>2</v>
          </cell>
          <cell r="CY72" t="str">
            <v>有</v>
          </cell>
          <cell r="CZ72" t="str">
            <v>有</v>
          </cell>
          <cell r="DA72" t="str">
            <v>有</v>
          </cell>
          <cell r="DB72" t="str">
            <v>有</v>
          </cell>
          <cell r="DC72" t="str">
            <v>有</v>
          </cell>
          <cell r="DD72" t="str">
            <v>有</v>
          </cell>
          <cell r="DE72" t="str">
            <v>有</v>
          </cell>
          <cell r="DF72" t="str">
            <v>有</v>
          </cell>
          <cell r="DG72" t="str">
            <v>有</v>
          </cell>
          <cell r="DH72" t="str">
            <v>有</v>
          </cell>
          <cell r="DI72" t="str">
            <v>有</v>
          </cell>
          <cell r="DJ72" t="str">
            <v>有</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有</v>
          </cell>
          <cell r="DX72" t="str">
            <v>有</v>
          </cell>
          <cell r="DY72" t="str">
            <v>有</v>
          </cell>
          <cell r="DZ72" t="str">
            <v>有</v>
          </cell>
          <cell r="EA72" t="str">
            <v>有</v>
          </cell>
          <cell r="EB72" t="str">
            <v>有</v>
          </cell>
          <cell r="EC72" t="str">
            <v>有</v>
          </cell>
          <cell r="ED72" t="str">
            <v>有</v>
          </cell>
          <cell r="EE72" t="str">
            <v>有</v>
          </cell>
          <cell r="EF72" t="str">
            <v>有</v>
          </cell>
          <cell r="EG72" t="str">
            <v>有</v>
          </cell>
          <cell r="EH72" t="str">
            <v>有</v>
          </cell>
          <cell r="EI72" t="str">
            <v>配置</v>
          </cell>
          <cell r="EJ72" t="str">
            <v>配置</v>
          </cell>
          <cell r="EK72" t="str">
            <v>配置</v>
          </cell>
          <cell r="EL72" t="str">
            <v>配置</v>
          </cell>
          <cell r="EM72" t="str">
            <v>配置</v>
          </cell>
          <cell r="EN72" t="str">
            <v>配置</v>
          </cell>
          <cell r="EO72" t="str">
            <v>配置</v>
          </cell>
          <cell r="EP72" t="str">
            <v>配置</v>
          </cell>
          <cell r="EQ72" t="str">
            <v>配置</v>
          </cell>
          <cell r="ER72" t="str">
            <v>配置</v>
          </cell>
          <cell r="ES72" t="str">
            <v>配置</v>
          </cell>
          <cell r="ET72" t="str">
            <v>配置</v>
          </cell>
          <cell r="EU72">
            <v>76960</v>
          </cell>
          <cell r="EV72">
            <v>76960</v>
          </cell>
          <cell r="EW72">
            <v>76960</v>
          </cell>
          <cell r="EX72">
            <v>76960</v>
          </cell>
          <cell r="EY72">
            <v>76960</v>
          </cell>
          <cell r="EZ72">
            <v>76960</v>
          </cell>
          <cell r="FA72">
            <v>76960</v>
          </cell>
          <cell r="FB72">
            <v>76960</v>
          </cell>
          <cell r="FC72">
            <v>76960</v>
          </cell>
          <cell r="FD72">
            <v>76960</v>
          </cell>
          <cell r="FE72">
            <v>76960</v>
          </cell>
          <cell r="FF72">
            <v>76960</v>
          </cell>
        </row>
        <row r="73">
          <cell r="C73">
            <v>69</v>
          </cell>
          <cell r="D73" t="str">
            <v>ほのぼのたんぽぽほいくえん</v>
          </cell>
          <cell r="E73" t="str">
            <v>無</v>
          </cell>
          <cell r="F73">
            <v>59</v>
          </cell>
          <cell r="H73">
            <v>30</v>
          </cell>
          <cell r="I73">
            <v>29</v>
          </cell>
          <cell r="O73">
            <v>787000</v>
          </cell>
          <cell r="P73">
            <v>656000</v>
          </cell>
          <cell r="Q73">
            <v>218000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t="str">
            <v>令和3年4月1日</v>
          </cell>
          <cell r="AM73" t="str">
            <v>106号</v>
          </cell>
          <cell r="AN73" t="str">
            <v>有</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CW73" t="str">
            <v>無</v>
          </cell>
          <cell r="CX73">
            <v>1</v>
          </cell>
          <cell r="CY73" t="str">
            <v>有</v>
          </cell>
          <cell r="CZ73" t="str">
            <v>有</v>
          </cell>
          <cell r="DA73" t="str">
            <v>有</v>
          </cell>
          <cell r="DB73" t="str">
            <v>有</v>
          </cell>
          <cell r="DC73" t="str">
            <v>有</v>
          </cell>
          <cell r="DD73" t="str">
            <v>有</v>
          </cell>
          <cell r="DE73" t="str">
            <v>有</v>
          </cell>
          <cell r="DF73" t="str">
            <v>有</v>
          </cell>
          <cell r="DG73" t="str">
            <v>有</v>
          </cell>
          <cell r="DH73" t="str">
            <v>有</v>
          </cell>
          <cell r="DI73" t="str">
            <v>有</v>
          </cell>
          <cell r="DJ73" t="str">
            <v>有</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有</v>
          </cell>
          <cell r="DX73" t="str">
            <v>有</v>
          </cell>
          <cell r="DY73" t="str">
            <v>有</v>
          </cell>
          <cell r="DZ73" t="str">
            <v>有</v>
          </cell>
          <cell r="EA73" t="str">
            <v>有</v>
          </cell>
          <cell r="EB73" t="str">
            <v>有</v>
          </cell>
          <cell r="EC73" t="str">
            <v>有</v>
          </cell>
          <cell r="ED73" t="str">
            <v>有</v>
          </cell>
          <cell r="EE73" t="str">
            <v>有</v>
          </cell>
          <cell r="EF73" t="str">
            <v>有</v>
          </cell>
          <cell r="EG73" t="str">
            <v>有</v>
          </cell>
          <cell r="EH73" t="str">
            <v>有</v>
          </cell>
          <cell r="EI73" t="str">
            <v>配置</v>
          </cell>
          <cell r="EJ73" t="str">
            <v>配置</v>
          </cell>
          <cell r="EK73" t="str">
            <v>配置</v>
          </cell>
          <cell r="EL73" t="str">
            <v>配置</v>
          </cell>
          <cell r="EM73" t="str">
            <v>配置</v>
          </cell>
          <cell r="EN73" t="str">
            <v>配置</v>
          </cell>
          <cell r="EO73" t="str">
            <v>配置</v>
          </cell>
          <cell r="EP73" t="str">
            <v>配置</v>
          </cell>
          <cell r="EQ73" t="str">
            <v>配置</v>
          </cell>
          <cell r="ER73" t="str">
            <v>配置</v>
          </cell>
          <cell r="ES73" t="str">
            <v>配置</v>
          </cell>
          <cell r="ET73" t="str">
            <v>配置</v>
          </cell>
          <cell r="EU73">
            <v>76960</v>
          </cell>
          <cell r="EV73">
            <v>76960</v>
          </cell>
          <cell r="EW73">
            <v>76960</v>
          </cell>
          <cell r="EX73">
            <v>76960</v>
          </cell>
          <cell r="EY73">
            <v>76960</v>
          </cell>
          <cell r="EZ73">
            <v>76960</v>
          </cell>
          <cell r="FA73">
            <v>76960</v>
          </cell>
          <cell r="FB73">
            <v>76960</v>
          </cell>
          <cell r="FC73">
            <v>76960</v>
          </cell>
          <cell r="FD73">
            <v>76960</v>
          </cell>
          <cell r="FE73">
            <v>76960</v>
          </cell>
          <cell r="FF73">
            <v>76960</v>
          </cell>
        </row>
        <row r="74">
          <cell r="C74">
            <v>70</v>
          </cell>
          <cell r="D74" t="str">
            <v>スクルドエンジェル保育園幕張園</v>
          </cell>
          <cell r="E74" t="str">
            <v>無</v>
          </cell>
          <cell r="F74">
            <v>27</v>
          </cell>
          <cell r="H74">
            <v>15</v>
          </cell>
          <cell r="I74">
            <v>12</v>
          </cell>
          <cell r="O74">
            <v>1189000</v>
          </cell>
          <cell r="P74">
            <v>2627000</v>
          </cell>
          <cell r="Q74">
            <v>2627000</v>
          </cell>
          <cell r="R74">
            <v>1028000</v>
          </cell>
          <cell r="S74">
            <v>0</v>
          </cell>
          <cell r="T74">
            <v>0</v>
          </cell>
          <cell r="U74">
            <v>0</v>
          </cell>
          <cell r="V74">
            <v>792000</v>
          </cell>
          <cell r="W74">
            <v>1751000</v>
          </cell>
          <cell r="X74">
            <v>1751000</v>
          </cell>
          <cell r="Y74">
            <v>685000</v>
          </cell>
          <cell r="Z74">
            <v>0</v>
          </cell>
          <cell r="AA74">
            <v>0</v>
          </cell>
          <cell r="AB74">
            <v>0</v>
          </cell>
          <cell r="AC74">
            <v>0</v>
          </cell>
          <cell r="AD74">
            <v>0</v>
          </cell>
          <cell r="AE74">
            <v>0</v>
          </cell>
          <cell r="AF74">
            <v>0</v>
          </cell>
          <cell r="AG74">
            <v>0</v>
          </cell>
          <cell r="AH74">
            <v>0</v>
          </cell>
          <cell r="AI74">
            <v>0</v>
          </cell>
          <cell r="AJ74" t="str">
            <v>令和3年4月1日</v>
          </cell>
          <cell r="AK74" t="str">
            <v>令和3年5月31日交付</v>
          </cell>
          <cell r="AM74" t="str">
            <v>3号の68</v>
          </cell>
          <cell r="AN74" t="str">
            <v>有</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CW74" t="str">
            <v>無</v>
          </cell>
          <cell r="CX74">
            <v>0</v>
          </cell>
          <cell r="CY74" t="str">
            <v>無</v>
          </cell>
          <cell r="CZ74" t="str">
            <v>無</v>
          </cell>
          <cell r="DA74" t="str">
            <v>無</v>
          </cell>
          <cell r="DB74" t="str">
            <v>無</v>
          </cell>
          <cell r="DC74" t="str">
            <v>無</v>
          </cell>
          <cell r="DD74" t="str">
            <v>無</v>
          </cell>
          <cell r="DE74" t="str">
            <v>無</v>
          </cell>
          <cell r="DF74" t="str">
            <v>無</v>
          </cell>
          <cell r="DG74" t="str">
            <v>無</v>
          </cell>
          <cell r="DH74" t="str">
            <v>無</v>
          </cell>
          <cell r="DI74" t="str">
            <v>無</v>
          </cell>
          <cell r="DJ74" t="str">
            <v>無</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有</v>
          </cell>
          <cell r="DX74" t="str">
            <v>有</v>
          </cell>
          <cell r="DY74" t="str">
            <v>有</v>
          </cell>
          <cell r="DZ74" t="str">
            <v>有</v>
          </cell>
          <cell r="EA74" t="str">
            <v>有</v>
          </cell>
          <cell r="EB74" t="str">
            <v>有</v>
          </cell>
          <cell r="EC74" t="str">
            <v>有</v>
          </cell>
          <cell r="ED74" t="str">
            <v>有</v>
          </cell>
          <cell r="EE74" t="str">
            <v>有</v>
          </cell>
          <cell r="EF74" t="str">
            <v>有</v>
          </cell>
          <cell r="EG74" t="str">
            <v>有</v>
          </cell>
          <cell r="EH74" t="str">
            <v>有</v>
          </cell>
          <cell r="EI74" t="str">
            <v>兼務</v>
          </cell>
          <cell r="EJ74" t="str">
            <v>兼務</v>
          </cell>
          <cell r="EK74" t="str">
            <v>兼務</v>
          </cell>
          <cell r="EL74" t="str">
            <v>兼務</v>
          </cell>
          <cell r="EM74" t="str">
            <v>兼務</v>
          </cell>
          <cell r="EN74" t="str">
            <v>兼務</v>
          </cell>
          <cell r="EO74" t="str">
            <v>兼務</v>
          </cell>
          <cell r="EP74" t="str">
            <v>兼務</v>
          </cell>
          <cell r="EQ74" t="str">
            <v>兼務</v>
          </cell>
          <cell r="ER74" t="str">
            <v>兼務</v>
          </cell>
          <cell r="ES74" t="str">
            <v>兼務</v>
          </cell>
          <cell r="ET74" t="str">
            <v>兼務</v>
          </cell>
          <cell r="EU74" t="str">
            <v/>
          </cell>
          <cell r="EV74" t="str">
            <v/>
          </cell>
          <cell r="EW74" t="str">
            <v/>
          </cell>
          <cell r="EX74" t="str">
            <v/>
          </cell>
          <cell r="EY74" t="str">
            <v/>
          </cell>
          <cell r="EZ74" t="str">
            <v/>
          </cell>
          <cell r="FA74" t="str">
            <v/>
          </cell>
          <cell r="FB74" t="str">
            <v/>
          </cell>
          <cell r="FC74" t="str">
            <v/>
          </cell>
          <cell r="FD74" t="str">
            <v/>
          </cell>
          <cell r="FE74" t="str">
            <v/>
          </cell>
          <cell r="FF74" t="str">
            <v/>
          </cell>
        </row>
        <row r="75">
          <cell r="C75">
            <v>71</v>
          </cell>
          <cell r="D75" t="str">
            <v>あい・あい保育園 幕張園</v>
          </cell>
          <cell r="E75" t="str">
            <v>有</v>
          </cell>
          <cell r="F75">
            <v>20</v>
          </cell>
          <cell r="H75">
            <v>15</v>
          </cell>
          <cell r="I75">
            <v>5</v>
          </cell>
          <cell r="J75">
            <v>9</v>
          </cell>
          <cell r="L75">
            <v>0</v>
          </cell>
          <cell r="M75">
            <v>9</v>
          </cell>
          <cell r="O75">
            <v>1189000</v>
          </cell>
          <cell r="P75">
            <v>2627000</v>
          </cell>
          <cell r="Q75">
            <v>2627000</v>
          </cell>
          <cell r="R75">
            <v>1631000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t="str">
            <v>令和3年4月1日</v>
          </cell>
          <cell r="AM75" t="str">
            <v>3号の69</v>
          </cell>
          <cell r="AN75" t="str">
            <v>有</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CW75" t="str">
            <v>無</v>
          </cell>
          <cell r="CX75">
            <v>0</v>
          </cell>
          <cell r="CY75" t="str">
            <v>無</v>
          </cell>
          <cell r="CZ75" t="str">
            <v>無</v>
          </cell>
          <cell r="DA75" t="str">
            <v>無</v>
          </cell>
          <cell r="DB75" t="str">
            <v>無</v>
          </cell>
          <cell r="DC75" t="str">
            <v>有</v>
          </cell>
          <cell r="DD75" t="str">
            <v>有</v>
          </cell>
          <cell r="DE75" t="str">
            <v>有</v>
          </cell>
          <cell r="DF75" t="str">
            <v>有</v>
          </cell>
          <cell r="DG75" t="str">
            <v>有</v>
          </cell>
          <cell r="DH75" t="str">
            <v>有</v>
          </cell>
          <cell r="DI75" t="str">
            <v>有</v>
          </cell>
          <cell r="DJ75" t="str">
            <v>有</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有</v>
          </cell>
          <cell r="DX75" t="str">
            <v>有</v>
          </cell>
          <cell r="DY75" t="str">
            <v>有</v>
          </cell>
          <cell r="DZ75" t="str">
            <v>有</v>
          </cell>
          <cell r="EA75" t="str">
            <v>有</v>
          </cell>
          <cell r="EB75" t="str">
            <v>有</v>
          </cell>
          <cell r="EC75" t="str">
            <v>有</v>
          </cell>
          <cell r="ED75" t="str">
            <v>有</v>
          </cell>
          <cell r="EE75" t="str">
            <v>有</v>
          </cell>
          <cell r="EF75" t="str">
            <v>有</v>
          </cell>
          <cell r="EG75" t="str">
            <v>有</v>
          </cell>
          <cell r="EH75" t="str">
            <v>有</v>
          </cell>
          <cell r="EI75" t="str">
            <v>配置</v>
          </cell>
          <cell r="EJ75" t="str">
            <v>配置</v>
          </cell>
          <cell r="EK75" t="str">
            <v>配置</v>
          </cell>
          <cell r="EL75" t="str">
            <v>配置</v>
          </cell>
          <cell r="EM75" t="str">
            <v>配置</v>
          </cell>
          <cell r="EN75" t="str">
            <v>配置</v>
          </cell>
          <cell r="EO75" t="str">
            <v>配置</v>
          </cell>
          <cell r="EP75" t="str">
            <v>配置</v>
          </cell>
          <cell r="EQ75" t="str">
            <v>配置</v>
          </cell>
          <cell r="ER75" t="str">
            <v>配置</v>
          </cell>
          <cell r="ES75" t="str">
            <v>配置</v>
          </cell>
          <cell r="ET75" t="str">
            <v>配置</v>
          </cell>
          <cell r="EU75">
            <v>76960</v>
          </cell>
          <cell r="EV75">
            <v>76960</v>
          </cell>
          <cell r="EW75">
            <v>76960</v>
          </cell>
          <cell r="EX75">
            <v>76960</v>
          </cell>
          <cell r="EY75">
            <v>76960</v>
          </cell>
          <cell r="EZ75">
            <v>76960</v>
          </cell>
          <cell r="FA75">
            <v>76960</v>
          </cell>
          <cell r="FB75">
            <v>76960</v>
          </cell>
          <cell r="FC75">
            <v>76960</v>
          </cell>
          <cell r="FD75">
            <v>76960</v>
          </cell>
          <cell r="FE75">
            <v>76960</v>
          </cell>
          <cell r="FF75">
            <v>76960</v>
          </cell>
        </row>
        <row r="76">
          <cell r="C76">
            <v>72</v>
          </cell>
          <cell r="D76" t="str">
            <v>さくらんぼ保育園</v>
          </cell>
          <cell r="E76" t="str">
            <v>無</v>
          </cell>
          <cell r="F76">
            <v>30</v>
          </cell>
          <cell r="H76">
            <v>15</v>
          </cell>
          <cell r="I76">
            <v>15</v>
          </cell>
          <cell r="O76">
            <v>1189000</v>
          </cell>
          <cell r="P76">
            <v>2627000</v>
          </cell>
          <cell r="Q76">
            <v>0</v>
          </cell>
          <cell r="R76">
            <v>1028000</v>
          </cell>
          <cell r="S76">
            <v>1631000</v>
          </cell>
          <cell r="T76">
            <v>0</v>
          </cell>
          <cell r="U76">
            <v>0</v>
          </cell>
          <cell r="V76">
            <v>792000</v>
          </cell>
          <cell r="W76">
            <v>1751000</v>
          </cell>
          <cell r="X76">
            <v>0</v>
          </cell>
          <cell r="Y76">
            <v>685000</v>
          </cell>
          <cell r="Z76">
            <v>1087000</v>
          </cell>
          <cell r="AA76">
            <v>0</v>
          </cell>
          <cell r="AB76">
            <v>0</v>
          </cell>
          <cell r="AC76">
            <v>0</v>
          </cell>
          <cell r="AD76">
            <v>0</v>
          </cell>
          <cell r="AE76">
            <v>0</v>
          </cell>
          <cell r="AF76">
            <v>0</v>
          </cell>
          <cell r="AG76">
            <v>0</v>
          </cell>
          <cell r="AH76">
            <v>0</v>
          </cell>
          <cell r="AI76">
            <v>0</v>
          </cell>
          <cell r="AJ76" t="str">
            <v>令和3年4月1日</v>
          </cell>
          <cell r="AK76" t="str">
            <v>令和3年5月31日交付</v>
          </cell>
          <cell r="AM76" t="str">
            <v>3号の70</v>
          </cell>
          <cell r="AN76" t="str">
            <v>有</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CW76" t="str">
            <v>無</v>
          </cell>
          <cell r="CX76">
            <v>0</v>
          </cell>
          <cell r="CY76" t="str">
            <v>有</v>
          </cell>
          <cell r="CZ76" t="str">
            <v>有</v>
          </cell>
          <cell r="DA76" t="str">
            <v>有</v>
          </cell>
          <cell r="DB76" t="str">
            <v>有</v>
          </cell>
          <cell r="DC76" t="str">
            <v>有</v>
          </cell>
          <cell r="DD76" t="str">
            <v>有</v>
          </cell>
          <cell r="DE76" t="str">
            <v>有</v>
          </cell>
          <cell r="DF76" t="str">
            <v>有</v>
          </cell>
          <cell r="DG76" t="str">
            <v>有</v>
          </cell>
          <cell r="DH76" t="str">
            <v>有</v>
          </cell>
          <cell r="DI76" t="str">
            <v>有</v>
          </cell>
          <cell r="DJ76" t="str">
            <v>有</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有</v>
          </cell>
          <cell r="DX76" t="str">
            <v>有</v>
          </cell>
          <cell r="DY76" t="str">
            <v>有</v>
          </cell>
          <cell r="DZ76" t="str">
            <v>有</v>
          </cell>
          <cell r="EA76" t="str">
            <v>有</v>
          </cell>
          <cell r="EB76" t="str">
            <v>有</v>
          </cell>
          <cell r="EC76" t="str">
            <v>有</v>
          </cell>
          <cell r="ED76" t="str">
            <v>有</v>
          </cell>
          <cell r="EE76" t="str">
            <v>有</v>
          </cell>
          <cell r="EF76" t="str">
            <v>有</v>
          </cell>
          <cell r="EG76" t="str">
            <v>有</v>
          </cell>
          <cell r="EH76" t="str">
            <v>有</v>
          </cell>
          <cell r="EI76" t="str">
            <v>配置</v>
          </cell>
          <cell r="EJ76" t="str">
            <v>配置</v>
          </cell>
          <cell r="EK76" t="str">
            <v>配置</v>
          </cell>
          <cell r="EL76" t="str">
            <v>配置</v>
          </cell>
          <cell r="EM76" t="str">
            <v>配置</v>
          </cell>
          <cell r="EN76" t="str">
            <v>配置</v>
          </cell>
          <cell r="EO76" t="str">
            <v>配置</v>
          </cell>
          <cell r="EP76" t="str">
            <v>配置</v>
          </cell>
          <cell r="EQ76" t="str">
            <v>配置</v>
          </cell>
          <cell r="ER76" t="str">
            <v>配置</v>
          </cell>
          <cell r="ES76" t="str">
            <v>配置</v>
          </cell>
          <cell r="ET76" t="str">
            <v>配置</v>
          </cell>
          <cell r="EU76">
            <v>76960</v>
          </cell>
          <cell r="EV76">
            <v>76960</v>
          </cell>
          <cell r="EW76">
            <v>76960</v>
          </cell>
          <cell r="EX76">
            <v>76960</v>
          </cell>
          <cell r="EY76">
            <v>76960</v>
          </cell>
          <cell r="EZ76">
            <v>76960</v>
          </cell>
          <cell r="FA76">
            <v>76960</v>
          </cell>
          <cell r="FB76">
            <v>76960</v>
          </cell>
          <cell r="FC76">
            <v>76960</v>
          </cell>
          <cell r="FD76">
            <v>76960</v>
          </cell>
          <cell r="FE76">
            <v>76960</v>
          </cell>
          <cell r="FF76">
            <v>76960</v>
          </cell>
        </row>
        <row r="77">
          <cell r="C77">
            <v>73</v>
          </cell>
          <cell r="D77" t="str">
            <v>げんき保育園</v>
          </cell>
          <cell r="E77" t="str">
            <v>無</v>
          </cell>
          <cell r="F77">
            <v>48</v>
          </cell>
          <cell r="H77">
            <v>27</v>
          </cell>
          <cell r="I77">
            <v>21</v>
          </cell>
          <cell r="O77">
            <v>1189000</v>
          </cell>
          <cell r="P77">
            <v>2627000</v>
          </cell>
          <cell r="Q77">
            <v>2627000</v>
          </cell>
          <cell r="R77">
            <v>1631000</v>
          </cell>
          <cell r="S77">
            <v>0</v>
          </cell>
          <cell r="T77">
            <v>1982000</v>
          </cell>
          <cell r="U77">
            <v>0</v>
          </cell>
          <cell r="V77">
            <v>792000</v>
          </cell>
          <cell r="W77">
            <v>1751000</v>
          </cell>
          <cell r="X77">
            <v>1751000</v>
          </cell>
          <cell r="Y77">
            <v>1087000</v>
          </cell>
          <cell r="Z77">
            <v>0</v>
          </cell>
          <cell r="AA77">
            <v>1321000</v>
          </cell>
          <cell r="AB77">
            <v>0</v>
          </cell>
          <cell r="AC77">
            <v>397000</v>
          </cell>
          <cell r="AD77">
            <v>876000</v>
          </cell>
          <cell r="AE77">
            <v>876000</v>
          </cell>
          <cell r="AF77">
            <v>544000</v>
          </cell>
          <cell r="AG77">
            <v>0</v>
          </cell>
          <cell r="AH77">
            <v>661000</v>
          </cell>
          <cell r="AI77">
            <v>0</v>
          </cell>
          <cell r="AJ77" t="str">
            <v>令和3年4月1日</v>
          </cell>
          <cell r="AK77" t="str">
            <v>令和3年5月31日交付</v>
          </cell>
          <cell r="AL77" t="str">
            <v>令和3年10月29日交付</v>
          </cell>
          <cell r="AM77" t="str">
            <v>3号の71</v>
          </cell>
          <cell r="AN77" t="str">
            <v>有</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v>1</v>
          </cell>
          <cell r="BN77">
            <v>1</v>
          </cell>
          <cell r="BO77">
            <v>1</v>
          </cell>
          <cell r="BP77">
            <v>1</v>
          </cell>
          <cell r="BQ77">
            <v>1</v>
          </cell>
          <cell r="BR77">
            <v>1</v>
          </cell>
          <cell r="BS77">
            <v>1</v>
          </cell>
          <cell r="BT77">
            <v>1</v>
          </cell>
          <cell r="BU77">
            <v>1</v>
          </cell>
          <cell r="BV77">
            <v>1</v>
          </cell>
          <cell r="BW77">
            <v>1</v>
          </cell>
          <cell r="BX77">
            <v>1</v>
          </cell>
          <cell r="CK77">
            <v>0</v>
          </cell>
          <cell r="CL77">
            <v>0</v>
          </cell>
          <cell r="CM77">
            <v>0</v>
          </cell>
          <cell r="CN77">
            <v>0</v>
          </cell>
          <cell r="CO77">
            <v>0</v>
          </cell>
          <cell r="CP77">
            <v>0</v>
          </cell>
          <cell r="CQ77">
            <v>0</v>
          </cell>
          <cell r="CR77">
            <v>0</v>
          </cell>
          <cell r="CS77">
            <v>0</v>
          </cell>
          <cell r="CT77">
            <v>0</v>
          </cell>
          <cell r="CU77">
            <v>0</v>
          </cell>
          <cell r="CV77">
            <v>0</v>
          </cell>
          <cell r="CW77" t="str">
            <v>無</v>
          </cell>
          <cell r="CX77">
            <v>1</v>
          </cell>
          <cell r="CY77" t="str">
            <v>有</v>
          </cell>
          <cell r="CZ77" t="str">
            <v>有</v>
          </cell>
          <cell r="DA77" t="str">
            <v>有</v>
          </cell>
          <cell r="DB77" t="str">
            <v>有</v>
          </cell>
          <cell r="DC77" t="str">
            <v>有</v>
          </cell>
          <cell r="DD77" t="str">
            <v>有</v>
          </cell>
          <cell r="DE77" t="str">
            <v>有</v>
          </cell>
          <cell r="DF77" t="str">
            <v>有</v>
          </cell>
          <cell r="DG77" t="str">
            <v>有</v>
          </cell>
          <cell r="DH77" t="str">
            <v>有</v>
          </cell>
          <cell r="DI77" t="str">
            <v>有</v>
          </cell>
          <cell r="DJ77" t="str">
            <v>有</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有</v>
          </cell>
          <cell r="DX77" t="str">
            <v>有</v>
          </cell>
          <cell r="DY77" t="str">
            <v>有</v>
          </cell>
          <cell r="DZ77" t="str">
            <v>有</v>
          </cell>
          <cell r="EA77" t="str">
            <v>有</v>
          </cell>
          <cell r="EB77" t="str">
            <v>有</v>
          </cell>
          <cell r="EC77" t="str">
            <v>有</v>
          </cell>
          <cell r="ED77" t="str">
            <v>有</v>
          </cell>
          <cell r="EE77" t="str">
            <v>有</v>
          </cell>
          <cell r="EF77" t="str">
            <v>有</v>
          </cell>
          <cell r="EG77" t="str">
            <v>有</v>
          </cell>
          <cell r="EH77" t="str">
            <v>有</v>
          </cell>
          <cell r="EI77" t="str">
            <v>配置</v>
          </cell>
          <cell r="EJ77" t="str">
            <v>配置</v>
          </cell>
          <cell r="EK77" t="str">
            <v>配置</v>
          </cell>
          <cell r="EL77" t="str">
            <v>配置</v>
          </cell>
          <cell r="EM77" t="str">
            <v>配置</v>
          </cell>
          <cell r="EN77" t="str">
            <v>配置</v>
          </cell>
          <cell r="EO77" t="str">
            <v>配置</v>
          </cell>
          <cell r="EP77" t="str">
            <v>配置</v>
          </cell>
          <cell r="EQ77" t="str">
            <v>配置</v>
          </cell>
          <cell r="ER77" t="str">
            <v>配置</v>
          </cell>
          <cell r="ES77" t="str">
            <v>配置</v>
          </cell>
          <cell r="ET77" t="str">
            <v>配置</v>
          </cell>
          <cell r="EU77">
            <v>76960</v>
          </cell>
          <cell r="EV77">
            <v>76960</v>
          </cell>
          <cell r="EW77">
            <v>76960</v>
          </cell>
          <cell r="EX77">
            <v>76960</v>
          </cell>
          <cell r="EY77">
            <v>76960</v>
          </cell>
          <cell r="EZ77">
            <v>76960</v>
          </cell>
          <cell r="FA77">
            <v>76960</v>
          </cell>
          <cell r="FB77">
            <v>76960</v>
          </cell>
          <cell r="FC77">
            <v>76960</v>
          </cell>
          <cell r="FD77">
            <v>76960</v>
          </cell>
          <cell r="FE77">
            <v>76960</v>
          </cell>
          <cell r="FF77">
            <v>76960</v>
          </cell>
        </row>
        <row r="78">
          <cell r="C78">
            <v>74</v>
          </cell>
          <cell r="D78" t="str">
            <v>マミー＆ミーおゆみ野保育園</v>
          </cell>
          <cell r="E78" t="str">
            <v>無</v>
          </cell>
          <cell r="F78">
            <v>40</v>
          </cell>
          <cell r="H78">
            <v>24</v>
          </cell>
          <cell r="I78">
            <v>16</v>
          </cell>
          <cell r="O78">
            <v>1189000</v>
          </cell>
          <cell r="P78">
            <v>2627000</v>
          </cell>
          <cell r="Q78">
            <v>2627000</v>
          </cell>
          <cell r="R78">
            <v>0</v>
          </cell>
          <cell r="S78">
            <v>0</v>
          </cell>
          <cell r="T78">
            <v>2808000</v>
          </cell>
          <cell r="U78">
            <v>0</v>
          </cell>
          <cell r="V78">
            <v>792000</v>
          </cell>
          <cell r="W78">
            <v>1751000</v>
          </cell>
          <cell r="X78">
            <v>1751000</v>
          </cell>
          <cell r="Y78">
            <v>0</v>
          </cell>
          <cell r="Z78">
            <v>0</v>
          </cell>
          <cell r="AA78">
            <v>1872000</v>
          </cell>
          <cell r="AB78">
            <v>0</v>
          </cell>
          <cell r="AC78">
            <v>397000</v>
          </cell>
          <cell r="AD78">
            <v>876000</v>
          </cell>
          <cell r="AE78">
            <v>876000</v>
          </cell>
          <cell r="AF78">
            <v>0</v>
          </cell>
          <cell r="AG78">
            <v>0</v>
          </cell>
          <cell r="AH78">
            <v>936000</v>
          </cell>
          <cell r="AI78">
            <v>0</v>
          </cell>
          <cell r="AJ78" t="str">
            <v>令和3年4月1日</v>
          </cell>
          <cell r="AK78" t="str">
            <v>令和3年5月31日交付</v>
          </cell>
          <cell r="AL78" t="str">
            <v>令和3年10月29日交付</v>
          </cell>
          <cell r="AM78" t="str">
            <v>3号の72</v>
          </cell>
          <cell r="AN78" t="str">
            <v>有</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v>3</v>
          </cell>
          <cell r="BN78">
            <v>3</v>
          </cell>
          <cell r="BO78">
            <v>3</v>
          </cell>
          <cell r="BP78">
            <v>3</v>
          </cell>
          <cell r="BQ78">
            <v>3</v>
          </cell>
          <cell r="BR78">
            <v>3</v>
          </cell>
          <cell r="BS78">
            <v>3</v>
          </cell>
          <cell r="BT78">
            <v>3</v>
          </cell>
          <cell r="BU78">
            <v>3</v>
          </cell>
          <cell r="BV78">
            <v>3</v>
          </cell>
          <cell r="BW78">
            <v>3</v>
          </cell>
          <cell r="BX78">
            <v>3</v>
          </cell>
          <cell r="CK78">
            <v>0</v>
          </cell>
          <cell r="CL78">
            <v>0</v>
          </cell>
          <cell r="CM78">
            <v>0</v>
          </cell>
          <cell r="CN78">
            <v>0</v>
          </cell>
          <cell r="CO78">
            <v>0</v>
          </cell>
          <cell r="CP78">
            <v>0</v>
          </cell>
          <cell r="CQ78">
            <v>0</v>
          </cell>
          <cell r="CR78">
            <v>0</v>
          </cell>
          <cell r="CS78">
            <v>0</v>
          </cell>
          <cell r="CT78">
            <v>0</v>
          </cell>
          <cell r="CU78">
            <v>0</v>
          </cell>
          <cell r="CV78">
            <v>0</v>
          </cell>
          <cell r="CW78" t="str">
            <v>無</v>
          </cell>
          <cell r="CX78">
            <v>0</v>
          </cell>
          <cell r="CY78" t="str">
            <v>有</v>
          </cell>
          <cell r="CZ78" t="str">
            <v>有</v>
          </cell>
          <cell r="DA78" t="str">
            <v>有</v>
          </cell>
          <cell r="DB78" t="str">
            <v>有</v>
          </cell>
          <cell r="DC78" t="str">
            <v>有</v>
          </cell>
          <cell r="DD78" t="str">
            <v>有</v>
          </cell>
          <cell r="DE78" t="str">
            <v>有</v>
          </cell>
          <cell r="DF78" t="str">
            <v>有</v>
          </cell>
          <cell r="DG78" t="str">
            <v>有</v>
          </cell>
          <cell r="DH78" t="str">
            <v>有</v>
          </cell>
          <cell r="DI78" t="str">
            <v>有</v>
          </cell>
          <cell r="DJ78" t="str">
            <v>有</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有</v>
          </cell>
          <cell r="DX78" t="str">
            <v>有</v>
          </cell>
          <cell r="DY78" t="str">
            <v>有</v>
          </cell>
          <cell r="DZ78" t="str">
            <v>有</v>
          </cell>
          <cell r="EA78" t="str">
            <v>有</v>
          </cell>
          <cell r="EB78" t="str">
            <v>有</v>
          </cell>
          <cell r="EC78" t="str">
            <v>有</v>
          </cell>
          <cell r="ED78" t="str">
            <v>有</v>
          </cell>
          <cell r="EE78" t="str">
            <v>有</v>
          </cell>
          <cell r="EF78" t="str">
            <v>有</v>
          </cell>
          <cell r="EG78" t="str">
            <v>有</v>
          </cell>
          <cell r="EH78" t="str">
            <v>有</v>
          </cell>
          <cell r="EI78" t="str">
            <v>兼務</v>
          </cell>
          <cell r="EJ78" t="str">
            <v>兼務</v>
          </cell>
          <cell r="EK78" t="str">
            <v>兼務</v>
          </cell>
          <cell r="EL78" t="str">
            <v>兼務</v>
          </cell>
          <cell r="EM78" t="str">
            <v>兼務</v>
          </cell>
          <cell r="EN78" t="str">
            <v>兼務</v>
          </cell>
          <cell r="EO78" t="str">
            <v>兼務</v>
          </cell>
          <cell r="EP78" t="str">
            <v>兼務</v>
          </cell>
          <cell r="EQ78" t="str">
            <v>兼務</v>
          </cell>
          <cell r="ER78" t="str">
            <v>兼務</v>
          </cell>
          <cell r="ES78" t="str">
            <v>兼務</v>
          </cell>
          <cell r="ET78" t="str">
            <v>兼務</v>
          </cell>
          <cell r="EU78" t="str">
            <v/>
          </cell>
          <cell r="EV78" t="str">
            <v/>
          </cell>
          <cell r="EW78" t="str">
            <v/>
          </cell>
          <cell r="EX78" t="str">
            <v/>
          </cell>
          <cell r="EY78" t="str">
            <v/>
          </cell>
          <cell r="EZ78" t="str">
            <v/>
          </cell>
          <cell r="FA78" t="str">
            <v/>
          </cell>
          <cell r="FB78" t="str">
            <v/>
          </cell>
          <cell r="FC78" t="str">
            <v/>
          </cell>
          <cell r="FD78" t="str">
            <v/>
          </cell>
          <cell r="FE78" t="str">
            <v/>
          </cell>
          <cell r="FF78" t="str">
            <v/>
          </cell>
        </row>
        <row r="79">
          <cell r="C79">
            <v>75</v>
          </cell>
          <cell r="D79" t="str">
            <v>寒川保育園</v>
          </cell>
          <cell r="E79" t="str">
            <v>無</v>
          </cell>
          <cell r="F79">
            <v>90</v>
          </cell>
          <cell r="H79">
            <v>50</v>
          </cell>
          <cell r="I79">
            <v>40</v>
          </cell>
          <cell r="O79">
            <v>1189000</v>
          </cell>
          <cell r="P79">
            <v>2627000</v>
          </cell>
          <cell r="Q79">
            <v>2627000</v>
          </cell>
          <cell r="R79">
            <v>1028000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t="str">
            <v>令和3年4月1日</v>
          </cell>
          <cell r="AM79" t="str">
            <v>3号の73</v>
          </cell>
          <cell r="AN79" t="str">
            <v>有</v>
          </cell>
          <cell r="AO79" t="str">
            <v>一般型</v>
          </cell>
          <cell r="AP79" t="str">
            <v>一般型</v>
          </cell>
          <cell r="AQ79" t="str">
            <v>一般型</v>
          </cell>
          <cell r="AR79" t="str">
            <v>一般型</v>
          </cell>
          <cell r="AS79" t="str">
            <v>一般型</v>
          </cell>
          <cell r="AT79" t="str">
            <v>一般型</v>
          </cell>
          <cell r="AU79" t="str">
            <v>一般型</v>
          </cell>
          <cell r="AV79" t="str">
            <v>一般型</v>
          </cell>
          <cell r="AW79" t="str">
            <v>一般型</v>
          </cell>
          <cell r="AX79" t="str">
            <v>一般型</v>
          </cell>
          <cell r="AY79" t="str">
            <v>一般型</v>
          </cell>
          <cell r="AZ79" t="str">
            <v>一般型</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CW79" t="str">
            <v>無</v>
          </cell>
          <cell r="CX79">
            <v>1</v>
          </cell>
          <cell r="CY79" t="str">
            <v>有</v>
          </cell>
          <cell r="CZ79" t="str">
            <v>有</v>
          </cell>
          <cell r="DA79" t="str">
            <v>有</v>
          </cell>
          <cell r="DB79" t="str">
            <v>有</v>
          </cell>
          <cell r="DC79" t="str">
            <v>有</v>
          </cell>
          <cell r="DD79" t="str">
            <v>有</v>
          </cell>
          <cell r="DE79" t="str">
            <v>有</v>
          </cell>
          <cell r="DF79" t="str">
            <v>有</v>
          </cell>
          <cell r="DG79" t="str">
            <v>有</v>
          </cell>
          <cell r="DH79" t="str">
            <v>有</v>
          </cell>
          <cell r="DI79" t="str">
            <v>有</v>
          </cell>
          <cell r="DJ79" t="str">
            <v>有</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有</v>
          </cell>
          <cell r="DX79" t="str">
            <v>有</v>
          </cell>
          <cell r="DY79" t="str">
            <v>有</v>
          </cell>
          <cell r="DZ79" t="str">
            <v>有</v>
          </cell>
          <cell r="EA79" t="str">
            <v>有</v>
          </cell>
          <cell r="EB79" t="str">
            <v>有</v>
          </cell>
          <cell r="EC79" t="str">
            <v>有</v>
          </cell>
          <cell r="ED79" t="str">
            <v>有</v>
          </cell>
          <cell r="EE79" t="str">
            <v>有</v>
          </cell>
          <cell r="EF79" t="str">
            <v>有</v>
          </cell>
          <cell r="EG79" t="str">
            <v>有</v>
          </cell>
          <cell r="EH79" t="str">
            <v>有</v>
          </cell>
          <cell r="EI79" t="str">
            <v>配置</v>
          </cell>
          <cell r="EJ79" t="str">
            <v>配置</v>
          </cell>
          <cell r="EK79" t="str">
            <v>配置</v>
          </cell>
          <cell r="EL79" t="str">
            <v>配置</v>
          </cell>
          <cell r="EM79" t="str">
            <v>配置</v>
          </cell>
          <cell r="EN79" t="str">
            <v>配置</v>
          </cell>
          <cell r="EO79" t="str">
            <v>配置</v>
          </cell>
          <cell r="EP79" t="str">
            <v>配置</v>
          </cell>
          <cell r="EQ79" t="str">
            <v>配置</v>
          </cell>
          <cell r="ER79" t="str">
            <v>配置</v>
          </cell>
          <cell r="ES79" t="str">
            <v>配置</v>
          </cell>
          <cell r="ET79" t="str">
            <v>配置</v>
          </cell>
          <cell r="EU79">
            <v>76960</v>
          </cell>
          <cell r="EV79">
            <v>76960</v>
          </cell>
          <cell r="EW79">
            <v>76960</v>
          </cell>
          <cell r="EX79">
            <v>76960</v>
          </cell>
          <cell r="EY79">
            <v>76960</v>
          </cell>
          <cell r="EZ79">
            <v>76960</v>
          </cell>
          <cell r="FA79">
            <v>76960</v>
          </cell>
          <cell r="FB79">
            <v>76960</v>
          </cell>
          <cell r="FC79">
            <v>76960</v>
          </cell>
          <cell r="FD79">
            <v>76960</v>
          </cell>
          <cell r="FE79">
            <v>76960</v>
          </cell>
          <cell r="FF79">
            <v>76960</v>
          </cell>
        </row>
        <row r="80">
          <cell r="C80">
            <v>76</v>
          </cell>
          <cell r="D80" t="str">
            <v>そらまめ保育園新千葉駅前</v>
          </cell>
          <cell r="E80" t="str">
            <v>無</v>
          </cell>
          <cell r="F80">
            <v>40</v>
          </cell>
          <cell r="H80">
            <v>21</v>
          </cell>
          <cell r="I80">
            <v>19</v>
          </cell>
          <cell r="O80">
            <v>1189000</v>
          </cell>
          <cell r="P80">
            <v>2627000</v>
          </cell>
          <cell r="Q80">
            <v>0</v>
          </cell>
          <cell r="R80">
            <v>1028000</v>
          </cell>
          <cell r="S80">
            <v>0</v>
          </cell>
          <cell r="T80">
            <v>0</v>
          </cell>
          <cell r="U80">
            <v>0</v>
          </cell>
          <cell r="V80">
            <v>792000</v>
          </cell>
          <cell r="X80">
            <v>0</v>
          </cell>
          <cell r="Y80">
            <v>685000</v>
          </cell>
          <cell r="Z80">
            <v>0</v>
          </cell>
          <cell r="AA80">
            <v>0</v>
          </cell>
          <cell r="AB80">
            <v>0</v>
          </cell>
          <cell r="AC80">
            <v>0</v>
          </cell>
          <cell r="AD80">
            <v>0</v>
          </cell>
          <cell r="AE80">
            <v>0</v>
          </cell>
          <cell r="AF80">
            <v>0</v>
          </cell>
          <cell r="AG80">
            <v>0</v>
          </cell>
          <cell r="AH80">
            <v>0</v>
          </cell>
          <cell r="AI80">
            <v>0</v>
          </cell>
          <cell r="AJ80" t="str">
            <v>令和3年4月1日</v>
          </cell>
          <cell r="AK80" t="str">
            <v>令和3年5月31日交付</v>
          </cell>
          <cell r="AM80" t="str">
            <v>3号の74</v>
          </cell>
          <cell r="AN80" t="str">
            <v>有</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CW80" t="str">
            <v>無</v>
          </cell>
          <cell r="CX80">
            <v>0</v>
          </cell>
          <cell r="CY80" t="str">
            <v>有</v>
          </cell>
          <cell r="CZ80" t="str">
            <v>有</v>
          </cell>
          <cell r="DA80" t="str">
            <v>有</v>
          </cell>
          <cell r="DB80" t="str">
            <v>有</v>
          </cell>
          <cell r="DC80" t="str">
            <v>有</v>
          </cell>
          <cell r="DD80" t="str">
            <v>有</v>
          </cell>
          <cell r="DE80" t="str">
            <v>有</v>
          </cell>
          <cell r="DF80" t="str">
            <v>有</v>
          </cell>
          <cell r="DG80" t="str">
            <v>有</v>
          </cell>
          <cell r="DH80" t="str">
            <v>有</v>
          </cell>
          <cell r="DI80" t="str">
            <v>有</v>
          </cell>
          <cell r="DJ80" t="str">
            <v>有</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有</v>
          </cell>
          <cell r="DX80" t="str">
            <v>有</v>
          </cell>
          <cell r="DY80" t="str">
            <v>有</v>
          </cell>
          <cell r="DZ80" t="str">
            <v>有</v>
          </cell>
          <cell r="EA80" t="str">
            <v>有</v>
          </cell>
          <cell r="EB80" t="str">
            <v>有</v>
          </cell>
          <cell r="EC80" t="str">
            <v>有</v>
          </cell>
          <cell r="ED80" t="str">
            <v>有</v>
          </cell>
          <cell r="EE80" t="str">
            <v>有</v>
          </cell>
          <cell r="EF80" t="str">
            <v>有</v>
          </cell>
          <cell r="EG80" t="str">
            <v>有</v>
          </cell>
          <cell r="EH80" t="str">
            <v>有</v>
          </cell>
          <cell r="EI80" t="str">
            <v>配置</v>
          </cell>
          <cell r="EJ80" t="str">
            <v>配置</v>
          </cell>
          <cell r="EK80" t="str">
            <v>配置</v>
          </cell>
          <cell r="EL80" t="str">
            <v>配置</v>
          </cell>
          <cell r="EM80" t="str">
            <v>配置</v>
          </cell>
          <cell r="EN80" t="str">
            <v>配置</v>
          </cell>
          <cell r="EO80" t="str">
            <v>配置</v>
          </cell>
          <cell r="EP80" t="str">
            <v>配置</v>
          </cell>
          <cell r="EQ80" t="str">
            <v>配置</v>
          </cell>
          <cell r="ER80" t="str">
            <v>配置</v>
          </cell>
          <cell r="ES80" t="str">
            <v>配置</v>
          </cell>
          <cell r="ET80" t="str">
            <v>配置</v>
          </cell>
          <cell r="EU80">
            <v>76960</v>
          </cell>
          <cell r="EV80">
            <v>76960</v>
          </cell>
          <cell r="EW80">
            <v>76960</v>
          </cell>
          <cell r="EX80">
            <v>76960</v>
          </cell>
          <cell r="EY80">
            <v>76960</v>
          </cell>
          <cell r="EZ80">
            <v>76960</v>
          </cell>
          <cell r="FA80">
            <v>76960</v>
          </cell>
          <cell r="FB80">
            <v>76960</v>
          </cell>
          <cell r="FC80">
            <v>76960</v>
          </cell>
          <cell r="FD80">
            <v>76960</v>
          </cell>
          <cell r="FE80">
            <v>76960</v>
          </cell>
          <cell r="FF80">
            <v>76960</v>
          </cell>
        </row>
        <row r="81">
          <cell r="C81">
            <v>77</v>
          </cell>
          <cell r="D81" t="str">
            <v>本千葉エンゼルホーム保育園</v>
          </cell>
          <cell r="E81" t="str">
            <v>無</v>
          </cell>
          <cell r="F81">
            <v>40</v>
          </cell>
          <cell r="H81">
            <v>21</v>
          </cell>
          <cell r="I81">
            <v>19</v>
          </cell>
          <cell r="O81">
            <v>1189000</v>
          </cell>
          <cell r="P81">
            <v>1615000</v>
          </cell>
          <cell r="Q81">
            <v>2627000</v>
          </cell>
          <cell r="R81">
            <v>1631000</v>
          </cell>
          <cell r="S81">
            <v>0</v>
          </cell>
          <cell r="T81">
            <v>0</v>
          </cell>
          <cell r="U81">
            <v>0</v>
          </cell>
          <cell r="V81">
            <v>792000</v>
          </cell>
          <cell r="W81">
            <v>1076000</v>
          </cell>
          <cell r="X81">
            <v>1751000</v>
          </cell>
          <cell r="Y81">
            <v>1087000</v>
          </cell>
          <cell r="Z81">
            <v>0</v>
          </cell>
          <cell r="AA81">
            <v>0</v>
          </cell>
          <cell r="AB81">
            <v>0</v>
          </cell>
          <cell r="AC81">
            <v>0</v>
          </cell>
          <cell r="AD81">
            <v>0</v>
          </cell>
          <cell r="AE81">
            <v>0</v>
          </cell>
          <cell r="AF81">
            <v>0</v>
          </cell>
          <cell r="AG81">
            <v>0</v>
          </cell>
          <cell r="AH81">
            <v>0</v>
          </cell>
          <cell r="AI81">
            <v>0</v>
          </cell>
          <cell r="AJ81" t="str">
            <v>令和3年4月1日</v>
          </cell>
          <cell r="AK81" t="str">
            <v>令和3年5月31日交付</v>
          </cell>
          <cell r="AM81" t="str">
            <v>3号の75</v>
          </cell>
          <cell r="AN81" t="str">
            <v>有</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v>1</v>
          </cell>
          <cell r="BN81">
            <v>1</v>
          </cell>
          <cell r="BO81">
            <v>1</v>
          </cell>
          <cell r="BP81">
            <v>2</v>
          </cell>
          <cell r="BQ81">
            <v>2</v>
          </cell>
          <cell r="BR81">
            <v>2</v>
          </cell>
          <cell r="BS81">
            <v>2</v>
          </cell>
          <cell r="BT81">
            <v>2</v>
          </cell>
          <cell r="BU81">
            <v>2</v>
          </cell>
          <cell r="BV81">
            <v>2</v>
          </cell>
          <cell r="BW81">
            <v>2</v>
          </cell>
          <cell r="BX81">
            <v>2</v>
          </cell>
          <cell r="CK81">
            <v>0</v>
          </cell>
          <cell r="CL81">
            <v>0</v>
          </cell>
          <cell r="CM81">
            <v>0</v>
          </cell>
          <cell r="CN81">
            <v>0</v>
          </cell>
          <cell r="CO81">
            <v>0</v>
          </cell>
          <cell r="CP81">
            <v>0</v>
          </cell>
          <cell r="CQ81">
            <v>0</v>
          </cell>
          <cell r="CR81">
            <v>0</v>
          </cell>
          <cell r="CS81">
            <v>0</v>
          </cell>
          <cell r="CT81">
            <v>0</v>
          </cell>
          <cell r="CU81">
            <v>0</v>
          </cell>
          <cell r="CV81">
            <v>0</v>
          </cell>
          <cell r="CW81" t="str">
            <v>無</v>
          </cell>
          <cell r="CX81">
            <v>1</v>
          </cell>
          <cell r="CY81" t="str">
            <v>有</v>
          </cell>
          <cell r="CZ81" t="str">
            <v>有</v>
          </cell>
          <cell r="DA81" t="str">
            <v>有</v>
          </cell>
          <cell r="DB81" t="str">
            <v>有</v>
          </cell>
          <cell r="DC81" t="str">
            <v>有</v>
          </cell>
          <cell r="DD81" t="str">
            <v>有</v>
          </cell>
          <cell r="DE81" t="str">
            <v>有</v>
          </cell>
          <cell r="DF81" t="str">
            <v>有</v>
          </cell>
          <cell r="DG81" t="str">
            <v>有</v>
          </cell>
          <cell r="DH81" t="str">
            <v>有</v>
          </cell>
          <cell r="DI81" t="str">
            <v>有</v>
          </cell>
          <cell r="DJ81" t="str">
            <v>有</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有</v>
          </cell>
          <cell r="DX81" t="str">
            <v>有</v>
          </cell>
          <cell r="DY81" t="str">
            <v>有</v>
          </cell>
          <cell r="DZ81" t="str">
            <v>有</v>
          </cell>
          <cell r="EA81" t="str">
            <v>有</v>
          </cell>
          <cell r="EB81" t="str">
            <v>有</v>
          </cell>
          <cell r="EC81" t="str">
            <v>有</v>
          </cell>
          <cell r="ED81" t="str">
            <v>有</v>
          </cell>
          <cell r="EE81" t="str">
            <v>有</v>
          </cell>
          <cell r="EF81" t="str">
            <v>有</v>
          </cell>
          <cell r="EG81" t="str">
            <v>有</v>
          </cell>
          <cell r="EH81" t="str">
            <v>有</v>
          </cell>
          <cell r="EI81" t="str">
            <v>配置</v>
          </cell>
          <cell r="EJ81" t="str">
            <v>配置</v>
          </cell>
          <cell r="EK81" t="str">
            <v>配置</v>
          </cell>
          <cell r="EL81" t="str">
            <v>配置</v>
          </cell>
          <cell r="EM81" t="str">
            <v>配置</v>
          </cell>
          <cell r="EN81" t="str">
            <v>配置</v>
          </cell>
          <cell r="EO81" t="str">
            <v>配置</v>
          </cell>
          <cell r="EP81" t="str">
            <v>配置</v>
          </cell>
          <cell r="EQ81" t="str">
            <v>配置</v>
          </cell>
          <cell r="ER81" t="str">
            <v>配置</v>
          </cell>
          <cell r="ES81" t="str">
            <v>配置</v>
          </cell>
          <cell r="ET81" t="str">
            <v>配置</v>
          </cell>
          <cell r="EU81">
            <v>76960</v>
          </cell>
          <cell r="EV81">
            <v>76960</v>
          </cell>
          <cell r="EW81">
            <v>76960</v>
          </cell>
          <cell r="EX81">
            <v>76960</v>
          </cell>
          <cell r="EY81">
            <v>76960</v>
          </cell>
          <cell r="EZ81">
            <v>76960</v>
          </cell>
          <cell r="FA81">
            <v>76960</v>
          </cell>
          <cell r="FB81">
            <v>76960</v>
          </cell>
          <cell r="FC81">
            <v>76960</v>
          </cell>
          <cell r="FD81">
            <v>76960</v>
          </cell>
          <cell r="FE81">
            <v>76960</v>
          </cell>
          <cell r="FF81">
            <v>76960</v>
          </cell>
        </row>
        <row r="82">
          <cell r="C82">
            <v>78</v>
          </cell>
          <cell r="D82" t="str">
            <v>かるがも保育園　おゆみ野園</v>
          </cell>
          <cell r="E82" t="str">
            <v>無</v>
          </cell>
          <cell r="F82">
            <v>30</v>
          </cell>
          <cell r="H82">
            <v>16</v>
          </cell>
          <cell r="I82">
            <v>14</v>
          </cell>
          <cell r="O82">
            <v>1189000</v>
          </cell>
          <cell r="P82">
            <v>2627000</v>
          </cell>
          <cell r="Q82">
            <v>2627000</v>
          </cell>
          <cell r="R82">
            <v>1028000</v>
          </cell>
          <cell r="S82">
            <v>0</v>
          </cell>
          <cell r="T82">
            <v>0</v>
          </cell>
          <cell r="U82">
            <v>0</v>
          </cell>
          <cell r="V82">
            <v>792000</v>
          </cell>
          <cell r="W82">
            <v>1751000</v>
          </cell>
          <cell r="X82">
            <v>1751000</v>
          </cell>
          <cell r="Y82">
            <v>685000</v>
          </cell>
          <cell r="Z82">
            <v>0</v>
          </cell>
          <cell r="AA82">
            <v>0</v>
          </cell>
          <cell r="AB82">
            <v>0</v>
          </cell>
          <cell r="AC82">
            <v>397000</v>
          </cell>
          <cell r="AD82">
            <v>876000</v>
          </cell>
          <cell r="AE82">
            <v>876000</v>
          </cell>
          <cell r="AF82">
            <v>343000</v>
          </cell>
          <cell r="AG82">
            <v>0</v>
          </cell>
          <cell r="AH82">
            <v>0</v>
          </cell>
          <cell r="AI82">
            <v>0</v>
          </cell>
          <cell r="AJ82" t="str">
            <v>令和3年4月1日</v>
          </cell>
          <cell r="AK82" t="str">
            <v>令和3年5月31日交付</v>
          </cell>
          <cell r="AL82" t="str">
            <v>令和3年10月29日交付</v>
          </cell>
          <cell r="AM82" t="str">
            <v>3号の76</v>
          </cell>
          <cell r="AN82" t="str">
            <v>有</v>
          </cell>
          <cell r="AO82" t="str">
            <v>余裕活用型</v>
          </cell>
          <cell r="AP82" t="str">
            <v>余裕活用型</v>
          </cell>
          <cell r="AQ82" t="str">
            <v>余裕活用型</v>
          </cell>
          <cell r="AR82" t="str">
            <v>余裕活用型</v>
          </cell>
          <cell r="AS82" t="str">
            <v>余裕活用型</v>
          </cell>
          <cell r="AT82" t="str">
            <v>余裕活用型</v>
          </cell>
          <cell r="AU82" t="str">
            <v>余裕活用型</v>
          </cell>
          <cell r="AV82" t="str">
            <v>余裕活用型</v>
          </cell>
          <cell r="AW82" t="str">
            <v>余裕活用型</v>
          </cell>
          <cell r="AX82" t="str">
            <v>余裕活用型</v>
          </cell>
          <cell r="AY82" t="str">
            <v>余裕活用型</v>
          </cell>
          <cell r="AZ82" t="str">
            <v>余裕活用型</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N82">
            <v>1</v>
          </cell>
          <cell r="BO82">
            <v>1</v>
          </cell>
          <cell r="BP82">
            <v>1</v>
          </cell>
          <cell r="BQ82">
            <v>1</v>
          </cell>
          <cell r="BR82">
            <v>1</v>
          </cell>
          <cell r="BS82">
            <v>1</v>
          </cell>
          <cell r="BT82">
            <v>1</v>
          </cell>
          <cell r="BU82">
            <v>1</v>
          </cell>
          <cell r="BV82">
            <v>1</v>
          </cell>
          <cell r="BW82">
            <v>1</v>
          </cell>
          <cell r="BX82">
            <v>1</v>
          </cell>
          <cell r="CL82">
            <v>0</v>
          </cell>
          <cell r="CM82">
            <v>0</v>
          </cell>
          <cell r="CN82">
            <v>0</v>
          </cell>
          <cell r="CO82">
            <v>0</v>
          </cell>
          <cell r="CP82">
            <v>0</v>
          </cell>
          <cell r="CQ82">
            <v>0</v>
          </cell>
          <cell r="CR82">
            <v>0</v>
          </cell>
          <cell r="CS82">
            <v>0</v>
          </cell>
          <cell r="CT82">
            <v>0</v>
          </cell>
          <cell r="CU82">
            <v>0</v>
          </cell>
          <cell r="CV82">
            <v>0</v>
          </cell>
          <cell r="CW82" t="str">
            <v>無</v>
          </cell>
          <cell r="CX82">
            <v>0</v>
          </cell>
          <cell r="CY82" t="str">
            <v>無</v>
          </cell>
          <cell r="CZ82" t="str">
            <v>有</v>
          </cell>
          <cell r="DA82" t="str">
            <v>有</v>
          </cell>
          <cell r="DB82" t="str">
            <v>有</v>
          </cell>
          <cell r="DC82" t="str">
            <v>有</v>
          </cell>
          <cell r="DD82" t="str">
            <v>有</v>
          </cell>
          <cell r="DE82" t="str">
            <v>有</v>
          </cell>
          <cell r="DF82" t="str">
            <v>有</v>
          </cell>
          <cell r="DG82" t="str">
            <v>有</v>
          </cell>
          <cell r="DH82" t="str">
            <v>有</v>
          </cell>
          <cell r="DI82" t="str">
            <v>有</v>
          </cell>
          <cell r="DJ82" t="str">
            <v>有</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有</v>
          </cell>
          <cell r="DX82" t="str">
            <v>有</v>
          </cell>
          <cell r="DY82" t="str">
            <v>有</v>
          </cell>
          <cell r="DZ82" t="str">
            <v>有</v>
          </cell>
          <cell r="EA82" t="str">
            <v>有</v>
          </cell>
          <cell r="EB82" t="str">
            <v>有</v>
          </cell>
          <cell r="EC82" t="str">
            <v>有</v>
          </cell>
          <cell r="ED82" t="str">
            <v>有</v>
          </cell>
          <cell r="EE82" t="str">
            <v>有</v>
          </cell>
          <cell r="EF82" t="str">
            <v>有</v>
          </cell>
          <cell r="EG82" t="str">
            <v>有</v>
          </cell>
          <cell r="EH82" t="str">
            <v>有</v>
          </cell>
          <cell r="EI82" t="str">
            <v>配置</v>
          </cell>
          <cell r="EJ82" t="str">
            <v>配置</v>
          </cell>
          <cell r="EK82" t="str">
            <v>配置</v>
          </cell>
          <cell r="EL82" t="str">
            <v>配置</v>
          </cell>
          <cell r="EM82" t="str">
            <v>配置</v>
          </cell>
          <cell r="EN82" t="str">
            <v>配置</v>
          </cell>
          <cell r="EO82" t="str">
            <v>配置</v>
          </cell>
          <cell r="EP82" t="str">
            <v>配置</v>
          </cell>
          <cell r="EQ82" t="str">
            <v>配置</v>
          </cell>
          <cell r="ER82" t="str">
            <v>配置</v>
          </cell>
          <cell r="ES82" t="str">
            <v>配置</v>
          </cell>
          <cell r="ET82" t="str">
            <v>配置</v>
          </cell>
          <cell r="EU82">
            <v>76960</v>
          </cell>
          <cell r="EV82">
            <v>76960</v>
          </cell>
          <cell r="EW82">
            <v>76960</v>
          </cell>
          <cell r="EX82">
            <v>76960</v>
          </cell>
          <cell r="EY82">
            <v>76960</v>
          </cell>
          <cell r="EZ82">
            <v>76960</v>
          </cell>
          <cell r="FA82">
            <v>76960</v>
          </cell>
          <cell r="FB82">
            <v>76960</v>
          </cell>
          <cell r="FC82">
            <v>76960</v>
          </cell>
          <cell r="FD82">
            <v>76960</v>
          </cell>
          <cell r="FE82">
            <v>76960</v>
          </cell>
          <cell r="FF82">
            <v>76960</v>
          </cell>
        </row>
        <row r="83">
          <cell r="C83">
            <v>79</v>
          </cell>
          <cell r="D83" t="str">
            <v>なのはな保育園</v>
          </cell>
          <cell r="E83" t="str">
            <v>無</v>
          </cell>
          <cell r="F83">
            <v>45</v>
          </cell>
          <cell r="H83">
            <v>26</v>
          </cell>
          <cell r="I83">
            <v>19</v>
          </cell>
          <cell r="O83">
            <v>1189000</v>
          </cell>
          <cell r="P83">
            <v>2627000</v>
          </cell>
          <cell r="Q83">
            <v>2627000</v>
          </cell>
          <cell r="R83">
            <v>1631000</v>
          </cell>
          <cell r="S83">
            <v>0</v>
          </cell>
          <cell r="T83">
            <v>0</v>
          </cell>
          <cell r="U83">
            <v>0</v>
          </cell>
          <cell r="V83">
            <v>792000</v>
          </cell>
          <cell r="W83">
            <v>1751000</v>
          </cell>
          <cell r="X83">
            <v>1751000</v>
          </cell>
          <cell r="Y83">
            <v>1087000</v>
          </cell>
          <cell r="Z83">
            <v>0</v>
          </cell>
          <cell r="AA83">
            <v>0</v>
          </cell>
          <cell r="AB83">
            <v>0</v>
          </cell>
          <cell r="AC83">
            <v>0</v>
          </cell>
          <cell r="AD83">
            <v>0</v>
          </cell>
          <cell r="AE83">
            <v>0</v>
          </cell>
          <cell r="AF83">
            <v>0</v>
          </cell>
          <cell r="AG83">
            <v>0</v>
          </cell>
          <cell r="AH83">
            <v>0</v>
          </cell>
          <cell r="AI83">
            <v>0</v>
          </cell>
          <cell r="AJ83" t="str">
            <v>令和3年4月1日</v>
          </cell>
          <cell r="AK83" t="str">
            <v>令和3年5月31日交付</v>
          </cell>
          <cell r="AM83" t="str">
            <v>3号の77</v>
          </cell>
          <cell r="AN83" t="str">
            <v>有</v>
          </cell>
          <cell r="AO83" t="str">
            <v>余裕活用型</v>
          </cell>
          <cell r="AP83" t="str">
            <v>余裕活用型</v>
          </cell>
          <cell r="AQ83" t="str">
            <v>余裕活用型</v>
          </cell>
          <cell r="AR83" t="str">
            <v>余裕活用型</v>
          </cell>
          <cell r="AS83" t="str">
            <v>余裕活用型</v>
          </cell>
          <cell r="AT83" t="str">
            <v>余裕活用型</v>
          </cell>
          <cell r="AU83" t="str">
            <v>余裕活用型</v>
          </cell>
          <cell r="AV83" t="str">
            <v>余裕活用型</v>
          </cell>
          <cell r="AW83" t="str">
            <v>余裕活用型</v>
          </cell>
          <cell r="AX83" t="str">
            <v>余裕活用型</v>
          </cell>
          <cell r="AY83" t="str">
            <v>余裕活用型</v>
          </cell>
          <cell r="AZ83" t="str">
            <v>余裕活用型</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S83">
            <v>1</v>
          </cell>
          <cell r="BT83">
            <v>1</v>
          </cell>
          <cell r="BU83">
            <v>1</v>
          </cell>
          <cell r="BV83">
            <v>1</v>
          </cell>
          <cell r="BW83">
            <v>1</v>
          </cell>
          <cell r="BX83">
            <v>1</v>
          </cell>
          <cell r="CQ83">
            <v>0</v>
          </cell>
          <cell r="CR83">
            <v>0</v>
          </cell>
          <cell r="CS83">
            <v>0</v>
          </cell>
          <cell r="CT83">
            <v>0</v>
          </cell>
          <cell r="CU83">
            <v>0</v>
          </cell>
          <cell r="CV83">
            <v>0</v>
          </cell>
          <cell r="CW83" t="str">
            <v>無</v>
          </cell>
          <cell r="CX83">
            <v>1</v>
          </cell>
          <cell r="CY83" t="str">
            <v>無</v>
          </cell>
          <cell r="CZ83" t="str">
            <v>無</v>
          </cell>
          <cell r="DA83" t="str">
            <v>無</v>
          </cell>
          <cell r="DB83" t="str">
            <v>無</v>
          </cell>
          <cell r="DC83" t="str">
            <v>無</v>
          </cell>
          <cell r="DD83" t="str">
            <v>無</v>
          </cell>
          <cell r="DE83" t="str">
            <v>有</v>
          </cell>
          <cell r="DF83" t="str">
            <v>有</v>
          </cell>
          <cell r="DG83" t="str">
            <v>有</v>
          </cell>
          <cell r="DH83" t="str">
            <v>有</v>
          </cell>
          <cell r="DI83" t="str">
            <v>有</v>
          </cell>
          <cell r="DJ83" t="str">
            <v>有</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有</v>
          </cell>
          <cell r="DX83" t="str">
            <v>有</v>
          </cell>
          <cell r="DY83" t="str">
            <v>有</v>
          </cell>
          <cell r="DZ83" t="str">
            <v>有</v>
          </cell>
          <cell r="EA83" t="str">
            <v>有</v>
          </cell>
          <cell r="EB83" t="str">
            <v>有</v>
          </cell>
          <cell r="EC83" t="str">
            <v>有</v>
          </cell>
          <cell r="ED83" t="str">
            <v>有</v>
          </cell>
          <cell r="EE83" t="str">
            <v>有</v>
          </cell>
          <cell r="EF83" t="str">
            <v>有</v>
          </cell>
          <cell r="EG83" t="str">
            <v>有</v>
          </cell>
          <cell r="EH83" t="str">
            <v>有</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row>
        <row r="84">
          <cell r="C84">
            <v>80</v>
          </cell>
          <cell r="D84" t="str">
            <v>ミルキーホーム都賀園</v>
          </cell>
          <cell r="E84" t="str">
            <v>無</v>
          </cell>
          <cell r="F84">
            <v>50</v>
          </cell>
          <cell r="H84">
            <v>27</v>
          </cell>
          <cell r="I84">
            <v>23</v>
          </cell>
          <cell r="O84">
            <v>1189000</v>
          </cell>
          <cell r="P84">
            <v>2627000</v>
          </cell>
          <cell r="Q84">
            <v>2627000</v>
          </cell>
          <cell r="R84">
            <v>1631000</v>
          </cell>
          <cell r="S84">
            <v>0</v>
          </cell>
          <cell r="T84">
            <v>0</v>
          </cell>
          <cell r="U84">
            <v>0</v>
          </cell>
          <cell r="V84">
            <v>792000</v>
          </cell>
          <cell r="W84">
            <v>1751000</v>
          </cell>
          <cell r="X84">
            <v>1751000</v>
          </cell>
          <cell r="Y84">
            <v>1087000</v>
          </cell>
          <cell r="Z84">
            <v>0</v>
          </cell>
          <cell r="AA84">
            <v>0</v>
          </cell>
          <cell r="AB84">
            <v>0</v>
          </cell>
          <cell r="AC84">
            <v>0</v>
          </cell>
          <cell r="AD84">
            <v>0</v>
          </cell>
          <cell r="AE84">
            <v>0</v>
          </cell>
          <cell r="AF84">
            <v>0</v>
          </cell>
          <cell r="AG84">
            <v>0</v>
          </cell>
          <cell r="AH84">
            <v>0</v>
          </cell>
          <cell r="AI84">
            <v>0</v>
          </cell>
          <cell r="AJ84" t="str">
            <v>令和3年4月1日</v>
          </cell>
          <cell r="AK84" t="str">
            <v>令和3年5月31日交付</v>
          </cell>
          <cell r="AM84" t="str">
            <v>3号の78</v>
          </cell>
          <cell r="AN84" t="str">
            <v>有</v>
          </cell>
          <cell r="AO84" t="str">
            <v>一般型</v>
          </cell>
          <cell r="AP84" t="str">
            <v>一般型</v>
          </cell>
          <cell r="AQ84" t="str">
            <v>一般型</v>
          </cell>
          <cell r="AR84" t="str">
            <v>一般型</v>
          </cell>
          <cell r="AS84" t="str">
            <v>一般型</v>
          </cell>
          <cell r="AT84" t="str">
            <v>一般型</v>
          </cell>
          <cell r="AU84" t="str">
            <v>一般型</v>
          </cell>
          <cell r="AV84" t="str">
            <v>一般型</v>
          </cell>
          <cell r="AW84" t="str">
            <v>一般型</v>
          </cell>
          <cell r="AX84" t="str">
            <v>一般型</v>
          </cell>
          <cell r="AY84" t="str">
            <v>一般型</v>
          </cell>
          <cell r="AZ84" t="str">
            <v>一般型</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v>1</v>
          </cell>
          <cell r="BN84">
            <v>1</v>
          </cell>
          <cell r="BO84">
            <v>1</v>
          </cell>
          <cell r="BP84">
            <v>1</v>
          </cell>
          <cell r="BQ84">
            <v>1</v>
          </cell>
          <cell r="BR84">
            <v>1</v>
          </cell>
          <cell r="BS84">
            <v>1</v>
          </cell>
          <cell r="BT84">
            <v>1</v>
          </cell>
          <cell r="BU84">
            <v>1</v>
          </cell>
          <cell r="BV84">
            <v>1</v>
          </cell>
          <cell r="BW84">
            <v>1</v>
          </cell>
          <cell r="BX84">
            <v>1</v>
          </cell>
          <cell r="CK84">
            <v>0</v>
          </cell>
          <cell r="CL84">
            <v>0</v>
          </cell>
          <cell r="CM84">
            <v>0</v>
          </cell>
          <cell r="CN84">
            <v>0</v>
          </cell>
          <cell r="CO84">
            <v>0</v>
          </cell>
          <cell r="CP84">
            <v>0</v>
          </cell>
          <cell r="CQ84">
            <v>0</v>
          </cell>
          <cell r="CR84">
            <v>0</v>
          </cell>
          <cell r="CS84">
            <v>0</v>
          </cell>
          <cell r="CT84">
            <v>0</v>
          </cell>
          <cell r="CU84">
            <v>0</v>
          </cell>
          <cell r="CV84">
            <v>0</v>
          </cell>
          <cell r="CW84" t="str">
            <v>無</v>
          </cell>
          <cell r="CX84">
            <v>0</v>
          </cell>
          <cell r="CY84" t="str">
            <v>有</v>
          </cell>
          <cell r="CZ84" t="str">
            <v>有</v>
          </cell>
          <cell r="DA84" t="str">
            <v>有</v>
          </cell>
          <cell r="DB84" t="str">
            <v>有</v>
          </cell>
          <cell r="DC84" t="str">
            <v>有</v>
          </cell>
          <cell r="DD84" t="str">
            <v>有</v>
          </cell>
          <cell r="DE84" t="str">
            <v>有</v>
          </cell>
          <cell r="DF84" t="str">
            <v>有</v>
          </cell>
          <cell r="DG84" t="str">
            <v>有</v>
          </cell>
          <cell r="DH84" t="str">
            <v>有</v>
          </cell>
          <cell r="DI84" t="str">
            <v>有</v>
          </cell>
          <cell r="DJ84" t="str">
            <v>有</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有</v>
          </cell>
          <cell r="DX84" t="str">
            <v>有</v>
          </cell>
          <cell r="DY84" t="str">
            <v>有</v>
          </cell>
          <cell r="DZ84" t="str">
            <v>有</v>
          </cell>
          <cell r="EA84" t="str">
            <v>有</v>
          </cell>
          <cell r="EB84" t="str">
            <v>有</v>
          </cell>
          <cell r="EC84" t="str">
            <v>有</v>
          </cell>
          <cell r="ED84" t="str">
            <v>有</v>
          </cell>
          <cell r="EE84" t="str">
            <v>有</v>
          </cell>
          <cell r="EF84" t="str">
            <v>有</v>
          </cell>
          <cell r="EG84" t="str">
            <v>有</v>
          </cell>
          <cell r="EH84" t="str">
            <v>有</v>
          </cell>
          <cell r="EI84" t="str">
            <v>配置</v>
          </cell>
          <cell r="EJ84" t="str">
            <v>配置</v>
          </cell>
          <cell r="EK84" t="str">
            <v>配置</v>
          </cell>
          <cell r="EL84" t="str">
            <v>配置</v>
          </cell>
          <cell r="EM84" t="str">
            <v>配置</v>
          </cell>
          <cell r="EN84" t="str">
            <v>配置</v>
          </cell>
          <cell r="EO84" t="str">
            <v>配置</v>
          </cell>
          <cell r="EP84" t="str">
            <v>配置</v>
          </cell>
          <cell r="EQ84" t="str">
            <v>配置</v>
          </cell>
          <cell r="ER84" t="str">
            <v>配置</v>
          </cell>
          <cell r="ES84" t="str">
            <v>配置</v>
          </cell>
          <cell r="ET84" t="str">
            <v>配置</v>
          </cell>
          <cell r="EU84">
            <v>76960</v>
          </cell>
          <cell r="EV84">
            <v>76960</v>
          </cell>
          <cell r="EW84">
            <v>76960</v>
          </cell>
          <cell r="EX84">
            <v>76960</v>
          </cell>
          <cell r="EY84">
            <v>76960</v>
          </cell>
          <cell r="EZ84">
            <v>76960</v>
          </cell>
          <cell r="FA84">
            <v>76960</v>
          </cell>
          <cell r="FB84">
            <v>76960</v>
          </cell>
          <cell r="FC84">
            <v>76960</v>
          </cell>
          <cell r="FD84">
            <v>76960</v>
          </cell>
          <cell r="FE84">
            <v>76960</v>
          </cell>
          <cell r="FF84">
            <v>76960</v>
          </cell>
        </row>
        <row r="85">
          <cell r="C85">
            <v>81</v>
          </cell>
          <cell r="D85" t="str">
            <v>ぴょんぴょん保育園</v>
          </cell>
          <cell r="E85" t="str">
            <v>無</v>
          </cell>
          <cell r="F85">
            <v>20</v>
          </cell>
          <cell r="H85">
            <v>11</v>
          </cell>
          <cell r="I85">
            <v>9</v>
          </cell>
          <cell r="O85">
            <v>1189000</v>
          </cell>
          <cell r="P85">
            <v>2627000</v>
          </cell>
          <cell r="Q85">
            <v>2627000</v>
          </cell>
          <cell r="R85">
            <v>0</v>
          </cell>
          <cell r="S85">
            <v>0</v>
          </cell>
          <cell r="T85">
            <v>0</v>
          </cell>
          <cell r="U85">
            <v>0</v>
          </cell>
          <cell r="V85">
            <v>792000</v>
          </cell>
          <cell r="W85">
            <v>1751000</v>
          </cell>
          <cell r="X85">
            <v>1751000</v>
          </cell>
          <cell r="Y85">
            <v>0</v>
          </cell>
          <cell r="Z85">
            <v>0</v>
          </cell>
          <cell r="AA85">
            <v>0</v>
          </cell>
          <cell r="AB85">
            <v>0</v>
          </cell>
          <cell r="AC85">
            <v>0</v>
          </cell>
          <cell r="AD85">
            <v>0</v>
          </cell>
          <cell r="AE85">
            <v>0</v>
          </cell>
          <cell r="AF85">
            <v>0</v>
          </cell>
          <cell r="AG85">
            <v>0</v>
          </cell>
          <cell r="AH85">
            <v>0</v>
          </cell>
          <cell r="AI85">
            <v>0</v>
          </cell>
          <cell r="AJ85" t="str">
            <v>令和3年4月1日</v>
          </cell>
          <cell r="AK85" t="str">
            <v>令和3年5月31日交付</v>
          </cell>
          <cell r="AM85" t="str">
            <v>4号</v>
          </cell>
          <cell r="AN85" t="str">
            <v>有</v>
          </cell>
          <cell r="AO85" t="str">
            <v>余裕活用型</v>
          </cell>
          <cell r="AP85" t="str">
            <v>余裕活用型</v>
          </cell>
          <cell r="AQ85" t="str">
            <v>余裕活用型</v>
          </cell>
          <cell r="AR85" t="str">
            <v>余裕活用型</v>
          </cell>
          <cell r="AS85" t="str">
            <v>余裕活用型</v>
          </cell>
          <cell r="AT85" t="str">
            <v>余裕活用型</v>
          </cell>
          <cell r="AU85" t="str">
            <v>余裕活用型</v>
          </cell>
          <cell r="AV85" t="str">
            <v>余裕活用型</v>
          </cell>
          <cell r="AW85" t="str">
            <v>余裕活用型</v>
          </cell>
          <cell r="AX85" t="str">
            <v>余裕活用型</v>
          </cell>
          <cell r="AY85" t="str">
            <v>余裕活用型</v>
          </cell>
          <cell r="AZ85" t="str">
            <v>余裕活用型</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v>1</v>
          </cell>
          <cell r="BN85">
            <v>1</v>
          </cell>
          <cell r="BO85">
            <v>1</v>
          </cell>
          <cell r="BP85">
            <v>1</v>
          </cell>
          <cell r="BQ85">
            <v>1</v>
          </cell>
          <cell r="BR85">
            <v>1</v>
          </cell>
          <cell r="BS85">
            <v>1</v>
          </cell>
          <cell r="BT85">
            <v>1</v>
          </cell>
          <cell r="BU85">
            <v>1</v>
          </cell>
          <cell r="BV85">
            <v>1</v>
          </cell>
          <cell r="BW85">
            <v>1</v>
          </cell>
          <cell r="BX85">
            <v>1</v>
          </cell>
          <cell r="CK85">
            <v>0</v>
          </cell>
          <cell r="CL85">
            <v>0</v>
          </cell>
          <cell r="CM85">
            <v>0</v>
          </cell>
          <cell r="CN85">
            <v>0</v>
          </cell>
          <cell r="CO85">
            <v>0</v>
          </cell>
          <cell r="CP85">
            <v>0</v>
          </cell>
          <cell r="CQ85">
            <v>0</v>
          </cell>
          <cell r="CR85">
            <v>0</v>
          </cell>
          <cell r="CS85">
            <v>0</v>
          </cell>
          <cell r="CT85">
            <v>0</v>
          </cell>
          <cell r="CU85">
            <v>0</v>
          </cell>
          <cell r="CV85">
            <v>0</v>
          </cell>
          <cell r="CW85" t="str">
            <v>無</v>
          </cell>
          <cell r="CX85">
            <v>0</v>
          </cell>
          <cell r="CY85" t="str">
            <v>有</v>
          </cell>
          <cell r="CZ85" t="str">
            <v>有</v>
          </cell>
          <cell r="DA85" t="str">
            <v>有</v>
          </cell>
          <cell r="DB85" t="str">
            <v>有</v>
          </cell>
          <cell r="DC85" t="str">
            <v>有</v>
          </cell>
          <cell r="DD85" t="str">
            <v>有</v>
          </cell>
          <cell r="DE85" t="str">
            <v>有</v>
          </cell>
          <cell r="DF85" t="str">
            <v>有</v>
          </cell>
          <cell r="DG85" t="str">
            <v>有</v>
          </cell>
          <cell r="DH85" t="str">
            <v>有</v>
          </cell>
          <cell r="DI85" t="str">
            <v>有</v>
          </cell>
          <cell r="DJ85" t="str">
            <v>有</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有</v>
          </cell>
          <cell r="DX85" t="str">
            <v>有</v>
          </cell>
          <cell r="DY85" t="str">
            <v>有</v>
          </cell>
          <cell r="DZ85" t="str">
            <v>有</v>
          </cell>
          <cell r="EA85" t="str">
            <v>有</v>
          </cell>
          <cell r="EB85" t="str">
            <v>有</v>
          </cell>
          <cell r="EC85" t="str">
            <v>有</v>
          </cell>
          <cell r="ED85" t="str">
            <v>有</v>
          </cell>
          <cell r="EE85" t="str">
            <v>有</v>
          </cell>
          <cell r="EF85" t="str">
            <v>有</v>
          </cell>
          <cell r="EG85" t="str">
            <v>有</v>
          </cell>
          <cell r="EH85" t="str">
            <v>有</v>
          </cell>
          <cell r="EI85" t="str">
            <v>兼務</v>
          </cell>
          <cell r="EJ85" t="str">
            <v>兼務</v>
          </cell>
          <cell r="EK85" t="str">
            <v>兼務</v>
          </cell>
          <cell r="EL85" t="str">
            <v>兼務</v>
          </cell>
          <cell r="EM85" t="str">
            <v>兼務</v>
          </cell>
          <cell r="EN85" t="str">
            <v>兼務</v>
          </cell>
          <cell r="EO85" t="str">
            <v>兼務</v>
          </cell>
          <cell r="EP85" t="str">
            <v>兼務</v>
          </cell>
          <cell r="EQ85" t="str">
            <v>兼務</v>
          </cell>
          <cell r="ER85" t="str">
            <v>兼務</v>
          </cell>
          <cell r="ES85" t="str">
            <v>兼務</v>
          </cell>
          <cell r="ET85" t="str">
            <v>兼務</v>
          </cell>
          <cell r="EU85" t="str">
            <v/>
          </cell>
          <cell r="EV85" t="str">
            <v/>
          </cell>
          <cell r="EW85" t="str">
            <v/>
          </cell>
          <cell r="EX85" t="str">
            <v/>
          </cell>
          <cell r="EY85" t="str">
            <v/>
          </cell>
          <cell r="EZ85" t="str">
            <v/>
          </cell>
          <cell r="FA85" t="str">
            <v/>
          </cell>
          <cell r="FB85" t="str">
            <v/>
          </cell>
          <cell r="FC85" t="str">
            <v/>
          </cell>
          <cell r="FD85" t="str">
            <v/>
          </cell>
          <cell r="FE85" t="str">
            <v/>
          </cell>
          <cell r="FF85" t="str">
            <v/>
          </cell>
        </row>
        <row r="86">
          <cell r="C86">
            <v>82</v>
          </cell>
          <cell r="D86" t="str">
            <v>まほろばのお日さま保育園</v>
          </cell>
          <cell r="E86" t="str">
            <v>無</v>
          </cell>
          <cell r="F86">
            <v>30</v>
          </cell>
          <cell r="H86">
            <v>15</v>
          </cell>
          <cell r="I86">
            <v>15</v>
          </cell>
          <cell r="O86">
            <v>1189000</v>
          </cell>
          <cell r="P86">
            <v>2627000</v>
          </cell>
          <cell r="Q86">
            <v>2627000</v>
          </cell>
          <cell r="R86">
            <v>1028000</v>
          </cell>
          <cell r="S86">
            <v>0</v>
          </cell>
          <cell r="T86">
            <v>0</v>
          </cell>
          <cell r="U86">
            <v>0</v>
          </cell>
          <cell r="V86">
            <v>792000</v>
          </cell>
          <cell r="W86">
            <v>1751000</v>
          </cell>
          <cell r="X86">
            <v>1751000</v>
          </cell>
          <cell r="Y86">
            <v>685000</v>
          </cell>
          <cell r="Z86">
            <v>0</v>
          </cell>
          <cell r="AA86">
            <v>0</v>
          </cell>
          <cell r="AB86">
            <v>0</v>
          </cell>
          <cell r="AC86">
            <v>0</v>
          </cell>
          <cell r="AD86">
            <v>0</v>
          </cell>
          <cell r="AE86">
            <v>0</v>
          </cell>
          <cell r="AF86">
            <v>0</v>
          </cell>
          <cell r="AG86">
            <v>0</v>
          </cell>
          <cell r="AH86">
            <v>0</v>
          </cell>
          <cell r="AI86">
            <v>0</v>
          </cell>
          <cell r="AJ86" t="str">
            <v>令和3年4月1日</v>
          </cell>
          <cell r="AK86" t="str">
            <v>令和3年5月31日交付</v>
          </cell>
          <cell r="AM86" t="str">
            <v>4号の2</v>
          </cell>
          <cell r="AN86" t="str">
            <v>有</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v>1</v>
          </cell>
          <cell r="BN86">
            <v>1</v>
          </cell>
          <cell r="BO86">
            <v>1</v>
          </cell>
          <cell r="BP86">
            <v>1</v>
          </cell>
          <cell r="BQ86">
            <v>1</v>
          </cell>
          <cell r="BR86">
            <v>1</v>
          </cell>
          <cell r="BS86">
            <v>1</v>
          </cell>
          <cell r="BT86">
            <v>1</v>
          </cell>
          <cell r="BU86">
            <v>1</v>
          </cell>
          <cell r="BV86">
            <v>1</v>
          </cell>
          <cell r="BW86">
            <v>1</v>
          </cell>
          <cell r="BX86">
            <v>1</v>
          </cell>
          <cell r="CK86">
            <v>0</v>
          </cell>
          <cell r="CL86">
            <v>0</v>
          </cell>
          <cell r="CM86">
            <v>0</v>
          </cell>
          <cell r="CN86">
            <v>0</v>
          </cell>
          <cell r="CO86">
            <v>0</v>
          </cell>
          <cell r="CP86">
            <v>0</v>
          </cell>
          <cell r="CQ86">
            <v>0</v>
          </cell>
          <cell r="CR86">
            <v>0</v>
          </cell>
          <cell r="CS86">
            <v>0</v>
          </cell>
          <cell r="CT86">
            <v>0</v>
          </cell>
          <cell r="CU86">
            <v>0</v>
          </cell>
          <cell r="CV86">
            <v>0</v>
          </cell>
          <cell r="CW86" t="str">
            <v>無</v>
          </cell>
          <cell r="CX86">
            <v>0</v>
          </cell>
          <cell r="CY86" t="str">
            <v>有</v>
          </cell>
          <cell r="CZ86" t="str">
            <v>有</v>
          </cell>
          <cell r="DA86" t="str">
            <v>有</v>
          </cell>
          <cell r="DB86" t="str">
            <v>有</v>
          </cell>
          <cell r="DC86" t="str">
            <v>有</v>
          </cell>
          <cell r="DD86" t="str">
            <v>有</v>
          </cell>
          <cell r="DE86" t="str">
            <v>有</v>
          </cell>
          <cell r="DF86" t="str">
            <v>有</v>
          </cell>
          <cell r="DG86" t="str">
            <v>有</v>
          </cell>
          <cell r="DH86" t="str">
            <v>有</v>
          </cell>
          <cell r="DI86" t="str">
            <v>有</v>
          </cell>
          <cell r="DJ86" t="str">
            <v>有</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有</v>
          </cell>
          <cell r="DX86" t="str">
            <v>有</v>
          </cell>
          <cell r="DY86" t="str">
            <v>有</v>
          </cell>
          <cell r="DZ86" t="str">
            <v>有</v>
          </cell>
          <cell r="EA86" t="str">
            <v>有</v>
          </cell>
          <cell r="EB86" t="str">
            <v>有</v>
          </cell>
          <cell r="EC86" t="str">
            <v>有</v>
          </cell>
          <cell r="ED86" t="str">
            <v>有</v>
          </cell>
          <cell r="EE86" t="str">
            <v>有</v>
          </cell>
          <cell r="EF86" t="str">
            <v>有</v>
          </cell>
          <cell r="EG86" t="str">
            <v>有</v>
          </cell>
          <cell r="EH86" t="str">
            <v>有</v>
          </cell>
          <cell r="EI86" t="str">
            <v>配置</v>
          </cell>
          <cell r="EJ86" t="str">
            <v>配置</v>
          </cell>
          <cell r="EK86" t="str">
            <v>配置</v>
          </cell>
          <cell r="EL86" t="str">
            <v>配置</v>
          </cell>
          <cell r="EM86" t="str">
            <v>配置</v>
          </cell>
          <cell r="EN86" t="str">
            <v>配置</v>
          </cell>
          <cell r="EO86" t="str">
            <v>配置</v>
          </cell>
          <cell r="EP86" t="str">
            <v>配置</v>
          </cell>
          <cell r="EQ86" t="str">
            <v>配置</v>
          </cell>
          <cell r="ER86" t="str">
            <v>配置</v>
          </cell>
          <cell r="ES86" t="str">
            <v>配置</v>
          </cell>
          <cell r="ET86" t="str">
            <v>配置</v>
          </cell>
          <cell r="EU86">
            <v>76960</v>
          </cell>
          <cell r="EV86">
            <v>76960</v>
          </cell>
          <cell r="EW86">
            <v>76960</v>
          </cell>
          <cell r="EX86">
            <v>76960</v>
          </cell>
          <cell r="EY86">
            <v>76960</v>
          </cell>
          <cell r="EZ86">
            <v>76960</v>
          </cell>
          <cell r="FA86">
            <v>76960</v>
          </cell>
          <cell r="FB86">
            <v>76960</v>
          </cell>
          <cell r="FC86">
            <v>76960</v>
          </cell>
          <cell r="FD86">
            <v>76960</v>
          </cell>
          <cell r="FE86">
            <v>76960</v>
          </cell>
          <cell r="FF86">
            <v>76960</v>
          </cell>
        </row>
        <row r="87">
          <cell r="C87">
            <v>83</v>
          </cell>
          <cell r="D87" t="str">
            <v>あい・あい保育園　土気園</v>
          </cell>
          <cell r="E87" t="str">
            <v>無</v>
          </cell>
          <cell r="F87">
            <v>58</v>
          </cell>
          <cell r="H87">
            <v>33</v>
          </cell>
          <cell r="I87">
            <v>25</v>
          </cell>
          <cell r="O87">
            <v>1189000</v>
          </cell>
          <cell r="P87">
            <v>2627000</v>
          </cell>
          <cell r="Q87">
            <v>2627000</v>
          </cell>
          <cell r="R87">
            <v>1631000</v>
          </cell>
          <cell r="S87">
            <v>0</v>
          </cell>
          <cell r="T87">
            <v>1982000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t="str">
            <v>令和3年4月1日</v>
          </cell>
          <cell r="AM87" t="str">
            <v>4号の3</v>
          </cell>
          <cell r="AN87" t="str">
            <v>有</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v>1</v>
          </cell>
          <cell r="BN87">
            <v>1</v>
          </cell>
          <cell r="BO87">
            <v>1</v>
          </cell>
          <cell r="BP87">
            <v>1</v>
          </cell>
          <cell r="BQ87">
            <v>1</v>
          </cell>
          <cell r="BR87">
            <v>1</v>
          </cell>
          <cell r="BS87">
            <v>1</v>
          </cell>
          <cell r="BT87">
            <v>2</v>
          </cell>
          <cell r="BU87">
            <v>2</v>
          </cell>
          <cell r="BV87">
            <v>2</v>
          </cell>
          <cell r="BW87">
            <v>2</v>
          </cell>
          <cell r="BX87">
            <v>2</v>
          </cell>
          <cell r="CK87">
            <v>0</v>
          </cell>
          <cell r="CL87">
            <v>0</v>
          </cell>
          <cell r="CM87">
            <v>0</v>
          </cell>
          <cell r="CN87">
            <v>0</v>
          </cell>
          <cell r="CO87">
            <v>0</v>
          </cell>
          <cell r="CP87">
            <v>0</v>
          </cell>
          <cell r="CQ87">
            <v>0</v>
          </cell>
          <cell r="CR87">
            <v>0</v>
          </cell>
          <cell r="CS87">
            <v>0</v>
          </cell>
          <cell r="CT87">
            <v>0</v>
          </cell>
          <cell r="CU87">
            <v>0</v>
          </cell>
          <cell r="CV87">
            <v>0</v>
          </cell>
          <cell r="CW87" t="str">
            <v>無</v>
          </cell>
          <cell r="CX87">
            <v>0</v>
          </cell>
          <cell r="CY87" t="str">
            <v>有</v>
          </cell>
          <cell r="CZ87" t="str">
            <v>有</v>
          </cell>
          <cell r="DA87" t="str">
            <v>有</v>
          </cell>
          <cell r="DB87" t="str">
            <v>有</v>
          </cell>
          <cell r="DC87" t="str">
            <v>有</v>
          </cell>
          <cell r="DD87" t="str">
            <v>有</v>
          </cell>
          <cell r="DE87" t="str">
            <v>有</v>
          </cell>
          <cell r="DF87" t="str">
            <v>有</v>
          </cell>
          <cell r="DG87" t="str">
            <v>有</v>
          </cell>
          <cell r="DH87" t="str">
            <v>有</v>
          </cell>
          <cell r="DI87" t="str">
            <v>有</v>
          </cell>
          <cell r="DJ87" t="str">
            <v>有</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有</v>
          </cell>
          <cell r="DX87" t="str">
            <v>有</v>
          </cell>
          <cell r="DY87" t="str">
            <v>有</v>
          </cell>
          <cell r="DZ87" t="str">
            <v>有</v>
          </cell>
          <cell r="EA87" t="str">
            <v>有</v>
          </cell>
          <cell r="EB87" t="str">
            <v>有</v>
          </cell>
          <cell r="EC87" t="str">
            <v>有</v>
          </cell>
          <cell r="ED87" t="str">
            <v>有</v>
          </cell>
          <cell r="EE87" t="str">
            <v>有</v>
          </cell>
          <cell r="EF87" t="str">
            <v>有</v>
          </cell>
          <cell r="EG87" t="str">
            <v>有</v>
          </cell>
          <cell r="EH87" t="str">
            <v>有</v>
          </cell>
          <cell r="EI87" t="str">
            <v>配置</v>
          </cell>
          <cell r="EJ87" t="str">
            <v>配置</v>
          </cell>
          <cell r="EK87" t="str">
            <v>配置</v>
          </cell>
          <cell r="EL87" t="str">
            <v>配置</v>
          </cell>
          <cell r="EM87" t="str">
            <v>配置</v>
          </cell>
          <cell r="EN87" t="str">
            <v>配置</v>
          </cell>
          <cell r="EO87" t="str">
            <v>配置</v>
          </cell>
          <cell r="EP87" t="str">
            <v>配置</v>
          </cell>
          <cell r="EQ87" t="str">
            <v>配置</v>
          </cell>
          <cell r="ER87" t="str">
            <v>配置</v>
          </cell>
          <cell r="ES87" t="str">
            <v>配置</v>
          </cell>
          <cell r="ET87" t="str">
            <v>配置</v>
          </cell>
          <cell r="EU87">
            <v>76960</v>
          </cell>
          <cell r="EV87">
            <v>76960</v>
          </cell>
          <cell r="EW87">
            <v>76960</v>
          </cell>
          <cell r="EX87">
            <v>76960</v>
          </cell>
          <cell r="EY87">
            <v>76960</v>
          </cell>
          <cell r="EZ87">
            <v>76960</v>
          </cell>
          <cell r="FA87">
            <v>76960</v>
          </cell>
          <cell r="FB87">
            <v>76960</v>
          </cell>
          <cell r="FC87">
            <v>76960</v>
          </cell>
          <cell r="FD87">
            <v>76960</v>
          </cell>
          <cell r="FE87">
            <v>76960</v>
          </cell>
          <cell r="FF87">
            <v>76960</v>
          </cell>
        </row>
        <row r="88">
          <cell r="C88">
            <v>84</v>
          </cell>
          <cell r="D88" t="str">
            <v>キートスチャイルドケア新田町</v>
          </cell>
          <cell r="E88" t="str">
            <v>無</v>
          </cell>
          <cell r="F88">
            <v>59</v>
          </cell>
          <cell r="H88">
            <v>35</v>
          </cell>
          <cell r="I88">
            <v>24</v>
          </cell>
          <cell r="O88">
            <v>1189000</v>
          </cell>
          <cell r="P88">
            <v>2627000</v>
          </cell>
          <cell r="Q88">
            <v>0</v>
          </cell>
          <cell r="R88">
            <v>1631000</v>
          </cell>
          <cell r="S88">
            <v>1631000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t="str">
            <v>令和3年4月1日</v>
          </cell>
          <cell r="AM88" t="str">
            <v>5号</v>
          </cell>
          <cell r="AN88" t="str">
            <v>有</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v>1</v>
          </cell>
          <cell r="BN88">
            <v>1</v>
          </cell>
          <cell r="BO88">
            <v>1</v>
          </cell>
          <cell r="BP88">
            <v>1</v>
          </cell>
          <cell r="BQ88">
            <v>1</v>
          </cell>
          <cell r="BR88">
            <v>1</v>
          </cell>
          <cell r="BS88">
            <v>1</v>
          </cell>
          <cell r="BT88">
            <v>1</v>
          </cell>
          <cell r="BU88">
            <v>1</v>
          </cell>
          <cell r="BV88">
            <v>1</v>
          </cell>
          <cell r="BW88">
            <v>1</v>
          </cell>
          <cell r="BX88">
            <v>1</v>
          </cell>
          <cell r="CK88">
            <v>0</v>
          </cell>
          <cell r="CL88">
            <v>0</v>
          </cell>
          <cell r="CM88">
            <v>0</v>
          </cell>
          <cell r="CN88">
            <v>0</v>
          </cell>
          <cell r="CO88">
            <v>0</v>
          </cell>
          <cell r="CP88">
            <v>0</v>
          </cell>
          <cell r="CQ88">
            <v>0</v>
          </cell>
          <cell r="CR88">
            <v>0</v>
          </cell>
          <cell r="CS88">
            <v>0</v>
          </cell>
          <cell r="CT88">
            <v>0</v>
          </cell>
          <cell r="CU88">
            <v>0</v>
          </cell>
          <cell r="CV88">
            <v>0</v>
          </cell>
          <cell r="CW88" t="str">
            <v>無</v>
          </cell>
          <cell r="CX88">
            <v>0</v>
          </cell>
          <cell r="CY88" t="str">
            <v>無</v>
          </cell>
          <cell r="CZ88" t="str">
            <v>無</v>
          </cell>
          <cell r="DA88" t="str">
            <v>無</v>
          </cell>
          <cell r="DB88" t="str">
            <v>無</v>
          </cell>
          <cell r="DC88" t="str">
            <v>無</v>
          </cell>
          <cell r="DD88" t="str">
            <v>無</v>
          </cell>
          <cell r="DE88" t="str">
            <v>無</v>
          </cell>
          <cell r="DF88" t="str">
            <v>無</v>
          </cell>
          <cell r="DG88" t="str">
            <v>無</v>
          </cell>
          <cell r="DH88" t="str">
            <v>無</v>
          </cell>
          <cell r="DI88" t="str">
            <v>無</v>
          </cell>
          <cell r="DJ88" t="str">
            <v>無</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有</v>
          </cell>
          <cell r="DX88" t="str">
            <v>有</v>
          </cell>
          <cell r="DY88" t="str">
            <v>有</v>
          </cell>
          <cell r="DZ88" t="str">
            <v>有</v>
          </cell>
          <cell r="EA88" t="str">
            <v>有</v>
          </cell>
          <cell r="EB88" t="str">
            <v>有</v>
          </cell>
          <cell r="EC88" t="str">
            <v>有</v>
          </cell>
          <cell r="ED88" t="str">
            <v>有</v>
          </cell>
          <cell r="EE88" t="str">
            <v>有</v>
          </cell>
          <cell r="EF88" t="str">
            <v>有</v>
          </cell>
          <cell r="EG88" t="str">
            <v>有</v>
          </cell>
          <cell r="EH88" t="str">
            <v>有</v>
          </cell>
          <cell r="EI88" t="str">
            <v>兼務</v>
          </cell>
          <cell r="EJ88" t="str">
            <v>兼務</v>
          </cell>
          <cell r="EK88" t="str">
            <v>兼務</v>
          </cell>
          <cell r="EL88" t="str">
            <v>兼務</v>
          </cell>
          <cell r="EM88" t="str">
            <v>兼務</v>
          </cell>
          <cell r="EN88" t="str">
            <v>兼務</v>
          </cell>
          <cell r="EO88" t="str">
            <v>兼務</v>
          </cell>
          <cell r="EP88" t="str">
            <v>兼務</v>
          </cell>
          <cell r="EQ88" t="str">
            <v>兼務</v>
          </cell>
          <cell r="ER88" t="str">
            <v>兼務</v>
          </cell>
          <cell r="ES88" t="str">
            <v>兼務</v>
          </cell>
          <cell r="ET88" t="str">
            <v>兼務</v>
          </cell>
          <cell r="EU88" t="str">
            <v/>
          </cell>
          <cell r="EV88" t="str">
            <v/>
          </cell>
          <cell r="EW88" t="str">
            <v/>
          </cell>
          <cell r="EX88" t="str">
            <v/>
          </cell>
          <cell r="EY88" t="str">
            <v/>
          </cell>
          <cell r="EZ88" t="str">
            <v/>
          </cell>
          <cell r="FA88" t="str">
            <v/>
          </cell>
          <cell r="FB88" t="str">
            <v/>
          </cell>
          <cell r="FC88" t="str">
            <v/>
          </cell>
          <cell r="FD88" t="str">
            <v/>
          </cell>
          <cell r="FE88" t="str">
            <v/>
          </cell>
          <cell r="FF88" t="str">
            <v/>
          </cell>
        </row>
        <row r="89">
          <cell r="C89">
            <v>85</v>
          </cell>
          <cell r="D89" t="str">
            <v>マミー＆ミー西都賀保育園</v>
          </cell>
          <cell r="E89" t="str">
            <v>無</v>
          </cell>
          <cell r="F89">
            <v>28</v>
          </cell>
          <cell r="H89">
            <v>15</v>
          </cell>
          <cell r="I89">
            <v>13</v>
          </cell>
          <cell r="O89">
            <v>1080000</v>
          </cell>
          <cell r="P89">
            <v>2627000</v>
          </cell>
          <cell r="Q89">
            <v>1584000</v>
          </cell>
          <cell r="R89">
            <v>1631000</v>
          </cell>
          <cell r="S89">
            <v>0</v>
          </cell>
          <cell r="T89">
            <v>1982000</v>
          </cell>
          <cell r="U89">
            <v>0</v>
          </cell>
          <cell r="V89">
            <v>720000</v>
          </cell>
          <cell r="W89">
            <v>1751000</v>
          </cell>
          <cell r="X89">
            <v>1056000</v>
          </cell>
          <cell r="Y89">
            <v>1087000</v>
          </cell>
          <cell r="Z89">
            <v>0</v>
          </cell>
          <cell r="AA89">
            <v>1321000</v>
          </cell>
          <cell r="AB89">
            <v>0</v>
          </cell>
          <cell r="AC89">
            <v>360000</v>
          </cell>
          <cell r="AD89">
            <v>876000</v>
          </cell>
          <cell r="AE89">
            <v>528000</v>
          </cell>
          <cell r="AF89">
            <v>544000</v>
          </cell>
          <cell r="AG89">
            <v>0</v>
          </cell>
          <cell r="AH89">
            <v>661000</v>
          </cell>
          <cell r="AI89">
            <v>0</v>
          </cell>
          <cell r="AJ89" t="str">
            <v>令和3年4月1日</v>
          </cell>
          <cell r="AK89" t="str">
            <v>令和3年5月31日交付</v>
          </cell>
          <cell r="AL89" t="str">
            <v>令和3年10月29日交付</v>
          </cell>
          <cell r="AM89" t="str">
            <v>4号の4</v>
          </cell>
          <cell r="AN89" t="str">
            <v>有</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v>1</v>
          </cell>
          <cell r="BN89">
            <v>1</v>
          </cell>
          <cell r="BO89">
            <v>1</v>
          </cell>
          <cell r="BP89">
            <v>1</v>
          </cell>
          <cell r="BQ89">
            <v>1</v>
          </cell>
          <cell r="BR89">
            <v>1</v>
          </cell>
          <cell r="BS89">
            <v>1</v>
          </cell>
          <cell r="BT89">
            <v>2</v>
          </cell>
          <cell r="BU89">
            <v>2</v>
          </cell>
          <cell r="BV89">
            <v>2</v>
          </cell>
          <cell r="BW89">
            <v>2</v>
          </cell>
          <cell r="BX89">
            <v>2</v>
          </cell>
          <cell r="CK89">
            <v>0</v>
          </cell>
          <cell r="CL89">
            <v>0</v>
          </cell>
          <cell r="CM89">
            <v>0</v>
          </cell>
          <cell r="CN89">
            <v>0</v>
          </cell>
          <cell r="CO89">
            <v>0</v>
          </cell>
          <cell r="CP89">
            <v>0</v>
          </cell>
          <cell r="CQ89">
            <v>0</v>
          </cell>
          <cell r="CR89">
            <v>0</v>
          </cell>
          <cell r="CS89">
            <v>0</v>
          </cell>
          <cell r="CT89">
            <v>0</v>
          </cell>
          <cell r="CU89">
            <v>0</v>
          </cell>
          <cell r="CV89">
            <v>0</v>
          </cell>
          <cell r="CW89" t="str">
            <v>無</v>
          </cell>
          <cell r="CX89">
            <v>0</v>
          </cell>
          <cell r="CY89" t="str">
            <v>有</v>
          </cell>
          <cell r="CZ89" t="str">
            <v>有</v>
          </cell>
          <cell r="DA89" t="str">
            <v>有</v>
          </cell>
          <cell r="DB89" t="str">
            <v>有</v>
          </cell>
          <cell r="DC89" t="str">
            <v>有</v>
          </cell>
          <cell r="DD89" t="str">
            <v>有</v>
          </cell>
          <cell r="DE89" t="str">
            <v>有</v>
          </cell>
          <cell r="DF89" t="str">
            <v>有</v>
          </cell>
          <cell r="DG89" t="str">
            <v>有</v>
          </cell>
          <cell r="DH89" t="str">
            <v>有</v>
          </cell>
          <cell r="DI89" t="str">
            <v>有</v>
          </cell>
          <cell r="DJ89" t="str">
            <v>有</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有</v>
          </cell>
          <cell r="DX89" t="str">
            <v>有</v>
          </cell>
          <cell r="DY89" t="str">
            <v>有</v>
          </cell>
          <cell r="DZ89" t="str">
            <v>有</v>
          </cell>
          <cell r="EA89" t="str">
            <v>有</v>
          </cell>
          <cell r="EB89" t="str">
            <v>有</v>
          </cell>
          <cell r="EC89" t="str">
            <v>有</v>
          </cell>
          <cell r="ED89" t="str">
            <v>有</v>
          </cell>
          <cell r="EE89" t="str">
            <v>有</v>
          </cell>
          <cell r="EF89" t="str">
            <v>有</v>
          </cell>
          <cell r="EG89" t="str">
            <v>有</v>
          </cell>
          <cell r="EH89" t="str">
            <v>有</v>
          </cell>
          <cell r="EI89" t="str">
            <v>兼務</v>
          </cell>
          <cell r="EJ89" t="str">
            <v>兼務</v>
          </cell>
          <cell r="EK89" t="str">
            <v>兼務</v>
          </cell>
          <cell r="EL89" t="str">
            <v>兼務</v>
          </cell>
          <cell r="EM89" t="str">
            <v>兼務</v>
          </cell>
          <cell r="EN89" t="str">
            <v>兼務</v>
          </cell>
          <cell r="EO89" t="str">
            <v>兼務</v>
          </cell>
          <cell r="EP89" t="str">
            <v>兼務</v>
          </cell>
          <cell r="EQ89" t="str">
            <v>兼務</v>
          </cell>
          <cell r="ER89" t="str">
            <v>兼務</v>
          </cell>
          <cell r="ES89" t="str">
            <v>兼務</v>
          </cell>
          <cell r="ET89" t="str">
            <v>兼務</v>
          </cell>
          <cell r="EU89" t="str">
            <v/>
          </cell>
          <cell r="EV89" t="str">
            <v/>
          </cell>
          <cell r="EW89" t="str">
            <v/>
          </cell>
          <cell r="EX89" t="str">
            <v/>
          </cell>
          <cell r="EY89" t="str">
            <v/>
          </cell>
          <cell r="EZ89" t="str">
            <v/>
          </cell>
          <cell r="FA89" t="str">
            <v/>
          </cell>
          <cell r="FB89" t="str">
            <v/>
          </cell>
          <cell r="FC89" t="str">
            <v/>
          </cell>
          <cell r="FD89" t="str">
            <v/>
          </cell>
          <cell r="FE89" t="str">
            <v/>
          </cell>
          <cell r="FF89" t="str">
            <v/>
          </cell>
        </row>
        <row r="90">
          <cell r="C90">
            <v>86</v>
          </cell>
          <cell r="D90" t="str">
            <v>幕張本郷すきっぷ保育園</v>
          </cell>
          <cell r="E90" t="str">
            <v>無</v>
          </cell>
          <cell r="F90">
            <v>56</v>
          </cell>
          <cell r="H90">
            <v>30</v>
          </cell>
          <cell r="I90">
            <v>26</v>
          </cell>
          <cell r="O90">
            <v>1189000</v>
          </cell>
          <cell r="P90">
            <v>2627000</v>
          </cell>
          <cell r="Q90">
            <v>2627000</v>
          </cell>
          <cell r="R90">
            <v>1631000</v>
          </cell>
          <cell r="S90">
            <v>0</v>
          </cell>
          <cell r="T90">
            <v>3964000</v>
          </cell>
          <cell r="U90">
            <v>0</v>
          </cell>
          <cell r="V90">
            <v>792000</v>
          </cell>
          <cell r="W90">
            <v>1751000</v>
          </cell>
          <cell r="X90">
            <v>1751000</v>
          </cell>
          <cell r="Y90">
            <v>1087000</v>
          </cell>
          <cell r="Z90">
            <v>0</v>
          </cell>
          <cell r="AA90">
            <v>2642000</v>
          </cell>
          <cell r="AB90">
            <v>0</v>
          </cell>
          <cell r="AC90">
            <v>0</v>
          </cell>
          <cell r="AD90">
            <v>0</v>
          </cell>
          <cell r="AE90">
            <v>0</v>
          </cell>
          <cell r="AF90">
            <v>0</v>
          </cell>
          <cell r="AG90">
            <v>0</v>
          </cell>
          <cell r="AH90">
            <v>0</v>
          </cell>
          <cell r="AI90">
            <v>0</v>
          </cell>
          <cell r="AJ90" t="str">
            <v>令和3年4月1日</v>
          </cell>
          <cell r="AK90" t="str">
            <v>令和3年5月31日交付</v>
          </cell>
          <cell r="AM90" t="str">
            <v>4号の5</v>
          </cell>
          <cell r="AN90" t="str">
            <v>有</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v>2</v>
          </cell>
          <cell r="BN90">
            <v>2</v>
          </cell>
          <cell r="BO90">
            <v>2</v>
          </cell>
          <cell r="BP90">
            <v>2</v>
          </cell>
          <cell r="BQ90">
            <v>2</v>
          </cell>
          <cell r="BR90">
            <v>2</v>
          </cell>
          <cell r="BS90">
            <v>2</v>
          </cell>
          <cell r="BT90">
            <v>2</v>
          </cell>
          <cell r="BU90">
            <v>2</v>
          </cell>
          <cell r="BV90">
            <v>2</v>
          </cell>
          <cell r="BW90">
            <v>2</v>
          </cell>
          <cell r="BX90">
            <v>2</v>
          </cell>
          <cell r="CK90">
            <v>0</v>
          </cell>
          <cell r="CL90">
            <v>0</v>
          </cell>
          <cell r="CM90">
            <v>0</v>
          </cell>
          <cell r="CN90">
            <v>0</v>
          </cell>
          <cell r="CO90">
            <v>0</v>
          </cell>
          <cell r="CP90">
            <v>0</v>
          </cell>
          <cell r="CQ90">
            <v>0</v>
          </cell>
          <cell r="CR90">
            <v>0</v>
          </cell>
          <cell r="CS90">
            <v>0</v>
          </cell>
          <cell r="CT90">
            <v>0</v>
          </cell>
          <cell r="CU90">
            <v>0</v>
          </cell>
          <cell r="CV90">
            <v>0</v>
          </cell>
          <cell r="CW90" t="str">
            <v>無</v>
          </cell>
          <cell r="CX90">
            <v>0</v>
          </cell>
          <cell r="CY90" t="str">
            <v>有</v>
          </cell>
          <cell r="CZ90" t="str">
            <v>有</v>
          </cell>
          <cell r="DA90" t="str">
            <v>有</v>
          </cell>
          <cell r="DB90" t="str">
            <v>有</v>
          </cell>
          <cell r="DC90" t="str">
            <v>有</v>
          </cell>
          <cell r="DD90" t="str">
            <v>有</v>
          </cell>
          <cell r="DE90" t="str">
            <v>有</v>
          </cell>
          <cell r="DF90" t="str">
            <v>有</v>
          </cell>
          <cell r="DG90" t="str">
            <v>有</v>
          </cell>
          <cell r="DH90" t="str">
            <v>有</v>
          </cell>
          <cell r="DI90" t="str">
            <v>有</v>
          </cell>
          <cell r="DJ90" t="str">
            <v>有</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有</v>
          </cell>
          <cell r="DX90" t="str">
            <v>有</v>
          </cell>
          <cell r="DY90" t="str">
            <v>有</v>
          </cell>
          <cell r="DZ90" t="str">
            <v>有</v>
          </cell>
          <cell r="EA90" t="str">
            <v>有</v>
          </cell>
          <cell r="EB90" t="str">
            <v>有</v>
          </cell>
          <cell r="EC90" t="str">
            <v>有</v>
          </cell>
          <cell r="ED90" t="str">
            <v>有</v>
          </cell>
          <cell r="EE90" t="str">
            <v>有</v>
          </cell>
          <cell r="EF90" t="str">
            <v>有</v>
          </cell>
          <cell r="EG90" t="str">
            <v>有</v>
          </cell>
          <cell r="EH90" t="str">
            <v>有</v>
          </cell>
          <cell r="EI90" t="str">
            <v>嘱託</v>
          </cell>
          <cell r="EJ90" t="str">
            <v>嘱託</v>
          </cell>
          <cell r="EK90" t="str">
            <v>嘱託</v>
          </cell>
          <cell r="EL90" t="str">
            <v>嘱託</v>
          </cell>
          <cell r="EM90" t="str">
            <v>嘱託</v>
          </cell>
          <cell r="EN90" t="str">
            <v>嘱託</v>
          </cell>
          <cell r="EO90" t="str">
            <v>嘱託</v>
          </cell>
          <cell r="EP90" t="str">
            <v>嘱託</v>
          </cell>
          <cell r="EQ90" t="str">
            <v>嘱託</v>
          </cell>
          <cell r="ER90" t="str">
            <v>嘱託</v>
          </cell>
          <cell r="ES90" t="str">
            <v>嘱託</v>
          </cell>
          <cell r="ET90" t="str">
            <v>嘱託</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row>
        <row r="91">
          <cell r="C91">
            <v>87</v>
          </cell>
          <cell r="D91" t="str">
            <v>若葉保育園</v>
          </cell>
          <cell r="E91" t="str">
            <v>無</v>
          </cell>
          <cell r="F91">
            <v>59</v>
          </cell>
          <cell r="H91">
            <v>33</v>
          </cell>
          <cell r="I91">
            <v>26</v>
          </cell>
          <cell r="O91">
            <v>1189000</v>
          </cell>
          <cell r="P91">
            <v>2627000</v>
          </cell>
          <cell r="Q91">
            <v>2627000</v>
          </cell>
          <cell r="R91">
            <v>1440000</v>
          </cell>
          <cell r="S91">
            <v>0</v>
          </cell>
          <cell r="T91">
            <v>0</v>
          </cell>
          <cell r="U91">
            <v>0</v>
          </cell>
          <cell r="V91">
            <v>0</v>
          </cell>
          <cell r="W91">
            <v>0</v>
          </cell>
          <cell r="X91">
            <v>0</v>
          </cell>
          <cell r="Y91">
            <v>0</v>
          </cell>
          <cell r="Z91">
            <v>0</v>
          </cell>
          <cell r="AA91">
            <v>0</v>
          </cell>
          <cell r="AB91">
            <v>0</v>
          </cell>
          <cell r="AC91">
            <v>1189000</v>
          </cell>
          <cell r="AD91">
            <v>2627000</v>
          </cell>
          <cell r="AE91">
            <v>2627000</v>
          </cell>
          <cell r="AF91">
            <v>1440000</v>
          </cell>
          <cell r="AG91">
            <v>0</v>
          </cell>
          <cell r="AH91">
            <v>0</v>
          </cell>
          <cell r="AI91">
            <v>0</v>
          </cell>
          <cell r="AJ91" t="str">
            <v>令和3年4月1日</v>
          </cell>
          <cell r="AL91" t="str">
            <v>令和3年10月29日交付</v>
          </cell>
          <cell r="AM91" t="str">
            <v>4号の6</v>
          </cell>
          <cell r="AN91" t="str">
            <v>有</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v>1</v>
          </cell>
          <cell r="BN91">
            <v>1</v>
          </cell>
          <cell r="BO91">
            <v>1</v>
          </cell>
          <cell r="BP91">
            <v>1</v>
          </cell>
          <cell r="BQ91">
            <v>1</v>
          </cell>
          <cell r="BR91">
            <v>1</v>
          </cell>
          <cell r="BS91">
            <v>1</v>
          </cell>
          <cell r="BT91">
            <v>1</v>
          </cell>
          <cell r="BU91">
            <v>1</v>
          </cell>
          <cell r="BV91">
            <v>1</v>
          </cell>
          <cell r="BW91">
            <v>1</v>
          </cell>
          <cell r="BX91">
            <v>1</v>
          </cell>
          <cell r="CK91">
            <v>0</v>
          </cell>
          <cell r="CL91">
            <v>0</v>
          </cell>
          <cell r="CM91">
            <v>0</v>
          </cell>
          <cell r="CN91">
            <v>0</v>
          </cell>
          <cell r="CO91">
            <v>0</v>
          </cell>
          <cell r="CP91">
            <v>0</v>
          </cell>
          <cell r="CQ91">
            <v>0</v>
          </cell>
          <cell r="CR91">
            <v>0</v>
          </cell>
          <cell r="CS91">
            <v>0</v>
          </cell>
          <cell r="CT91">
            <v>0</v>
          </cell>
          <cell r="CU91">
            <v>0</v>
          </cell>
          <cell r="CV91">
            <v>0</v>
          </cell>
          <cell r="CW91" t="str">
            <v>無</v>
          </cell>
          <cell r="CX91">
            <v>0</v>
          </cell>
          <cell r="CY91" t="str">
            <v>有</v>
          </cell>
          <cell r="CZ91" t="str">
            <v>有</v>
          </cell>
          <cell r="DA91" t="str">
            <v>有</v>
          </cell>
          <cell r="DB91" t="str">
            <v>有</v>
          </cell>
          <cell r="DC91" t="str">
            <v>有</v>
          </cell>
          <cell r="DD91" t="str">
            <v>有</v>
          </cell>
          <cell r="DE91" t="str">
            <v>有</v>
          </cell>
          <cell r="DF91" t="str">
            <v>有</v>
          </cell>
          <cell r="DG91" t="str">
            <v>有</v>
          </cell>
          <cell r="DH91" t="str">
            <v>有</v>
          </cell>
          <cell r="DI91" t="str">
            <v>有</v>
          </cell>
          <cell r="DJ91" t="str">
            <v>有</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有</v>
          </cell>
          <cell r="DX91" t="str">
            <v>有</v>
          </cell>
          <cell r="DY91" t="str">
            <v>有</v>
          </cell>
          <cell r="DZ91" t="str">
            <v>有</v>
          </cell>
          <cell r="EA91" t="str">
            <v>有</v>
          </cell>
          <cell r="EB91" t="str">
            <v>有</v>
          </cell>
          <cell r="EC91" t="str">
            <v>有</v>
          </cell>
          <cell r="ED91" t="str">
            <v>有</v>
          </cell>
          <cell r="EE91" t="str">
            <v>有</v>
          </cell>
          <cell r="EF91" t="str">
            <v>有</v>
          </cell>
          <cell r="EG91" t="str">
            <v>有</v>
          </cell>
          <cell r="EH91" t="str">
            <v>有</v>
          </cell>
          <cell r="EI91" t="str">
            <v>嘱託</v>
          </cell>
          <cell r="EJ91" t="str">
            <v>嘱託</v>
          </cell>
          <cell r="EK91" t="str">
            <v>嘱託</v>
          </cell>
          <cell r="EL91" t="str">
            <v>嘱託</v>
          </cell>
          <cell r="EM91" t="str">
            <v>嘱託</v>
          </cell>
          <cell r="EN91" t="str">
            <v>嘱託</v>
          </cell>
          <cell r="EO91" t="str">
            <v>嘱託</v>
          </cell>
          <cell r="EP91" t="str">
            <v>嘱託</v>
          </cell>
          <cell r="EQ91" t="str">
            <v>嘱託</v>
          </cell>
          <cell r="ER91" t="str">
            <v>嘱託</v>
          </cell>
          <cell r="ES91" t="str">
            <v>嘱託</v>
          </cell>
          <cell r="ET91" t="str">
            <v>嘱託</v>
          </cell>
          <cell r="EU91" t="str">
            <v/>
          </cell>
          <cell r="EV91" t="str">
            <v/>
          </cell>
          <cell r="EW91" t="str">
            <v/>
          </cell>
          <cell r="EX91" t="str">
            <v/>
          </cell>
          <cell r="EY91" t="str">
            <v/>
          </cell>
          <cell r="EZ91" t="str">
            <v/>
          </cell>
          <cell r="FA91" t="str">
            <v/>
          </cell>
          <cell r="FB91" t="str">
            <v/>
          </cell>
          <cell r="FC91" t="str">
            <v/>
          </cell>
          <cell r="FD91" t="str">
            <v/>
          </cell>
          <cell r="FE91" t="str">
            <v/>
          </cell>
          <cell r="FF91" t="str">
            <v/>
          </cell>
        </row>
        <row r="92">
          <cell r="C92">
            <v>88</v>
          </cell>
          <cell r="D92" t="str">
            <v>花見川さくら学園保育園</v>
          </cell>
          <cell r="E92" t="str">
            <v>無</v>
          </cell>
          <cell r="F92">
            <v>60</v>
          </cell>
          <cell r="H92">
            <v>34</v>
          </cell>
          <cell r="I92">
            <v>26</v>
          </cell>
          <cell r="O92">
            <v>1189000</v>
          </cell>
          <cell r="P92">
            <v>2627000</v>
          </cell>
          <cell r="Q92">
            <v>0</v>
          </cell>
          <cell r="R92">
            <v>1631000</v>
          </cell>
          <cell r="S92">
            <v>0</v>
          </cell>
          <cell r="T92">
            <v>0</v>
          </cell>
          <cell r="U92">
            <v>0</v>
          </cell>
          <cell r="V92">
            <v>792000</v>
          </cell>
          <cell r="W92">
            <v>1751000</v>
          </cell>
          <cell r="X92">
            <v>0</v>
          </cell>
          <cell r="Y92">
            <v>1087000</v>
          </cell>
          <cell r="Z92">
            <v>0</v>
          </cell>
          <cell r="AA92">
            <v>0</v>
          </cell>
          <cell r="AB92">
            <v>0</v>
          </cell>
          <cell r="AC92">
            <v>0</v>
          </cell>
          <cell r="AD92">
            <v>0</v>
          </cell>
          <cell r="AE92">
            <v>0</v>
          </cell>
          <cell r="AF92">
            <v>0</v>
          </cell>
          <cell r="AG92">
            <v>0</v>
          </cell>
          <cell r="AH92">
            <v>0</v>
          </cell>
          <cell r="AI92">
            <v>0</v>
          </cell>
          <cell r="AJ92" t="str">
            <v>令和3年4月1日</v>
          </cell>
          <cell r="AK92" t="str">
            <v>令和3年5月31日交付</v>
          </cell>
          <cell r="AM92" t="str">
            <v>4号の7</v>
          </cell>
          <cell r="AN92" t="str">
            <v>有</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v>1</v>
          </cell>
          <cell r="BN92">
            <v>1</v>
          </cell>
          <cell r="BO92">
            <v>1</v>
          </cell>
          <cell r="BP92">
            <v>1</v>
          </cell>
          <cell r="BQ92">
            <v>1</v>
          </cell>
          <cell r="BR92">
            <v>1</v>
          </cell>
          <cell r="BS92">
            <v>1</v>
          </cell>
          <cell r="BT92">
            <v>1</v>
          </cell>
          <cell r="BU92">
            <v>1</v>
          </cell>
          <cell r="BV92">
            <v>1</v>
          </cell>
          <cell r="BW92">
            <v>1</v>
          </cell>
          <cell r="BX92">
            <v>1</v>
          </cell>
          <cell r="CK92">
            <v>0</v>
          </cell>
          <cell r="CL92">
            <v>0</v>
          </cell>
          <cell r="CM92">
            <v>0</v>
          </cell>
          <cell r="CN92">
            <v>0</v>
          </cell>
          <cell r="CO92">
            <v>0</v>
          </cell>
          <cell r="CP92">
            <v>0</v>
          </cell>
          <cell r="CQ92">
            <v>0</v>
          </cell>
          <cell r="CR92">
            <v>0</v>
          </cell>
          <cell r="CS92">
            <v>0</v>
          </cell>
          <cell r="CT92">
            <v>0</v>
          </cell>
          <cell r="CU92">
            <v>0</v>
          </cell>
          <cell r="CV92">
            <v>0</v>
          </cell>
          <cell r="CW92" t="str">
            <v>無</v>
          </cell>
          <cell r="CX92">
            <v>4</v>
          </cell>
          <cell r="CY92" t="str">
            <v>有</v>
          </cell>
          <cell r="CZ92" t="str">
            <v>有</v>
          </cell>
          <cell r="DA92" t="str">
            <v>有</v>
          </cell>
          <cell r="DB92" t="str">
            <v>有</v>
          </cell>
          <cell r="DC92" t="str">
            <v>有</v>
          </cell>
          <cell r="DD92" t="str">
            <v>有</v>
          </cell>
          <cell r="DE92" t="str">
            <v>有</v>
          </cell>
          <cell r="DF92" t="str">
            <v>有</v>
          </cell>
          <cell r="DG92" t="str">
            <v>有</v>
          </cell>
          <cell r="DH92" t="str">
            <v>有</v>
          </cell>
          <cell r="DI92" t="str">
            <v>有</v>
          </cell>
          <cell r="DJ92" t="str">
            <v>有</v>
          </cell>
          <cell r="DK92" t="str">
            <v>増員</v>
          </cell>
          <cell r="DL92" t="str">
            <v>増員</v>
          </cell>
          <cell r="DM92" t="str">
            <v>増員</v>
          </cell>
          <cell r="DN92" t="str">
            <v>増員</v>
          </cell>
          <cell r="DO92" t="str">
            <v>増員</v>
          </cell>
          <cell r="DP92" t="str">
            <v>増員</v>
          </cell>
          <cell r="DQ92" t="str">
            <v>増員</v>
          </cell>
          <cell r="DR92" t="str">
            <v>増員</v>
          </cell>
          <cell r="DS92" t="str">
            <v>増員</v>
          </cell>
          <cell r="DT92" t="str">
            <v>増員</v>
          </cell>
          <cell r="DU92" t="str">
            <v>増員</v>
          </cell>
          <cell r="DV92" t="str">
            <v>増員</v>
          </cell>
          <cell r="DW92" t="str">
            <v>有</v>
          </cell>
          <cell r="DX92" t="str">
            <v>有</v>
          </cell>
          <cell r="DY92" t="str">
            <v>有</v>
          </cell>
          <cell r="DZ92" t="str">
            <v>有</v>
          </cell>
          <cell r="EA92" t="str">
            <v>有</v>
          </cell>
          <cell r="EB92" t="str">
            <v>有</v>
          </cell>
          <cell r="EC92" t="str">
            <v>有</v>
          </cell>
          <cell r="ED92" t="str">
            <v>有</v>
          </cell>
          <cell r="EE92" t="str">
            <v>有</v>
          </cell>
          <cell r="EF92" t="str">
            <v>有</v>
          </cell>
          <cell r="EG92" t="str">
            <v>有</v>
          </cell>
          <cell r="EH92" t="str">
            <v>有</v>
          </cell>
          <cell r="EI92" t="str">
            <v>嘱託</v>
          </cell>
          <cell r="EJ92" t="str">
            <v>嘱託</v>
          </cell>
          <cell r="EK92" t="str">
            <v>嘱託</v>
          </cell>
          <cell r="EL92" t="str">
            <v>嘱託</v>
          </cell>
          <cell r="EM92" t="str">
            <v>嘱託</v>
          </cell>
          <cell r="EN92" t="str">
            <v>嘱託</v>
          </cell>
          <cell r="EO92" t="str">
            <v>嘱託</v>
          </cell>
          <cell r="EP92" t="str">
            <v>嘱託</v>
          </cell>
          <cell r="EQ92" t="str">
            <v>嘱託</v>
          </cell>
          <cell r="ER92" t="str">
            <v>嘱託</v>
          </cell>
          <cell r="ES92" t="str">
            <v>嘱託</v>
          </cell>
          <cell r="ET92" t="str">
            <v>嘱託</v>
          </cell>
          <cell r="EU92" t="str">
            <v/>
          </cell>
          <cell r="EV92" t="str">
            <v/>
          </cell>
          <cell r="EW92" t="str">
            <v/>
          </cell>
          <cell r="EX92" t="str">
            <v/>
          </cell>
          <cell r="EY92" t="str">
            <v/>
          </cell>
          <cell r="EZ92" t="str">
            <v/>
          </cell>
          <cell r="FA92" t="str">
            <v/>
          </cell>
          <cell r="FB92" t="str">
            <v/>
          </cell>
          <cell r="FC92" t="str">
            <v/>
          </cell>
          <cell r="FD92" t="str">
            <v/>
          </cell>
          <cell r="FE92" t="str">
            <v/>
          </cell>
          <cell r="FF92" t="str">
            <v/>
          </cell>
        </row>
        <row r="93">
          <cell r="C93">
            <v>89</v>
          </cell>
          <cell r="D93" t="str">
            <v>そが中央保育園</v>
          </cell>
          <cell r="E93" t="str">
            <v>無</v>
          </cell>
          <cell r="F93">
            <v>50</v>
          </cell>
          <cell r="H93">
            <v>29</v>
          </cell>
          <cell r="I93">
            <v>21</v>
          </cell>
          <cell r="O93">
            <v>1189000</v>
          </cell>
          <cell r="P93">
            <v>2627000</v>
          </cell>
          <cell r="Q93">
            <v>0</v>
          </cell>
          <cell r="R93">
            <v>1028000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t="str">
            <v>令和3年4月1日</v>
          </cell>
          <cell r="AM93" t="str">
            <v>4号の8</v>
          </cell>
          <cell r="AN93" t="str">
            <v>有</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v>1</v>
          </cell>
          <cell r="BN93">
            <v>1</v>
          </cell>
          <cell r="BO93">
            <v>1</v>
          </cell>
          <cell r="BP93">
            <v>1</v>
          </cell>
          <cell r="BQ93">
            <v>1</v>
          </cell>
          <cell r="BR93">
            <v>1</v>
          </cell>
          <cell r="BS93">
            <v>1</v>
          </cell>
          <cell r="BT93">
            <v>1</v>
          </cell>
          <cell r="BU93">
            <v>1</v>
          </cell>
          <cell r="BV93">
            <v>1</v>
          </cell>
          <cell r="BW93">
            <v>1</v>
          </cell>
          <cell r="BX93">
            <v>1</v>
          </cell>
          <cell r="CK93">
            <v>0</v>
          </cell>
          <cell r="CL93">
            <v>0</v>
          </cell>
          <cell r="CM93">
            <v>0</v>
          </cell>
          <cell r="CN93">
            <v>0</v>
          </cell>
          <cell r="CO93">
            <v>0</v>
          </cell>
          <cell r="CP93">
            <v>0</v>
          </cell>
          <cell r="CQ93">
            <v>0</v>
          </cell>
          <cell r="CR93">
            <v>0</v>
          </cell>
          <cell r="CS93">
            <v>0</v>
          </cell>
          <cell r="CT93">
            <v>0</v>
          </cell>
          <cell r="CU93">
            <v>0</v>
          </cell>
          <cell r="CV93">
            <v>0</v>
          </cell>
          <cell r="CW93" t="str">
            <v>無</v>
          </cell>
          <cell r="CX93">
            <v>0</v>
          </cell>
          <cell r="CY93" t="str">
            <v>有</v>
          </cell>
          <cell r="CZ93" t="str">
            <v>有</v>
          </cell>
          <cell r="DA93" t="str">
            <v>有</v>
          </cell>
          <cell r="DB93" t="str">
            <v>有</v>
          </cell>
          <cell r="DC93" t="str">
            <v>有</v>
          </cell>
          <cell r="DD93" t="str">
            <v>有</v>
          </cell>
          <cell r="DE93" t="str">
            <v>有</v>
          </cell>
          <cell r="DF93" t="str">
            <v>有</v>
          </cell>
          <cell r="DG93" t="str">
            <v>有</v>
          </cell>
          <cell r="DH93" t="str">
            <v>有</v>
          </cell>
          <cell r="DI93" t="str">
            <v>有</v>
          </cell>
          <cell r="DJ93" t="str">
            <v>有</v>
          </cell>
          <cell r="DK93" t="str">
            <v>増員</v>
          </cell>
          <cell r="DL93" t="str">
            <v>増員</v>
          </cell>
          <cell r="DM93" t="str">
            <v>増員</v>
          </cell>
          <cell r="DN93" t="str">
            <v>増員</v>
          </cell>
          <cell r="DO93" t="str">
            <v>増員</v>
          </cell>
          <cell r="DP93" t="str">
            <v>増員</v>
          </cell>
          <cell r="DQ93" t="str">
            <v>増員</v>
          </cell>
          <cell r="DR93" t="str">
            <v>増員</v>
          </cell>
          <cell r="DS93" t="str">
            <v>増員</v>
          </cell>
          <cell r="DT93" t="str">
            <v>増員</v>
          </cell>
          <cell r="DU93" t="str">
            <v>増員</v>
          </cell>
          <cell r="DV93" t="str">
            <v>増員</v>
          </cell>
          <cell r="DW93" t="str">
            <v>有</v>
          </cell>
          <cell r="DX93" t="str">
            <v>有</v>
          </cell>
          <cell r="DY93" t="str">
            <v>有</v>
          </cell>
          <cell r="DZ93" t="str">
            <v>有</v>
          </cell>
          <cell r="EA93" t="str">
            <v>有</v>
          </cell>
          <cell r="EB93" t="str">
            <v>有</v>
          </cell>
          <cell r="EC93" t="str">
            <v>有</v>
          </cell>
          <cell r="ED93" t="str">
            <v>有</v>
          </cell>
          <cell r="EE93" t="str">
            <v>有</v>
          </cell>
          <cell r="EF93" t="str">
            <v>有</v>
          </cell>
          <cell r="EG93" t="str">
            <v>有</v>
          </cell>
          <cell r="EH93" t="str">
            <v>有</v>
          </cell>
          <cell r="EI93" t="str">
            <v>配置</v>
          </cell>
          <cell r="EJ93" t="str">
            <v>配置</v>
          </cell>
          <cell r="EK93" t="str">
            <v>配置</v>
          </cell>
          <cell r="EL93" t="str">
            <v>配置</v>
          </cell>
          <cell r="EM93" t="str">
            <v>配置</v>
          </cell>
          <cell r="EN93" t="str">
            <v>配置</v>
          </cell>
          <cell r="EO93" t="str">
            <v>配置</v>
          </cell>
          <cell r="EP93" t="str">
            <v>配置</v>
          </cell>
          <cell r="EQ93" t="str">
            <v>配置</v>
          </cell>
          <cell r="ER93" t="str">
            <v>配置</v>
          </cell>
          <cell r="ES93" t="str">
            <v>配置</v>
          </cell>
          <cell r="ET93" t="str">
            <v>配置</v>
          </cell>
          <cell r="EU93">
            <v>76960</v>
          </cell>
          <cell r="EV93">
            <v>76960</v>
          </cell>
          <cell r="EW93">
            <v>76960</v>
          </cell>
          <cell r="EX93">
            <v>76960</v>
          </cell>
          <cell r="EY93">
            <v>76960</v>
          </cell>
          <cell r="EZ93">
            <v>76960</v>
          </cell>
          <cell r="FA93">
            <v>76960</v>
          </cell>
          <cell r="FB93">
            <v>76960</v>
          </cell>
          <cell r="FC93">
            <v>76960</v>
          </cell>
          <cell r="FD93">
            <v>76960</v>
          </cell>
          <cell r="FE93">
            <v>76960</v>
          </cell>
          <cell r="FF93">
            <v>76960</v>
          </cell>
        </row>
        <row r="94">
          <cell r="C94">
            <v>90</v>
          </cell>
          <cell r="D94" t="str">
            <v>すえひろ保育園</v>
          </cell>
          <cell r="E94" t="str">
            <v>有</v>
          </cell>
          <cell r="F94">
            <v>90</v>
          </cell>
          <cell r="H94">
            <v>51</v>
          </cell>
          <cell r="I94">
            <v>39</v>
          </cell>
          <cell r="J94">
            <v>6</v>
          </cell>
          <cell r="L94">
            <v>0</v>
          </cell>
          <cell r="M94">
            <v>6</v>
          </cell>
          <cell r="O94">
            <v>1189000</v>
          </cell>
          <cell r="P94">
            <v>2627000</v>
          </cell>
          <cell r="Q94">
            <v>2627000</v>
          </cell>
          <cell r="R94">
            <v>1028000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t="str">
            <v>令和3年4月1日</v>
          </cell>
          <cell r="AM94" t="str">
            <v>4号の9</v>
          </cell>
          <cell r="AN94" t="str">
            <v>有</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v>1</v>
          </cell>
          <cell r="BN94">
            <v>1</v>
          </cell>
          <cell r="BO94">
            <v>1</v>
          </cell>
          <cell r="BP94">
            <v>1</v>
          </cell>
          <cell r="BQ94">
            <v>1</v>
          </cell>
          <cell r="BR94">
            <v>1</v>
          </cell>
          <cell r="BS94">
            <v>1</v>
          </cell>
          <cell r="BT94">
            <v>1</v>
          </cell>
          <cell r="BU94">
            <v>1</v>
          </cell>
          <cell r="BV94">
            <v>1</v>
          </cell>
          <cell r="BW94">
            <v>1</v>
          </cell>
          <cell r="BX94">
            <v>1</v>
          </cell>
          <cell r="CK94">
            <v>0</v>
          </cell>
          <cell r="CL94">
            <v>0</v>
          </cell>
          <cell r="CM94">
            <v>0</v>
          </cell>
          <cell r="CN94">
            <v>0</v>
          </cell>
          <cell r="CO94">
            <v>0</v>
          </cell>
          <cell r="CP94">
            <v>0</v>
          </cell>
          <cell r="CQ94">
            <v>0</v>
          </cell>
          <cell r="CR94">
            <v>0</v>
          </cell>
          <cell r="CS94">
            <v>0</v>
          </cell>
          <cell r="CT94">
            <v>0</v>
          </cell>
          <cell r="CU94">
            <v>0</v>
          </cell>
          <cell r="CV94">
            <v>0</v>
          </cell>
          <cell r="CW94" t="str">
            <v>無</v>
          </cell>
          <cell r="CX94">
            <v>2</v>
          </cell>
          <cell r="CY94" t="str">
            <v>有</v>
          </cell>
          <cell r="CZ94" t="str">
            <v>有</v>
          </cell>
          <cell r="DA94" t="str">
            <v>有</v>
          </cell>
          <cell r="DB94" t="str">
            <v>有</v>
          </cell>
          <cell r="DC94" t="str">
            <v>有</v>
          </cell>
          <cell r="DD94" t="str">
            <v>有</v>
          </cell>
          <cell r="DE94" t="str">
            <v>有</v>
          </cell>
          <cell r="DF94" t="str">
            <v>有</v>
          </cell>
          <cell r="DG94" t="str">
            <v>有</v>
          </cell>
          <cell r="DH94" t="str">
            <v>有</v>
          </cell>
          <cell r="DI94" t="str">
            <v>有</v>
          </cell>
          <cell r="DJ94" t="str">
            <v>有</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有</v>
          </cell>
          <cell r="DX94" t="str">
            <v>有</v>
          </cell>
          <cell r="DY94" t="str">
            <v>有</v>
          </cell>
          <cell r="DZ94" t="str">
            <v>有</v>
          </cell>
          <cell r="EA94" t="str">
            <v>有</v>
          </cell>
          <cell r="EB94" t="str">
            <v>有</v>
          </cell>
          <cell r="EC94" t="str">
            <v>有</v>
          </cell>
          <cell r="ED94" t="str">
            <v>有</v>
          </cell>
          <cell r="EE94" t="str">
            <v>有</v>
          </cell>
          <cell r="EF94" t="str">
            <v>有</v>
          </cell>
          <cell r="EG94" t="str">
            <v>有</v>
          </cell>
          <cell r="EH94" t="str">
            <v>有</v>
          </cell>
          <cell r="EI94" t="str">
            <v>配置</v>
          </cell>
          <cell r="EJ94" t="str">
            <v>配置</v>
          </cell>
          <cell r="EK94" t="str">
            <v>配置</v>
          </cell>
          <cell r="EL94" t="str">
            <v>配置</v>
          </cell>
          <cell r="EM94" t="str">
            <v>配置</v>
          </cell>
          <cell r="EN94" t="str">
            <v>配置</v>
          </cell>
          <cell r="EO94" t="str">
            <v>配置</v>
          </cell>
          <cell r="EP94" t="str">
            <v>配置</v>
          </cell>
          <cell r="EQ94" t="str">
            <v>配置</v>
          </cell>
          <cell r="ER94" t="str">
            <v>配置</v>
          </cell>
          <cell r="ES94" t="str">
            <v>配置</v>
          </cell>
          <cell r="ET94" t="str">
            <v>配置</v>
          </cell>
          <cell r="EU94">
            <v>76960</v>
          </cell>
          <cell r="EV94">
            <v>76960</v>
          </cell>
          <cell r="EW94">
            <v>76960</v>
          </cell>
          <cell r="EX94">
            <v>76960</v>
          </cell>
          <cell r="EY94">
            <v>76960</v>
          </cell>
          <cell r="EZ94">
            <v>76960</v>
          </cell>
          <cell r="FA94">
            <v>76960</v>
          </cell>
          <cell r="FB94">
            <v>76960</v>
          </cell>
          <cell r="FC94">
            <v>76960</v>
          </cell>
          <cell r="FD94">
            <v>76960</v>
          </cell>
          <cell r="FE94">
            <v>76960</v>
          </cell>
          <cell r="FF94">
            <v>76960</v>
          </cell>
        </row>
        <row r="95">
          <cell r="C95">
            <v>91</v>
          </cell>
          <cell r="D95" t="str">
            <v>千葉こども保育園</v>
          </cell>
          <cell r="E95" t="str">
            <v>無</v>
          </cell>
          <cell r="F95">
            <v>36</v>
          </cell>
          <cell r="H95">
            <v>18</v>
          </cell>
          <cell r="I95">
            <v>18</v>
          </cell>
          <cell r="O95">
            <v>1189000</v>
          </cell>
          <cell r="P95">
            <v>2627000</v>
          </cell>
          <cell r="Q95">
            <v>2627000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t="str">
            <v>令和3年4月1日</v>
          </cell>
          <cell r="AM95" t="str">
            <v>4号の10</v>
          </cell>
          <cell r="AN95" t="str">
            <v>有</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v>1</v>
          </cell>
          <cell r="BN95">
            <v>1</v>
          </cell>
          <cell r="BO95">
            <v>1</v>
          </cell>
          <cell r="BP95">
            <v>1</v>
          </cell>
          <cell r="BQ95">
            <v>1</v>
          </cell>
          <cell r="BR95">
            <v>1</v>
          </cell>
          <cell r="BS95">
            <v>1</v>
          </cell>
          <cell r="BT95">
            <v>1</v>
          </cell>
          <cell r="BU95">
            <v>1</v>
          </cell>
          <cell r="BV95">
            <v>1</v>
          </cell>
          <cell r="BW95">
            <v>1</v>
          </cell>
          <cell r="BX95">
            <v>1</v>
          </cell>
          <cell r="CK95">
            <v>0</v>
          </cell>
          <cell r="CL95">
            <v>0</v>
          </cell>
          <cell r="CM95">
            <v>0</v>
          </cell>
          <cell r="CN95">
            <v>0</v>
          </cell>
          <cell r="CO95">
            <v>0</v>
          </cell>
          <cell r="CP95">
            <v>0</v>
          </cell>
          <cell r="CQ95">
            <v>0</v>
          </cell>
          <cell r="CR95">
            <v>0</v>
          </cell>
          <cell r="CS95">
            <v>0</v>
          </cell>
          <cell r="CT95">
            <v>0</v>
          </cell>
          <cell r="CU95">
            <v>0</v>
          </cell>
          <cell r="CV95">
            <v>0</v>
          </cell>
          <cell r="CW95" t="str">
            <v>無</v>
          </cell>
          <cell r="CX95">
            <v>0</v>
          </cell>
          <cell r="CY95" t="str">
            <v>有</v>
          </cell>
          <cell r="CZ95" t="str">
            <v>有</v>
          </cell>
          <cell r="DA95" t="str">
            <v>有</v>
          </cell>
          <cell r="DB95" t="str">
            <v>有</v>
          </cell>
          <cell r="DC95" t="str">
            <v>有</v>
          </cell>
          <cell r="DD95" t="str">
            <v>有</v>
          </cell>
          <cell r="DE95" t="str">
            <v>有</v>
          </cell>
          <cell r="DF95" t="str">
            <v>有</v>
          </cell>
          <cell r="DG95" t="str">
            <v>有</v>
          </cell>
          <cell r="DH95" t="str">
            <v>有</v>
          </cell>
          <cell r="DI95" t="str">
            <v>有</v>
          </cell>
          <cell r="DJ95" t="str">
            <v>有</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有</v>
          </cell>
          <cell r="DX95" t="str">
            <v>有</v>
          </cell>
          <cell r="DY95" t="str">
            <v>有</v>
          </cell>
          <cell r="DZ95" t="str">
            <v>有</v>
          </cell>
          <cell r="EA95" t="str">
            <v>有</v>
          </cell>
          <cell r="EB95" t="str">
            <v>有</v>
          </cell>
          <cell r="EC95" t="str">
            <v>有</v>
          </cell>
          <cell r="ED95" t="str">
            <v>有</v>
          </cell>
          <cell r="EE95" t="str">
            <v>有</v>
          </cell>
          <cell r="EF95" t="str">
            <v>有</v>
          </cell>
          <cell r="EG95" t="str">
            <v>有</v>
          </cell>
          <cell r="EH95" t="str">
            <v>有</v>
          </cell>
          <cell r="EI95" t="str">
            <v>配置</v>
          </cell>
          <cell r="EJ95" t="str">
            <v>配置</v>
          </cell>
          <cell r="EK95" t="str">
            <v>配置</v>
          </cell>
          <cell r="EL95" t="str">
            <v>配置</v>
          </cell>
          <cell r="EM95" t="str">
            <v>配置</v>
          </cell>
          <cell r="EN95" t="str">
            <v>配置</v>
          </cell>
          <cell r="EO95" t="str">
            <v>配置</v>
          </cell>
          <cell r="EP95" t="str">
            <v>配置</v>
          </cell>
          <cell r="EQ95" t="str">
            <v>配置</v>
          </cell>
          <cell r="ER95" t="str">
            <v>配置</v>
          </cell>
          <cell r="ES95" t="str">
            <v>配置</v>
          </cell>
          <cell r="ET95" t="str">
            <v>配置</v>
          </cell>
          <cell r="EU95">
            <v>76960</v>
          </cell>
          <cell r="EV95">
            <v>76960</v>
          </cell>
          <cell r="EW95">
            <v>76960</v>
          </cell>
          <cell r="EX95">
            <v>76960</v>
          </cell>
          <cell r="EY95">
            <v>76960</v>
          </cell>
          <cell r="EZ95">
            <v>76960</v>
          </cell>
          <cell r="FA95">
            <v>76960</v>
          </cell>
          <cell r="FB95">
            <v>76960</v>
          </cell>
          <cell r="FC95">
            <v>76960</v>
          </cell>
          <cell r="FD95">
            <v>76960</v>
          </cell>
          <cell r="FE95">
            <v>76960</v>
          </cell>
          <cell r="FF95">
            <v>76960</v>
          </cell>
        </row>
        <row r="96">
          <cell r="C96">
            <v>92</v>
          </cell>
          <cell r="D96" t="str">
            <v>にじのいろ保育園</v>
          </cell>
          <cell r="E96" t="str">
            <v>無</v>
          </cell>
          <cell r="F96">
            <v>40</v>
          </cell>
          <cell r="H96">
            <v>21</v>
          </cell>
          <cell r="I96">
            <v>19</v>
          </cell>
          <cell r="O96">
            <v>1189000</v>
          </cell>
          <cell r="P96">
            <v>2627000</v>
          </cell>
          <cell r="Q96">
            <v>2627000</v>
          </cell>
          <cell r="R96">
            <v>1631000</v>
          </cell>
          <cell r="S96">
            <v>0</v>
          </cell>
          <cell r="T96">
            <v>1982000</v>
          </cell>
          <cell r="U96">
            <v>0</v>
          </cell>
          <cell r="V96">
            <v>792000</v>
          </cell>
          <cell r="W96">
            <v>1751000</v>
          </cell>
          <cell r="X96">
            <v>1751000</v>
          </cell>
          <cell r="Y96">
            <v>1087000</v>
          </cell>
          <cell r="Z96">
            <v>0</v>
          </cell>
          <cell r="AA96">
            <v>1321000</v>
          </cell>
          <cell r="AB96">
            <v>0</v>
          </cell>
          <cell r="AC96">
            <v>397000</v>
          </cell>
          <cell r="AD96">
            <v>876000</v>
          </cell>
          <cell r="AE96">
            <v>876000</v>
          </cell>
          <cell r="AF96">
            <v>544000</v>
          </cell>
          <cell r="AG96">
            <v>0</v>
          </cell>
          <cell r="AH96">
            <v>661000</v>
          </cell>
          <cell r="AI96">
            <v>0</v>
          </cell>
          <cell r="AJ96" t="str">
            <v>令和3年4月1日</v>
          </cell>
          <cell r="AK96" t="str">
            <v>令和3年5月31日交付</v>
          </cell>
          <cell r="AL96" t="str">
            <v>令和3年10月29日交付</v>
          </cell>
          <cell r="AM96" t="str">
            <v>4号の11</v>
          </cell>
          <cell r="AN96" t="str">
            <v>有</v>
          </cell>
          <cell r="AO96" t="str">
            <v>一般型</v>
          </cell>
          <cell r="AP96" t="str">
            <v>一般型</v>
          </cell>
          <cell r="AQ96" t="str">
            <v>一般型</v>
          </cell>
          <cell r="AR96" t="str">
            <v>一般型</v>
          </cell>
          <cell r="AS96" t="str">
            <v>一般型</v>
          </cell>
          <cell r="AT96" t="str">
            <v>一般型</v>
          </cell>
          <cell r="AU96" t="str">
            <v>一般型</v>
          </cell>
          <cell r="AV96" t="str">
            <v>一般型</v>
          </cell>
          <cell r="AW96" t="str">
            <v>一般型</v>
          </cell>
          <cell r="AX96" t="str">
            <v>一般型</v>
          </cell>
          <cell r="AY96" t="str">
            <v>一般型</v>
          </cell>
          <cell r="AZ96" t="str">
            <v>一般型</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v>2</v>
          </cell>
          <cell r="BN96">
            <v>2</v>
          </cell>
          <cell r="BO96">
            <v>2</v>
          </cell>
          <cell r="BP96">
            <v>2</v>
          </cell>
          <cell r="BQ96">
            <v>2</v>
          </cell>
          <cell r="BR96">
            <v>2</v>
          </cell>
          <cell r="BS96">
            <v>2</v>
          </cell>
          <cell r="BT96">
            <v>2</v>
          </cell>
          <cell r="BU96">
            <v>2</v>
          </cell>
          <cell r="BV96">
            <v>2</v>
          </cell>
          <cell r="BW96">
            <v>2</v>
          </cell>
          <cell r="BX96">
            <v>2</v>
          </cell>
          <cell r="CK96">
            <v>0</v>
          </cell>
          <cell r="CL96">
            <v>0</v>
          </cell>
          <cell r="CM96">
            <v>0</v>
          </cell>
          <cell r="CN96">
            <v>0</v>
          </cell>
          <cell r="CO96">
            <v>0</v>
          </cell>
          <cell r="CP96">
            <v>0</v>
          </cell>
          <cell r="CQ96">
            <v>0</v>
          </cell>
          <cell r="CR96">
            <v>0</v>
          </cell>
          <cell r="CS96">
            <v>0</v>
          </cell>
          <cell r="CT96">
            <v>0</v>
          </cell>
          <cell r="CU96">
            <v>0</v>
          </cell>
          <cell r="CV96">
            <v>0</v>
          </cell>
          <cell r="CW96" t="str">
            <v>無</v>
          </cell>
          <cell r="CX96">
            <v>0</v>
          </cell>
          <cell r="CY96" t="str">
            <v>有</v>
          </cell>
          <cell r="CZ96" t="str">
            <v>有</v>
          </cell>
          <cell r="DA96" t="str">
            <v>有</v>
          </cell>
          <cell r="DB96" t="str">
            <v>有</v>
          </cell>
          <cell r="DC96" t="str">
            <v>有</v>
          </cell>
          <cell r="DD96" t="str">
            <v>有</v>
          </cell>
          <cell r="DE96" t="str">
            <v>有</v>
          </cell>
          <cell r="DF96" t="str">
            <v>有</v>
          </cell>
          <cell r="DG96" t="str">
            <v>有</v>
          </cell>
          <cell r="DH96" t="str">
            <v>有</v>
          </cell>
          <cell r="DI96" t="str">
            <v>有</v>
          </cell>
          <cell r="DJ96" t="str">
            <v>有</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有</v>
          </cell>
          <cell r="DX96" t="str">
            <v>有</v>
          </cell>
          <cell r="DY96" t="str">
            <v>有</v>
          </cell>
          <cell r="DZ96" t="str">
            <v>有</v>
          </cell>
          <cell r="EA96" t="str">
            <v>有</v>
          </cell>
          <cell r="EB96" t="str">
            <v>有</v>
          </cell>
          <cell r="EC96" t="str">
            <v>有</v>
          </cell>
          <cell r="ED96" t="str">
            <v>有</v>
          </cell>
          <cell r="EE96" t="str">
            <v>有</v>
          </cell>
          <cell r="EF96" t="str">
            <v>有</v>
          </cell>
          <cell r="EG96" t="str">
            <v>有</v>
          </cell>
          <cell r="EH96" t="str">
            <v>有</v>
          </cell>
          <cell r="EI96" t="str">
            <v>兼務</v>
          </cell>
          <cell r="EJ96" t="str">
            <v>兼務</v>
          </cell>
          <cell r="EK96" t="str">
            <v>兼務</v>
          </cell>
          <cell r="EL96" t="str">
            <v>兼務</v>
          </cell>
          <cell r="EM96" t="str">
            <v>兼務</v>
          </cell>
          <cell r="EN96" t="str">
            <v>兼務</v>
          </cell>
          <cell r="EO96" t="str">
            <v>兼務</v>
          </cell>
          <cell r="EP96" t="str">
            <v>兼務</v>
          </cell>
          <cell r="EQ96" t="str">
            <v>兼務</v>
          </cell>
          <cell r="ER96" t="str">
            <v>兼務</v>
          </cell>
          <cell r="ES96" t="str">
            <v>兼務</v>
          </cell>
          <cell r="ET96" t="str">
            <v>兼務</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row>
        <row r="97">
          <cell r="C97">
            <v>93</v>
          </cell>
          <cell r="D97" t="str">
            <v>日乃出保育園</v>
          </cell>
          <cell r="E97" t="str">
            <v>無</v>
          </cell>
          <cell r="F97">
            <v>36</v>
          </cell>
          <cell r="H97">
            <v>18</v>
          </cell>
          <cell r="I97">
            <v>18</v>
          </cell>
          <cell r="O97">
            <v>1189000</v>
          </cell>
          <cell r="P97">
            <v>2627000</v>
          </cell>
          <cell r="Q97">
            <v>2627000</v>
          </cell>
          <cell r="R97">
            <v>1631000</v>
          </cell>
          <cell r="S97">
            <v>0</v>
          </cell>
          <cell r="T97">
            <v>1982000</v>
          </cell>
          <cell r="U97">
            <v>0</v>
          </cell>
          <cell r="V97">
            <v>792000</v>
          </cell>
          <cell r="W97">
            <v>1751000</v>
          </cell>
          <cell r="X97">
            <v>1751000</v>
          </cell>
          <cell r="Y97">
            <v>1087000</v>
          </cell>
          <cell r="Z97">
            <v>0</v>
          </cell>
          <cell r="AA97">
            <v>1321000</v>
          </cell>
          <cell r="AB97">
            <v>0</v>
          </cell>
          <cell r="AC97">
            <v>0</v>
          </cell>
          <cell r="AD97">
            <v>0</v>
          </cell>
          <cell r="AE97">
            <v>0</v>
          </cell>
          <cell r="AF97">
            <v>0</v>
          </cell>
          <cell r="AG97">
            <v>0</v>
          </cell>
          <cell r="AH97">
            <v>0</v>
          </cell>
          <cell r="AI97">
            <v>0</v>
          </cell>
          <cell r="AJ97" t="str">
            <v>令和3年4月1日</v>
          </cell>
          <cell r="AK97" t="str">
            <v>令和3年5月31日交付</v>
          </cell>
          <cell r="AM97" t="str">
            <v>4号の12</v>
          </cell>
          <cell r="AN97" t="str">
            <v>有</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v>2</v>
          </cell>
          <cell r="BN97">
            <v>2</v>
          </cell>
          <cell r="BO97">
            <v>2</v>
          </cell>
          <cell r="BP97">
            <v>2</v>
          </cell>
          <cell r="BQ97">
            <v>2</v>
          </cell>
          <cell r="BR97">
            <v>2</v>
          </cell>
          <cell r="BS97">
            <v>2</v>
          </cell>
          <cell r="BT97">
            <v>2</v>
          </cell>
          <cell r="BU97">
            <v>2</v>
          </cell>
          <cell r="BV97">
            <v>2</v>
          </cell>
          <cell r="BW97">
            <v>2</v>
          </cell>
          <cell r="BX97">
            <v>2</v>
          </cell>
          <cell r="CK97">
            <v>0</v>
          </cell>
          <cell r="CL97">
            <v>0</v>
          </cell>
          <cell r="CM97">
            <v>0</v>
          </cell>
          <cell r="CN97">
            <v>0</v>
          </cell>
          <cell r="CO97">
            <v>0</v>
          </cell>
          <cell r="CP97">
            <v>0</v>
          </cell>
          <cell r="CQ97">
            <v>0</v>
          </cell>
          <cell r="CR97">
            <v>0</v>
          </cell>
          <cell r="CS97">
            <v>0</v>
          </cell>
          <cell r="CT97">
            <v>0</v>
          </cell>
          <cell r="CU97">
            <v>0</v>
          </cell>
          <cell r="CV97">
            <v>0</v>
          </cell>
          <cell r="CW97" t="str">
            <v>無</v>
          </cell>
          <cell r="CX97">
            <v>0</v>
          </cell>
          <cell r="CY97" t="str">
            <v>有</v>
          </cell>
          <cell r="CZ97" t="str">
            <v>有</v>
          </cell>
          <cell r="DA97" t="str">
            <v>有</v>
          </cell>
          <cell r="DB97" t="str">
            <v>有</v>
          </cell>
          <cell r="DC97" t="str">
            <v>有</v>
          </cell>
          <cell r="DD97" t="str">
            <v>有</v>
          </cell>
          <cell r="DE97" t="str">
            <v>有</v>
          </cell>
          <cell r="DF97" t="str">
            <v>有</v>
          </cell>
          <cell r="DG97" t="str">
            <v>有</v>
          </cell>
          <cell r="DH97" t="str">
            <v>有</v>
          </cell>
          <cell r="DI97" t="str">
            <v>有</v>
          </cell>
          <cell r="DJ97" t="str">
            <v>有</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有</v>
          </cell>
          <cell r="DX97" t="str">
            <v>有</v>
          </cell>
          <cell r="DY97" t="str">
            <v>有</v>
          </cell>
          <cell r="DZ97" t="str">
            <v>有</v>
          </cell>
          <cell r="EA97" t="str">
            <v>有</v>
          </cell>
          <cell r="EB97" t="str">
            <v>有</v>
          </cell>
          <cell r="EC97" t="str">
            <v>有</v>
          </cell>
          <cell r="ED97" t="str">
            <v>有</v>
          </cell>
          <cell r="EE97" t="str">
            <v>有</v>
          </cell>
          <cell r="EF97" t="str">
            <v>有</v>
          </cell>
          <cell r="EG97" t="str">
            <v>有</v>
          </cell>
          <cell r="EH97" t="str">
            <v>有</v>
          </cell>
          <cell r="EI97" t="str">
            <v>配置</v>
          </cell>
          <cell r="EJ97" t="str">
            <v>配置</v>
          </cell>
          <cell r="EK97" t="str">
            <v>配置</v>
          </cell>
          <cell r="EL97" t="str">
            <v>配置</v>
          </cell>
          <cell r="EM97" t="str">
            <v>配置</v>
          </cell>
          <cell r="EN97" t="str">
            <v>配置</v>
          </cell>
          <cell r="EO97" t="str">
            <v>配置</v>
          </cell>
          <cell r="EP97" t="str">
            <v>配置</v>
          </cell>
          <cell r="EQ97" t="str">
            <v>配置</v>
          </cell>
          <cell r="ER97" t="str">
            <v>配置</v>
          </cell>
          <cell r="ES97" t="str">
            <v>配置</v>
          </cell>
          <cell r="ET97" t="str">
            <v>配置</v>
          </cell>
          <cell r="EU97">
            <v>76960</v>
          </cell>
          <cell r="EV97">
            <v>76960</v>
          </cell>
          <cell r="EW97">
            <v>76960</v>
          </cell>
          <cell r="EX97">
            <v>76960</v>
          </cell>
          <cell r="EY97">
            <v>76960</v>
          </cell>
          <cell r="EZ97">
            <v>76960</v>
          </cell>
          <cell r="FA97">
            <v>76960</v>
          </cell>
          <cell r="FB97">
            <v>76960</v>
          </cell>
          <cell r="FC97">
            <v>76960</v>
          </cell>
          <cell r="FD97">
            <v>76960</v>
          </cell>
          <cell r="FE97">
            <v>76960</v>
          </cell>
          <cell r="FF97">
            <v>76960</v>
          </cell>
        </row>
        <row r="98">
          <cell r="C98">
            <v>94</v>
          </cell>
          <cell r="D98" t="str">
            <v>スクルドエンジェル保育園稲毛園</v>
          </cell>
          <cell r="E98" t="str">
            <v>無</v>
          </cell>
          <cell r="F98">
            <v>30</v>
          </cell>
          <cell r="H98">
            <v>17</v>
          </cell>
          <cell r="I98">
            <v>13</v>
          </cell>
          <cell r="O98">
            <v>1189000</v>
          </cell>
          <cell r="P98">
            <v>2627000</v>
          </cell>
          <cell r="Q98">
            <v>0</v>
          </cell>
          <cell r="R98">
            <v>0</v>
          </cell>
          <cell r="S98">
            <v>0</v>
          </cell>
          <cell r="T98">
            <v>0</v>
          </cell>
          <cell r="U98">
            <v>0</v>
          </cell>
          <cell r="V98">
            <v>792000</v>
          </cell>
          <cell r="W98">
            <v>1751000</v>
          </cell>
          <cell r="X98">
            <v>0</v>
          </cell>
          <cell r="Y98">
            <v>0</v>
          </cell>
          <cell r="Z98">
            <v>0</v>
          </cell>
          <cell r="AA98">
            <v>0</v>
          </cell>
          <cell r="AB98">
            <v>0</v>
          </cell>
          <cell r="AC98">
            <v>0</v>
          </cell>
          <cell r="AD98">
            <v>0</v>
          </cell>
          <cell r="AE98">
            <v>0</v>
          </cell>
          <cell r="AF98">
            <v>0</v>
          </cell>
          <cell r="AG98">
            <v>0</v>
          </cell>
          <cell r="AH98">
            <v>0</v>
          </cell>
          <cell r="AI98">
            <v>0</v>
          </cell>
          <cell r="AJ98" t="str">
            <v>令和3年4月1日</v>
          </cell>
          <cell r="AK98" t="str">
            <v>令和3年5月31日交付</v>
          </cell>
          <cell r="AM98" t="str">
            <v>4号の13</v>
          </cell>
          <cell r="AN98" t="str">
            <v>有</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CW98" t="str">
            <v>無</v>
          </cell>
          <cell r="CX98">
            <v>4</v>
          </cell>
          <cell r="CY98" t="str">
            <v>有</v>
          </cell>
          <cell r="CZ98" t="str">
            <v>有</v>
          </cell>
          <cell r="DA98" t="str">
            <v>有</v>
          </cell>
          <cell r="DB98" t="str">
            <v>有</v>
          </cell>
          <cell r="DC98" t="str">
            <v>有</v>
          </cell>
          <cell r="DD98" t="str">
            <v>有</v>
          </cell>
          <cell r="DE98" t="str">
            <v>有</v>
          </cell>
          <cell r="DF98" t="str">
            <v>有</v>
          </cell>
          <cell r="DG98" t="str">
            <v>有</v>
          </cell>
          <cell r="DH98" t="str">
            <v>有</v>
          </cell>
          <cell r="DI98" t="str">
            <v>有</v>
          </cell>
          <cell r="DJ98" t="str">
            <v>有</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有</v>
          </cell>
          <cell r="DX98" t="str">
            <v>有</v>
          </cell>
          <cell r="DY98" t="str">
            <v>有</v>
          </cell>
          <cell r="DZ98" t="str">
            <v>有</v>
          </cell>
          <cell r="EA98" t="str">
            <v>有</v>
          </cell>
          <cell r="EB98" t="str">
            <v>有</v>
          </cell>
          <cell r="EC98" t="str">
            <v>有</v>
          </cell>
          <cell r="ED98" t="str">
            <v>有</v>
          </cell>
          <cell r="EE98" t="str">
            <v>有</v>
          </cell>
          <cell r="EF98" t="str">
            <v>有</v>
          </cell>
          <cell r="EG98" t="str">
            <v>有</v>
          </cell>
          <cell r="EH98" t="str">
            <v>有</v>
          </cell>
          <cell r="EI98" t="str">
            <v>兼務</v>
          </cell>
          <cell r="EJ98" t="str">
            <v>兼務</v>
          </cell>
          <cell r="EK98" t="str">
            <v>兼務</v>
          </cell>
          <cell r="EL98" t="str">
            <v>兼務</v>
          </cell>
          <cell r="EM98" t="str">
            <v>兼務</v>
          </cell>
          <cell r="EN98" t="str">
            <v>兼務</v>
          </cell>
          <cell r="EO98" t="str">
            <v>兼務</v>
          </cell>
          <cell r="EP98" t="str">
            <v>兼務</v>
          </cell>
          <cell r="EQ98" t="str">
            <v>兼務</v>
          </cell>
          <cell r="ER98" t="str">
            <v>兼務</v>
          </cell>
          <cell r="ES98" t="str">
            <v>兼務</v>
          </cell>
          <cell r="ET98" t="str">
            <v>兼務</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C99">
            <v>95</v>
          </cell>
          <cell r="D99" t="str">
            <v>ＫＯＲＵ保育園</v>
          </cell>
          <cell r="E99" t="str">
            <v>無</v>
          </cell>
          <cell r="F99">
            <v>36</v>
          </cell>
          <cell r="H99">
            <v>21</v>
          </cell>
          <cell r="I99">
            <v>15</v>
          </cell>
          <cell r="O99">
            <v>585000</v>
          </cell>
          <cell r="P99">
            <v>0</v>
          </cell>
          <cell r="Q99">
            <v>0</v>
          </cell>
          <cell r="R99">
            <v>0</v>
          </cell>
          <cell r="S99">
            <v>0</v>
          </cell>
          <cell r="T99">
            <v>0</v>
          </cell>
          <cell r="U99">
            <v>0</v>
          </cell>
          <cell r="V99">
            <v>390000</v>
          </cell>
          <cell r="W99">
            <v>0</v>
          </cell>
          <cell r="X99">
            <v>0</v>
          </cell>
          <cell r="Y99">
            <v>0</v>
          </cell>
          <cell r="Z99">
            <v>0</v>
          </cell>
          <cell r="AA99">
            <v>0</v>
          </cell>
          <cell r="AB99">
            <v>0</v>
          </cell>
          <cell r="AC99">
            <v>195000</v>
          </cell>
          <cell r="AD99">
            <v>0</v>
          </cell>
          <cell r="AE99">
            <v>0</v>
          </cell>
          <cell r="AF99">
            <v>0</v>
          </cell>
          <cell r="AG99">
            <v>0</v>
          </cell>
          <cell r="AH99">
            <v>0</v>
          </cell>
          <cell r="AI99">
            <v>0</v>
          </cell>
          <cell r="AJ99" t="str">
            <v>令和3年4月1日</v>
          </cell>
          <cell r="AK99" t="str">
            <v>令和3年5月31日交付</v>
          </cell>
          <cell r="AL99" t="str">
            <v>令和3年10月29日交付</v>
          </cell>
          <cell r="AM99" t="str">
            <v>4号の14</v>
          </cell>
          <cell r="AN99" t="str">
            <v>有</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CW99" t="str">
            <v>無</v>
          </cell>
          <cell r="CX99">
            <v>3</v>
          </cell>
          <cell r="CY99" t="str">
            <v>有</v>
          </cell>
          <cell r="CZ99" t="str">
            <v>有</v>
          </cell>
          <cell r="DA99" t="str">
            <v>有</v>
          </cell>
          <cell r="DB99" t="str">
            <v>有</v>
          </cell>
          <cell r="DC99" t="str">
            <v>有</v>
          </cell>
          <cell r="DD99" t="str">
            <v>有</v>
          </cell>
          <cell r="DE99" t="str">
            <v>有</v>
          </cell>
          <cell r="DF99" t="str">
            <v>有</v>
          </cell>
          <cell r="DG99" t="str">
            <v>有</v>
          </cell>
          <cell r="DH99" t="str">
            <v>有</v>
          </cell>
          <cell r="DI99" t="str">
            <v>有</v>
          </cell>
          <cell r="DJ99" t="str">
            <v>有</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有</v>
          </cell>
          <cell r="DX99" t="str">
            <v>有</v>
          </cell>
          <cell r="DY99" t="str">
            <v>有</v>
          </cell>
          <cell r="DZ99" t="str">
            <v>有</v>
          </cell>
          <cell r="EA99" t="str">
            <v>有</v>
          </cell>
          <cell r="EB99" t="str">
            <v>有</v>
          </cell>
          <cell r="EC99" t="str">
            <v>有</v>
          </cell>
          <cell r="ED99" t="str">
            <v>有</v>
          </cell>
          <cell r="EE99" t="str">
            <v>有</v>
          </cell>
          <cell r="EF99" t="str">
            <v>有</v>
          </cell>
          <cell r="EG99" t="str">
            <v>有</v>
          </cell>
          <cell r="EH99" t="str">
            <v>有</v>
          </cell>
          <cell r="EI99" t="str">
            <v>配置</v>
          </cell>
          <cell r="EJ99" t="str">
            <v>配置</v>
          </cell>
          <cell r="EK99" t="str">
            <v>配置</v>
          </cell>
          <cell r="EL99" t="str">
            <v>配置</v>
          </cell>
          <cell r="EM99" t="str">
            <v>配置</v>
          </cell>
          <cell r="EN99" t="str">
            <v>配置</v>
          </cell>
          <cell r="EO99" t="str">
            <v>配置</v>
          </cell>
          <cell r="EP99" t="str">
            <v>配置</v>
          </cell>
          <cell r="EQ99" t="str">
            <v>配置</v>
          </cell>
          <cell r="ER99" t="str">
            <v>配置</v>
          </cell>
          <cell r="ES99" t="str">
            <v>配置</v>
          </cell>
          <cell r="ET99" t="str">
            <v>配置</v>
          </cell>
          <cell r="EU99">
            <v>76960</v>
          </cell>
          <cell r="EV99">
            <v>76960</v>
          </cell>
          <cell r="EW99">
            <v>76960</v>
          </cell>
          <cell r="EX99">
            <v>76960</v>
          </cell>
          <cell r="EY99">
            <v>76960</v>
          </cell>
          <cell r="EZ99">
            <v>76960</v>
          </cell>
          <cell r="FA99">
            <v>76960</v>
          </cell>
          <cell r="FB99">
            <v>76960</v>
          </cell>
          <cell r="FC99">
            <v>76960</v>
          </cell>
          <cell r="FD99">
            <v>76960</v>
          </cell>
          <cell r="FE99">
            <v>76960</v>
          </cell>
          <cell r="FF99">
            <v>76960</v>
          </cell>
        </row>
        <row r="100">
          <cell r="C100">
            <v>96</v>
          </cell>
          <cell r="D100" t="str">
            <v>都賀せいわ保育園</v>
          </cell>
          <cell r="E100" t="str">
            <v>無</v>
          </cell>
          <cell r="F100">
            <v>20</v>
          </cell>
          <cell r="H100">
            <v>11</v>
          </cell>
          <cell r="I100">
            <v>9</v>
          </cell>
          <cell r="O100">
            <v>1189000</v>
          </cell>
          <cell r="P100">
            <v>2627000</v>
          </cell>
          <cell r="Q100">
            <v>2627000</v>
          </cell>
          <cell r="R100">
            <v>0</v>
          </cell>
          <cell r="S100">
            <v>0</v>
          </cell>
          <cell r="T100">
            <v>0</v>
          </cell>
          <cell r="U100">
            <v>0</v>
          </cell>
          <cell r="V100">
            <v>792000</v>
          </cell>
          <cell r="W100">
            <v>1751000</v>
          </cell>
          <cell r="X100">
            <v>1751000</v>
          </cell>
          <cell r="Y100">
            <v>0</v>
          </cell>
          <cell r="Z100">
            <v>0</v>
          </cell>
          <cell r="AA100">
            <v>0</v>
          </cell>
          <cell r="AB100">
            <v>0</v>
          </cell>
          <cell r="AC100">
            <v>0</v>
          </cell>
          <cell r="AD100">
            <v>0</v>
          </cell>
          <cell r="AE100">
            <v>0</v>
          </cell>
          <cell r="AF100">
            <v>0</v>
          </cell>
          <cell r="AG100">
            <v>0</v>
          </cell>
          <cell r="AH100">
            <v>0</v>
          </cell>
          <cell r="AI100">
            <v>0</v>
          </cell>
          <cell r="AJ100" t="str">
            <v>令和3年4月1日</v>
          </cell>
          <cell r="AK100" t="str">
            <v>令和3年5月31日交付</v>
          </cell>
          <cell r="AM100" t="str">
            <v>4号の15</v>
          </cell>
          <cell r="AN100" t="str">
            <v>有</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v>1</v>
          </cell>
          <cell r="BN100">
            <v>1</v>
          </cell>
          <cell r="BO100">
            <v>1</v>
          </cell>
          <cell r="BP100">
            <v>1</v>
          </cell>
          <cell r="BQ100">
            <v>1</v>
          </cell>
          <cell r="BR100">
            <v>1</v>
          </cell>
          <cell r="BS100">
            <v>1</v>
          </cell>
          <cell r="BT100">
            <v>1</v>
          </cell>
          <cell r="BU100">
            <v>1</v>
          </cell>
          <cell r="BV100">
            <v>1</v>
          </cell>
          <cell r="BW100">
            <v>1</v>
          </cell>
          <cell r="BX100">
            <v>1</v>
          </cell>
          <cell r="CK100">
            <v>0</v>
          </cell>
          <cell r="CL100">
            <v>0</v>
          </cell>
          <cell r="CM100">
            <v>0</v>
          </cell>
          <cell r="CN100">
            <v>0</v>
          </cell>
          <cell r="CO100">
            <v>0</v>
          </cell>
          <cell r="CP100">
            <v>0</v>
          </cell>
          <cell r="CQ100">
            <v>0</v>
          </cell>
          <cell r="CR100">
            <v>0</v>
          </cell>
          <cell r="CS100">
            <v>0</v>
          </cell>
          <cell r="CT100">
            <v>0</v>
          </cell>
          <cell r="CU100">
            <v>0</v>
          </cell>
          <cell r="CV100">
            <v>0</v>
          </cell>
          <cell r="CW100" t="str">
            <v>無</v>
          </cell>
          <cell r="CX100">
            <v>0</v>
          </cell>
          <cell r="CY100" t="str">
            <v>無</v>
          </cell>
          <cell r="CZ100" t="str">
            <v>無</v>
          </cell>
          <cell r="DA100" t="str">
            <v>無</v>
          </cell>
          <cell r="DB100" t="str">
            <v>無</v>
          </cell>
          <cell r="DC100" t="str">
            <v>無</v>
          </cell>
          <cell r="DD100" t="str">
            <v>無</v>
          </cell>
          <cell r="DE100" t="str">
            <v>無</v>
          </cell>
          <cell r="DF100" t="str">
            <v>無</v>
          </cell>
          <cell r="DG100" t="str">
            <v>無</v>
          </cell>
          <cell r="DH100" t="str">
            <v>無</v>
          </cell>
          <cell r="DI100" t="str">
            <v>無</v>
          </cell>
          <cell r="DJ100" t="str">
            <v>無</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無</v>
          </cell>
          <cell r="DX100" t="str">
            <v>無</v>
          </cell>
          <cell r="DY100" t="str">
            <v>無</v>
          </cell>
          <cell r="DZ100" t="str">
            <v>無</v>
          </cell>
          <cell r="EA100" t="str">
            <v>無</v>
          </cell>
          <cell r="EB100" t="str">
            <v>無</v>
          </cell>
          <cell r="EC100" t="str">
            <v>無</v>
          </cell>
          <cell r="ED100" t="str">
            <v>無</v>
          </cell>
          <cell r="EE100" t="str">
            <v>無</v>
          </cell>
          <cell r="EF100" t="str">
            <v>無</v>
          </cell>
          <cell r="EG100" t="str">
            <v>無</v>
          </cell>
          <cell r="EH100" t="str">
            <v>無</v>
          </cell>
          <cell r="EU100" t="str">
            <v/>
          </cell>
          <cell r="EV100" t="str">
            <v/>
          </cell>
          <cell r="EW100" t="str">
            <v/>
          </cell>
          <cell r="EX100" t="str">
            <v/>
          </cell>
          <cell r="EY100" t="str">
            <v/>
          </cell>
          <cell r="EZ100" t="str">
            <v/>
          </cell>
          <cell r="FA100" t="str">
            <v/>
          </cell>
          <cell r="FB100" t="str">
            <v/>
          </cell>
          <cell r="FC100" t="str">
            <v/>
          </cell>
          <cell r="FD100" t="str">
            <v/>
          </cell>
          <cell r="FE100" t="str">
            <v/>
          </cell>
          <cell r="FF100" t="str">
            <v/>
          </cell>
        </row>
        <row r="101">
          <cell r="C101">
            <v>97</v>
          </cell>
          <cell r="D101" t="str">
            <v>やまどり保育園</v>
          </cell>
          <cell r="E101" t="str">
            <v>無</v>
          </cell>
          <cell r="F101">
            <v>48</v>
          </cell>
          <cell r="H101">
            <v>27</v>
          </cell>
          <cell r="I101">
            <v>21</v>
          </cell>
          <cell r="O101">
            <v>1189000</v>
          </cell>
          <cell r="P101">
            <v>2627000</v>
          </cell>
          <cell r="Q101">
            <v>2627000</v>
          </cell>
          <cell r="R101">
            <v>1631000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t="str">
            <v>令和3年4月1日</v>
          </cell>
          <cell r="AM101" t="str">
            <v>4号の16</v>
          </cell>
          <cell r="AN101" t="str">
            <v>有</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CW101" t="str">
            <v>無</v>
          </cell>
          <cell r="CX101">
            <v>1</v>
          </cell>
          <cell r="CY101" t="str">
            <v>無</v>
          </cell>
          <cell r="CZ101" t="str">
            <v>無</v>
          </cell>
          <cell r="DA101" t="str">
            <v>無</v>
          </cell>
          <cell r="DB101" t="str">
            <v>有</v>
          </cell>
          <cell r="DC101" t="str">
            <v>有</v>
          </cell>
          <cell r="DD101" t="str">
            <v>有</v>
          </cell>
          <cell r="DE101" t="str">
            <v>有</v>
          </cell>
          <cell r="DF101" t="str">
            <v>有</v>
          </cell>
          <cell r="DG101" t="str">
            <v>有</v>
          </cell>
          <cell r="DH101" t="str">
            <v>有</v>
          </cell>
          <cell r="DI101" t="str">
            <v>有</v>
          </cell>
          <cell r="DJ101" t="str">
            <v>有</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有</v>
          </cell>
          <cell r="DX101" t="str">
            <v>有</v>
          </cell>
          <cell r="DY101" t="str">
            <v>有</v>
          </cell>
          <cell r="DZ101" t="str">
            <v>有</v>
          </cell>
          <cell r="EA101" t="str">
            <v>有</v>
          </cell>
          <cell r="EB101" t="str">
            <v>有</v>
          </cell>
          <cell r="EC101" t="str">
            <v>有</v>
          </cell>
          <cell r="ED101" t="str">
            <v>有</v>
          </cell>
          <cell r="EE101" t="str">
            <v>有</v>
          </cell>
          <cell r="EF101" t="str">
            <v>有</v>
          </cell>
          <cell r="EG101" t="str">
            <v>有</v>
          </cell>
          <cell r="EH101" t="str">
            <v>有</v>
          </cell>
          <cell r="EI101" t="str">
            <v>嘱託</v>
          </cell>
          <cell r="EJ101" t="str">
            <v>嘱託</v>
          </cell>
          <cell r="EK101" t="str">
            <v>嘱託</v>
          </cell>
          <cell r="EL101" t="str">
            <v>嘱託</v>
          </cell>
          <cell r="EM101" t="str">
            <v>嘱託</v>
          </cell>
          <cell r="EN101" t="str">
            <v>嘱託</v>
          </cell>
          <cell r="EO101" t="str">
            <v>嘱託</v>
          </cell>
          <cell r="EP101" t="str">
            <v>嘱託</v>
          </cell>
          <cell r="EQ101" t="str">
            <v>嘱託</v>
          </cell>
          <cell r="ER101" t="str">
            <v>嘱託</v>
          </cell>
          <cell r="ES101" t="str">
            <v>嘱託</v>
          </cell>
          <cell r="ET101" t="str">
            <v>嘱託</v>
          </cell>
          <cell r="EU101" t="str">
            <v/>
          </cell>
          <cell r="EV101" t="str">
            <v/>
          </cell>
          <cell r="EW101" t="str">
            <v/>
          </cell>
          <cell r="EX101" t="str">
            <v/>
          </cell>
          <cell r="EY101" t="str">
            <v/>
          </cell>
          <cell r="EZ101" t="str">
            <v/>
          </cell>
          <cell r="FA101" t="str">
            <v/>
          </cell>
          <cell r="FB101" t="str">
            <v/>
          </cell>
          <cell r="FC101" t="str">
            <v/>
          </cell>
          <cell r="FD101" t="str">
            <v/>
          </cell>
          <cell r="FE101" t="str">
            <v/>
          </cell>
          <cell r="FF101" t="str">
            <v/>
          </cell>
        </row>
        <row r="102">
          <cell r="C102">
            <v>98</v>
          </cell>
          <cell r="D102" t="str">
            <v>マリア保育園</v>
          </cell>
          <cell r="E102" t="str">
            <v>無</v>
          </cell>
          <cell r="F102">
            <v>20</v>
          </cell>
          <cell r="H102">
            <v>0</v>
          </cell>
          <cell r="I102">
            <v>20</v>
          </cell>
          <cell r="O102">
            <v>1189000</v>
          </cell>
          <cell r="P102">
            <v>2627000</v>
          </cell>
          <cell r="Q102">
            <v>2627000</v>
          </cell>
          <cell r="R102">
            <v>1631000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t="str">
            <v>令和3年4月1日</v>
          </cell>
          <cell r="AM102" t="str">
            <v>4号の17</v>
          </cell>
          <cell r="AN102" t="str">
            <v>有</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CW102" t="str">
            <v>無</v>
          </cell>
          <cell r="CX102">
            <v>0</v>
          </cell>
          <cell r="CY102" t="str">
            <v>無</v>
          </cell>
          <cell r="CZ102" t="str">
            <v>無</v>
          </cell>
          <cell r="DA102" t="str">
            <v>無</v>
          </cell>
          <cell r="DB102" t="str">
            <v>無</v>
          </cell>
          <cell r="DC102" t="str">
            <v>無</v>
          </cell>
          <cell r="DD102" t="str">
            <v>無</v>
          </cell>
          <cell r="DE102" t="str">
            <v>無</v>
          </cell>
          <cell r="DF102" t="str">
            <v>無</v>
          </cell>
          <cell r="DG102" t="str">
            <v>無</v>
          </cell>
          <cell r="DH102" t="str">
            <v>無</v>
          </cell>
          <cell r="DI102" t="str">
            <v>無</v>
          </cell>
          <cell r="DJ102" t="str">
            <v>無</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無</v>
          </cell>
          <cell r="DX102" t="str">
            <v>無</v>
          </cell>
          <cell r="DY102" t="str">
            <v>無</v>
          </cell>
          <cell r="DZ102" t="str">
            <v>無</v>
          </cell>
          <cell r="EA102" t="str">
            <v>無</v>
          </cell>
          <cell r="EB102" t="str">
            <v>無</v>
          </cell>
          <cell r="EC102" t="str">
            <v>無</v>
          </cell>
          <cell r="ED102" t="str">
            <v>無</v>
          </cell>
          <cell r="EE102" t="str">
            <v>無</v>
          </cell>
          <cell r="EF102" t="str">
            <v>無</v>
          </cell>
          <cell r="EG102" t="str">
            <v>無</v>
          </cell>
          <cell r="EH102" t="str">
            <v>無</v>
          </cell>
          <cell r="EI102" t="str">
            <v>嘱託</v>
          </cell>
          <cell r="EJ102" t="str">
            <v>嘱託</v>
          </cell>
          <cell r="EK102" t="str">
            <v>嘱託</v>
          </cell>
          <cell r="EL102" t="str">
            <v>嘱託</v>
          </cell>
          <cell r="EM102" t="str">
            <v>嘱託</v>
          </cell>
          <cell r="EN102" t="str">
            <v>嘱託</v>
          </cell>
          <cell r="EO102" t="str">
            <v>嘱託</v>
          </cell>
          <cell r="EP102" t="str">
            <v>嘱託</v>
          </cell>
          <cell r="EQ102" t="str">
            <v>嘱託</v>
          </cell>
          <cell r="ER102" t="str">
            <v>嘱託</v>
          </cell>
          <cell r="ES102" t="str">
            <v>嘱託</v>
          </cell>
          <cell r="ET102" t="str">
            <v>嘱託</v>
          </cell>
          <cell r="EU102" t="str">
            <v/>
          </cell>
          <cell r="EV102" t="str">
            <v/>
          </cell>
          <cell r="EW102" t="str">
            <v/>
          </cell>
          <cell r="EX102" t="str">
            <v/>
          </cell>
          <cell r="EY102" t="str">
            <v/>
          </cell>
          <cell r="EZ102" t="str">
            <v/>
          </cell>
          <cell r="FA102" t="str">
            <v/>
          </cell>
          <cell r="FB102" t="str">
            <v/>
          </cell>
          <cell r="FC102" t="str">
            <v/>
          </cell>
          <cell r="FD102" t="str">
            <v/>
          </cell>
          <cell r="FE102" t="str">
            <v/>
          </cell>
          <cell r="FF102" t="str">
            <v/>
          </cell>
        </row>
        <row r="103">
          <cell r="C103">
            <v>99</v>
          </cell>
          <cell r="D103" t="str">
            <v>稲毛こどもの木保育園</v>
          </cell>
          <cell r="E103" t="str">
            <v>無</v>
          </cell>
          <cell r="F103">
            <v>36</v>
          </cell>
          <cell r="H103">
            <v>18</v>
          </cell>
          <cell r="I103">
            <v>18</v>
          </cell>
          <cell r="O103">
            <v>1189000</v>
          </cell>
          <cell r="P103">
            <v>2627000</v>
          </cell>
          <cell r="Q103">
            <v>2627000</v>
          </cell>
          <cell r="R103">
            <v>1028000</v>
          </cell>
          <cell r="S103">
            <v>0</v>
          </cell>
          <cell r="T103">
            <v>0</v>
          </cell>
          <cell r="U103">
            <v>0</v>
          </cell>
          <cell r="V103">
            <v>792000</v>
          </cell>
          <cell r="W103">
            <v>1751000</v>
          </cell>
          <cell r="X103">
            <v>1751000</v>
          </cell>
          <cell r="Y103">
            <v>685000</v>
          </cell>
          <cell r="Z103">
            <v>0</v>
          </cell>
          <cell r="AA103">
            <v>0</v>
          </cell>
          <cell r="AB103">
            <v>0</v>
          </cell>
          <cell r="AC103">
            <v>397000</v>
          </cell>
          <cell r="AD103">
            <v>876000</v>
          </cell>
          <cell r="AE103">
            <v>876000</v>
          </cell>
          <cell r="AF103">
            <v>343000</v>
          </cell>
          <cell r="AG103">
            <v>0</v>
          </cell>
          <cell r="AH103">
            <v>0</v>
          </cell>
          <cell r="AI103">
            <v>0</v>
          </cell>
          <cell r="AJ103" t="str">
            <v>令和3年4月1日</v>
          </cell>
          <cell r="AK103" t="str">
            <v>令和3年5月31日交付</v>
          </cell>
          <cell r="AL103" t="str">
            <v>令和3年10月29日交付</v>
          </cell>
          <cell r="AM103" t="str">
            <v>4号の18</v>
          </cell>
          <cell r="AN103" t="str">
            <v>有</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CW103" t="str">
            <v>無</v>
          </cell>
          <cell r="CX103">
            <v>0</v>
          </cell>
          <cell r="CY103" t="str">
            <v>有</v>
          </cell>
          <cell r="CZ103" t="str">
            <v>有</v>
          </cell>
          <cell r="DA103" t="str">
            <v>有</v>
          </cell>
          <cell r="DB103" t="str">
            <v>有</v>
          </cell>
          <cell r="DC103" t="str">
            <v>有</v>
          </cell>
          <cell r="DD103" t="str">
            <v>有</v>
          </cell>
          <cell r="DE103" t="str">
            <v>有</v>
          </cell>
          <cell r="DF103" t="str">
            <v>有</v>
          </cell>
          <cell r="DG103" t="str">
            <v>有</v>
          </cell>
          <cell r="DH103" t="str">
            <v>有</v>
          </cell>
          <cell r="DI103" t="str">
            <v>有</v>
          </cell>
          <cell r="DJ103" t="str">
            <v>有</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有</v>
          </cell>
          <cell r="DX103" t="str">
            <v>有</v>
          </cell>
          <cell r="DY103" t="str">
            <v>有</v>
          </cell>
          <cell r="DZ103" t="str">
            <v>有</v>
          </cell>
          <cell r="EA103" t="str">
            <v>有</v>
          </cell>
          <cell r="EB103" t="str">
            <v>有</v>
          </cell>
          <cell r="EC103" t="str">
            <v>有</v>
          </cell>
          <cell r="ED103" t="str">
            <v>有</v>
          </cell>
          <cell r="EE103" t="str">
            <v>有</v>
          </cell>
          <cell r="EF103" t="str">
            <v>有</v>
          </cell>
          <cell r="EG103" t="str">
            <v>有</v>
          </cell>
          <cell r="EH103" t="str">
            <v>有</v>
          </cell>
          <cell r="EI103" t="str">
            <v>配置</v>
          </cell>
          <cell r="EJ103" t="str">
            <v>配置</v>
          </cell>
          <cell r="EK103" t="str">
            <v>配置</v>
          </cell>
          <cell r="EL103" t="str">
            <v>配置</v>
          </cell>
          <cell r="EM103" t="str">
            <v>配置</v>
          </cell>
          <cell r="EN103" t="str">
            <v>配置</v>
          </cell>
          <cell r="EO103" t="str">
            <v>配置</v>
          </cell>
          <cell r="EP103" t="str">
            <v>配置</v>
          </cell>
          <cell r="EQ103" t="str">
            <v>配置</v>
          </cell>
          <cell r="ER103" t="str">
            <v>配置</v>
          </cell>
          <cell r="ES103" t="str">
            <v>配置</v>
          </cell>
          <cell r="ET103" t="str">
            <v>配置</v>
          </cell>
          <cell r="EU103">
            <v>76960</v>
          </cell>
          <cell r="EV103">
            <v>76960</v>
          </cell>
          <cell r="EW103">
            <v>76960</v>
          </cell>
          <cell r="EX103">
            <v>76960</v>
          </cell>
          <cell r="EY103">
            <v>76960</v>
          </cell>
          <cell r="EZ103">
            <v>76960</v>
          </cell>
          <cell r="FA103">
            <v>76960</v>
          </cell>
          <cell r="FB103">
            <v>76960</v>
          </cell>
          <cell r="FC103">
            <v>76960</v>
          </cell>
          <cell r="FD103">
            <v>76960</v>
          </cell>
          <cell r="FE103">
            <v>76960</v>
          </cell>
          <cell r="FF103">
            <v>76960</v>
          </cell>
        </row>
        <row r="104">
          <cell r="C104">
            <v>100</v>
          </cell>
          <cell r="D104" t="str">
            <v>アンファンジュール保育園おゆみ野</v>
          </cell>
          <cell r="E104" t="str">
            <v>無</v>
          </cell>
          <cell r="F104">
            <v>28</v>
          </cell>
          <cell r="H104">
            <v>15</v>
          </cell>
          <cell r="I104">
            <v>13</v>
          </cell>
          <cell r="O104">
            <v>1189000</v>
          </cell>
          <cell r="P104">
            <v>2627000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t="str">
            <v>令和3年4月1日</v>
          </cell>
          <cell r="AM104" t="str">
            <v>4号の19</v>
          </cell>
          <cell r="AN104" t="str">
            <v>有</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CW104" t="str">
            <v>無</v>
          </cell>
          <cell r="CX104">
            <v>0</v>
          </cell>
          <cell r="CY104" t="str">
            <v>無</v>
          </cell>
          <cell r="CZ104" t="str">
            <v>無</v>
          </cell>
          <cell r="DA104" t="str">
            <v>無</v>
          </cell>
          <cell r="DB104" t="str">
            <v>無</v>
          </cell>
          <cell r="DC104" t="str">
            <v>無</v>
          </cell>
          <cell r="DD104" t="str">
            <v>無</v>
          </cell>
          <cell r="DE104" t="str">
            <v>無</v>
          </cell>
          <cell r="DF104" t="str">
            <v>無</v>
          </cell>
          <cell r="DG104" t="str">
            <v>無</v>
          </cell>
          <cell r="DH104" t="str">
            <v>無</v>
          </cell>
          <cell r="DI104" t="str">
            <v>無</v>
          </cell>
          <cell r="DJ104" t="str">
            <v>無</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無</v>
          </cell>
          <cell r="DX104" t="str">
            <v>無</v>
          </cell>
          <cell r="DY104" t="str">
            <v>無</v>
          </cell>
          <cell r="DZ104" t="str">
            <v>無</v>
          </cell>
          <cell r="EA104" t="str">
            <v>無</v>
          </cell>
          <cell r="EB104" t="str">
            <v>無</v>
          </cell>
          <cell r="EC104" t="str">
            <v>無</v>
          </cell>
          <cell r="ED104" t="str">
            <v>無</v>
          </cell>
          <cell r="EE104" t="str">
            <v>無</v>
          </cell>
          <cell r="EF104" t="str">
            <v>無</v>
          </cell>
          <cell r="EG104" t="str">
            <v>無</v>
          </cell>
          <cell r="EH104" t="str">
            <v>無</v>
          </cell>
          <cell r="EU104" t="str">
            <v/>
          </cell>
          <cell r="EV104" t="str">
            <v/>
          </cell>
          <cell r="EW104" t="str">
            <v/>
          </cell>
          <cell r="EX104" t="str">
            <v/>
          </cell>
          <cell r="EY104" t="str">
            <v/>
          </cell>
          <cell r="EZ104" t="str">
            <v/>
          </cell>
          <cell r="FA104" t="str">
            <v/>
          </cell>
          <cell r="FB104" t="str">
            <v/>
          </cell>
          <cell r="FC104" t="str">
            <v/>
          </cell>
          <cell r="FD104" t="str">
            <v/>
          </cell>
          <cell r="FE104" t="str">
            <v/>
          </cell>
          <cell r="FF104" t="str">
            <v/>
          </cell>
        </row>
        <row r="105">
          <cell r="C105">
            <v>101</v>
          </cell>
          <cell r="D105" t="str">
            <v>キッズガーデン海浜幕張保育園</v>
          </cell>
          <cell r="E105" t="str">
            <v>無</v>
          </cell>
          <cell r="F105">
            <v>55</v>
          </cell>
          <cell r="H105">
            <v>33</v>
          </cell>
          <cell r="I105">
            <v>22</v>
          </cell>
          <cell r="O105">
            <v>1189000</v>
          </cell>
          <cell r="P105">
            <v>2627000</v>
          </cell>
          <cell r="Q105">
            <v>2627000</v>
          </cell>
          <cell r="R105">
            <v>1631000</v>
          </cell>
          <cell r="S105">
            <v>0</v>
          </cell>
          <cell r="T105">
            <v>0</v>
          </cell>
          <cell r="U105">
            <v>0</v>
          </cell>
          <cell r="V105">
            <v>792000</v>
          </cell>
          <cell r="W105">
            <v>1751000</v>
          </cell>
          <cell r="X105">
            <v>1751000</v>
          </cell>
          <cell r="Y105">
            <v>1087000</v>
          </cell>
          <cell r="Z105">
            <v>0</v>
          </cell>
          <cell r="AA105">
            <v>0</v>
          </cell>
          <cell r="AB105">
            <v>0</v>
          </cell>
          <cell r="AC105">
            <v>0</v>
          </cell>
          <cell r="AD105">
            <v>0</v>
          </cell>
          <cell r="AE105">
            <v>0</v>
          </cell>
          <cell r="AF105">
            <v>0</v>
          </cell>
          <cell r="AG105">
            <v>0</v>
          </cell>
          <cell r="AH105">
            <v>0</v>
          </cell>
          <cell r="AI105">
            <v>0</v>
          </cell>
          <cell r="AJ105" t="str">
            <v>令和3年4月1日</v>
          </cell>
          <cell r="AK105" t="str">
            <v>令和3年5月31日交付</v>
          </cell>
          <cell r="AM105" t="str">
            <v>4号の20</v>
          </cell>
          <cell r="AN105" t="str">
            <v>有</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Q105">
            <v>1</v>
          </cell>
          <cell r="BR105">
            <v>1</v>
          </cell>
          <cell r="BS105">
            <v>1</v>
          </cell>
          <cell r="BT105">
            <v>1</v>
          </cell>
          <cell r="BU105">
            <v>1</v>
          </cell>
          <cell r="BV105">
            <v>1</v>
          </cell>
          <cell r="BW105">
            <v>1</v>
          </cell>
          <cell r="BX105">
            <v>1</v>
          </cell>
          <cell r="CO105">
            <v>0</v>
          </cell>
          <cell r="CP105">
            <v>0</v>
          </cell>
          <cell r="CQ105">
            <v>0</v>
          </cell>
          <cell r="CR105">
            <v>0</v>
          </cell>
          <cell r="CS105">
            <v>0</v>
          </cell>
          <cell r="CT105">
            <v>0</v>
          </cell>
          <cell r="CU105">
            <v>0</v>
          </cell>
          <cell r="CV105">
            <v>0</v>
          </cell>
          <cell r="CW105" t="str">
            <v>無</v>
          </cell>
          <cell r="CX105">
            <v>0</v>
          </cell>
          <cell r="CY105" t="str">
            <v>有</v>
          </cell>
          <cell r="CZ105" t="str">
            <v>有</v>
          </cell>
          <cell r="DA105" t="str">
            <v>有</v>
          </cell>
          <cell r="DB105" t="str">
            <v>有</v>
          </cell>
          <cell r="DC105" t="str">
            <v>有</v>
          </cell>
          <cell r="DD105" t="str">
            <v>有</v>
          </cell>
          <cell r="DE105" t="str">
            <v>有</v>
          </cell>
          <cell r="DF105" t="str">
            <v>有</v>
          </cell>
          <cell r="DG105" t="str">
            <v>有</v>
          </cell>
          <cell r="DH105" t="str">
            <v>有</v>
          </cell>
          <cell r="DI105" t="str">
            <v>有</v>
          </cell>
          <cell r="DJ105" t="str">
            <v>有</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有</v>
          </cell>
          <cell r="DX105" t="str">
            <v>有</v>
          </cell>
          <cell r="DY105" t="str">
            <v>有</v>
          </cell>
          <cell r="DZ105" t="str">
            <v>有</v>
          </cell>
          <cell r="EA105" t="str">
            <v>有</v>
          </cell>
          <cell r="EB105" t="str">
            <v>有</v>
          </cell>
          <cell r="EC105" t="str">
            <v>有</v>
          </cell>
          <cell r="ED105" t="str">
            <v>有</v>
          </cell>
          <cell r="EE105" t="str">
            <v>有</v>
          </cell>
          <cell r="EF105" t="str">
            <v>有</v>
          </cell>
          <cell r="EG105" t="str">
            <v>有</v>
          </cell>
          <cell r="EH105" t="str">
            <v>有</v>
          </cell>
          <cell r="EU105" t="str">
            <v/>
          </cell>
          <cell r="EV105" t="str">
            <v/>
          </cell>
          <cell r="EW105" t="str">
            <v/>
          </cell>
          <cell r="EX105" t="str">
            <v/>
          </cell>
          <cell r="EY105" t="str">
            <v/>
          </cell>
          <cell r="EZ105" t="str">
            <v/>
          </cell>
          <cell r="FA105" t="str">
            <v/>
          </cell>
          <cell r="FB105" t="str">
            <v/>
          </cell>
          <cell r="FC105" t="str">
            <v/>
          </cell>
          <cell r="FD105" t="str">
            <v/>
          </cell>
          <cell r="FE105" t="str">
            <v/>
          </cell>
          <cell r="FF105" t="str">
            <v/>
          </cell>
        </row>
        <row r="106">
          <cell r="C106">
            <v>102</v>
          </cell>
          <cell r="D106" t="str">
            <v>検見川わくわく保育園</v>
          </cell>
          <cell r="E106" t="str">
            <v>無</v>
          </cell>
          <cell r="F106">
            <v>30</v>
          </cell>
          <cell r="H106">
            <v>17</v>
          </cell>
          <cell r="I106">
            <v>13</v>
          </cell>
          <cell r="O106">
            <v>1189000</v>
          </cell>
          <cell r="P106">
            <v>2627000</v>
          </cell>
          <cell r="Q106">
            <v>2627000</v>
          </cell>
          <cell r="R106">
            <v>1631000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t="str">
            <v>令和3年4月1日</v>
          </cell>
          <cell r="AM106" t="str">
            <v>4号の21</v>
          </cell>
          <cell r="AN106" t="str">
            <v>有</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CW106" t="str">
            <v>無</v>
          </cell>
          <cell r="CX106">
            <v>0</v>
          </cell>
          <cell r="CY106" t="str">
            <v>無</v>
          </cell>
          <cell r="CZ106" t="str">
            <v>無</v>
          </cell>
          <cell r="DA106" t="str">
            <v>無</v>
          </cell>
          <cell r="DB106" t="str">
            <v>無</v>
          </cell>
          <cell r="DC106" t="str">
            <v>無</v>
          </cell>
          <cell r="DD106" t="str">
            <v>無</v>
          </cell>
          <cell r="DE106" t="str">
            <v>無</v>
          </cell>
          <cell r="DF106" t="str">
            <v>無</v>
          </cell>
          <cell r="DG106" t="str">
            <v>無</v>
          </cell>
          <cell r="DH106" t="str">
            <v>無</v>
          </cell>
          <cell r="DI106" t="str">
            <v>無</v>
          </cell>
          <cell r="DJ106" t="str">
            <v>無</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有</v>
          </cell>
          <cell r="DX106" t="str">
            <v>有</v>
          </cell>
          <cell r="DY106" t="str">
            <v>有</v>
          </cell>
          <cell r="DZ106" t="str">
            <v>有</v>
          </cell>
          <cell r="EA106" t="str">
            <v>有</v>
          </cell>
          <cell r="EB106" t="str">
            <v>有</v>
          </cell>
          <cell r="EC106" t="str">
            <v>有</v>
          </cell>
          <cell r="ED106" t="str">
            <v>有</v>
          </cell>
          <cell r="EE106" t="str">
            <v>有</v>
          </cell>
          <cell r="EF106" t="str">
            <v>有</v>
          </cell>
          <cell r="EG106" t="str">
            <v>有</v>
          </cell>
          <cell r="EH106" t="str">
            <v>有</v>
          </cell>
          <cell r="EI106" t="str">
            <v>配置</v>
          </cell>
          <cell r="EJ106" t="str">
            <v>配置</v>
          </cell>
          <cell r="EK106" t="str">
            <v>配置</v>
          </cell>
          <cell r="EL106" t="str">
            <v>配置</v>
          </cell>
          <cell r="EM106" t="str">
            <v>配置</v>
          </cell>
          <cell r="EN106" t="str">
            <v>配置</v>
          </cell>
          <cell r="EO106" t="str">
            <v>配置</v>
          </cell>
          <cell r="EP106" t="str">
            <v>配置</v>
          </cell>
          <cell r="EQ106" t="str">
            <v>配置</v>
          </cell>
          <cell r="ER106" t="str">
            <v>配置</v>
          </cell>
          <cell r="ES106" t="str">
            <v>配置</v>
          </cell>
          <cell r="ET106" t="str">
            <v>配置</v>
          </cell>
          <cell r="EU106">
            <v>76960</v>
          </cell>
          <cell r="EV106">
            <v>76960</v>
          </cell>
          <cell r="EW106">
            <v>76960</v>
          </cell>
          <cell r="EX106">
            <v>76960</v>
          </cell>
          <cell r="EY106">
            <v>76960</v>
          </cell>
          <cell r="EZ106">
            <v>76960</v>
          </cell>
          <cell r="FA106">
            <v>76960</v>
          </cell>
          <cell r="FB106">
            <v>76960</v>
          </cell>
          <cell r="FC106">
            <v>76960</v>
          </cell>
          <cell r="FD106">
            <v>76960</v>
          </cell>
          <cell r="FE106">
            <v>76960</v>
          </cell>
          <cell r="FF106">
            <v>76960</v>
          </cell>
        </row>
        <row r="107">
          <cell r="C107">
            <v>103</v>
          </cell>
          <cell r="D107" t="str">
            <v>植草学園千葉駅保育園</v>
          </cell>
          <cell r="E107" t="str">
            <v>無</v>
          </cell>
          <cell r="F107">
            <v>59</v>
          </cell>
          <cell r="H107">
            <v>30</v>
          </cell>
          <cell r="I107">
            <v>29</v>
          </cell>
          <cell r="O107">
            <v>1189000</v>
          </cell>
          <cell r="P107">
            <v>2627000</v>
          </cell>
          <cell r="Q107">
            <v>2627000</v>
          </cell>
          <cell r="R107">
            <v>1631000</v>
          </cell>
          <cell r="S107">
            <v>0</v>
          </cell>
          <cell r="T107">
            <v>1982000</v>
          </cell>
          <cell r="U107">
            <v>0</v>
          </cell>
          <cell r="V107">
            <v>792000</v>
          </cell>
          <cell r="W107">
            <v>1751000</v>
          </cell>
          <cell r="X107">
            <v>1751000</v>
          </cell>
          <cell r="Y107">
            <v>1087000</v>
          </cell>
          <cell r="Z107">
            <v>0</v>
          </cell>
          <cell r="AA107">
            <v>1321000</v>
          </cell>
          <cell r="AB107">
            <v>0</v>
          </cell>
          <cell r="AC107">
            <v>0</v>
          </cell>
          <cell r="AD107">
            <v>0</v>
          </cell>
          <cell r="AE107">
            <v>0</v>
          </cell>
          <cell r="AF107">
            <v>0</v>
          </cell>
          <cell r="AG107">
            <v>0</v>
          </cell>
          <cell r="AH107">
            <v>0</v>
          </cell>
          <cell r="AI107">
            <v>0</v>
          </cell>
          <cell r="AJ107" t="str">
            <v>令和3年4月1日</v>
          </cell>
          <cell r="AK107" t="str">
            <v>令和3年5月31日交付</v>
          </cell>
          <cell r="AM107" t="str">
            <v>4号の22</v>
          </cell>
          <cell r="AN107" t="str">
            <v>有</v>
          </cell>
          <cell r="AO107" t="str">
            <v>一般型</v>
          </cell>
          <cell r="AP107" t="str">
            <v>一般型</v>
          </cell>
          <cell r="AQ107" t="str">
            <v>一般型</v>
          </cell>
          <cell r="AR107" t="str">
            <v>一般型</v>
          </cell>
          <cell r="AS107" t="str">
            <v>一般型</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v>1</v>
          </cell>
          <cell r="BN107">
            <v>1</v>
          </cell>
          <cell r="BO107">
            <v>1</v>
          </cell>
          <cell r="BP107">
            <v>1</v>
          </cell>
          <cell r="BQ107">
            <v>1</v>
          </cell>
          <cell r="BR107">
            <v>1</v>
          </cell>
          <cell r="BS107">
            <v>1</v>
          </cell>
          <cell r="BT107">
            <v>1</v>
          </cell>
          <cell r="BU107">
            <v>1</v>
          </cell>
          <cell r="BV107">
            <v>1</v>
          </cell>
          <cell r="BW107">
            <v>1</v>
          </cell>
          <cell r="BX107">
            <v>1</v>
          </cell>
          <cell r="CK107">
            <v>0</v>
          </cell>
          <cell r="CL107">
            <v>0</v>
          </cell>
          <cell r="CM107">
            <v>0</v>
          </cell>
          <cell r="CN107">
            <v>0</v>
          </cell>
          <cell r="CO107">
            <v>0</v>
          </cell>
          <cell r="CP107">
            <v>0</v>
          </cell>
          <cell r="CQ107">
            <v>0</v>
          </cell>
          <cell r="CR107">
            <v>0</v>
          </cell>
          <cell r="CS107">
            <v>0</v>
          </cell>
          <cell r="CT107">
            <v>0</v>
          </cell>
          <cell r="CU107">
            <v>0</v>
          </cell>
          <cell r="CV107">
            <v>0</v>
          </cell>
          <cell r="CW107" t="str">
            <v>無</v>
          </cell>
          <cell r="CX107">
            <v>0</v>
          </cell>
          <cell r="CY107" t="str">
            <v>有</v>
          </cell>
          <cell r="CZ107" t="str">
            <v>有</v>
          </cell>
          <cell r="DA107" t="str">
            <v>有</v>
          </cell>
          <cell r="DB107" t="str">
            <v>有</v>
          </cell>
          <cell r="DC107" t="str">
            <v>有</v>
          </cell>
          <cell r="DD107" t="str">
            <v>有</v>
          </cell>
          <cell r="DE107" t="str">
            <v>有</v>
          </cell>
          <cell r="DF107" t="str">
            <v>有</v>
          </cell>
          <cell r="DG107" t="str">
            <v>有</v>
          </cell>
          <cell r="DH107" t="str">
            <v>有</v>
          </cell>
          <cell r="DI107" t="str">
            <v>有</v>
          </cell>
          <cell r="DJ107" t="str">
            <v>有</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有</v>
          </cell>
          <cell r="DX107" t="str">
            <v>有</v>
          </cell>
          <cell r="DY107" t="str">
            <v>有</v>
          </cell>
          <cell r="DZ107" t="str">
            <v>有</v>
          </cell>
          <cell r="EA107" t="str">
            <v>有</v>
          </cell>
          <cell r="EB107" t="str">
            <v>有</v>
          </cell>
          <cell r="EC107" t="str">
            <v>有</v>
          </cell>
          <cell r="ED107" t="str">
            <v>有</v>
          </cell>
          <cell r="EE107" t="str">
            <v>有</v>
          </cell>
          <cell r="EF107" t="str">
            <v>有</v>
          </cell>
          <cell r="EG107" t="str">
            <v>有</v>
          </cell>
          <cell r="EH107" t="str">
            <v>有</v>
          </cell>
          <cell r="EI107" t="str">
            <v>配置</v>
          </cell>
          <cell r="EJ107" t="str">
            <v>配置</v>
          </cell>
          <cell r="EK107" t="str">
            <v>配置</v>
          </cell>
          <cell r="EL107" t="str">
            <v>配置</v>
          </cell>
          <cell r="EM107" t="str">
            <v>配置</v>
          </cell>
          <cell r="EN107" t="str">
            <v>配置</v>
          </cell>
          <cell r="EO107" t="str">
            <v>配置</v>
          </cell>
          <cell r="EP107" t="str">
            <v>配置</v>
          </cell>
          <cell r="EQ107" t="str">
            <v>配置</v>
          </cell>
          <cell r="ER107" t="str">
            <v>配置</v>
          </cell>
          <cell r="ES107" t="str">
            <v>配置</v>
          </cell>
          <cell r="ET107" t="str">
            <v>配置</v>
          </cell>
          <cell r="EU107">
            <v>76960</v>
          </cell>
          <cell r="EV107">
            <v>76960</v>
          </cell>
          <cell r="EW107">
            <v>76960</v>
          </cell>
          <cell r="EX107">
            <v>76960</v>
          </cell>
          <cell r="EY107">
            <v>76960</v>
          </cell>
          <cell r="EZ107">
            <v>76960</v>
          </cell>
          <cell r="FA107">
            <v>76960</v>
          </cell>
          <cell r="FB107">
            <v>76960</v>
          </cell>
          <cell r="FC107">
            <v>76960</v>
          </cell>
          <cell r="FD107">
            <v>76960</v>
          </cell>
          <cell r="FE107">
            <v>76960</v>
          </cell>
          <cell r="FF107">
            <v>76960</v>
          </cell>
        </row>
        <row r="108">
          <cell r="C108">
            <v>104</v>
          </cell>
          <cell r="D108" t="str">
            <v>キートスチャイルドケア幕張本郷</v>
          </cell>
          <cell r="E108" t="str">
            <v>無</v>
          </cell>
          <cell r="F108">
            <v>59</v>
          </cell>
          <cell r="H108">
            <v>33</v>
          </cell>
          <cell r="I108">
            <v>26</v>
          </cell>
          <cell r="O108">
            <v>1189000</v>
          </cell>
          <cell r="P108">
            <v>2627000</v>
          </cell>
          <cell r="Q108">
            <v>2627000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t="str">
            <v>令和3年4月1日</v>
          </cell>
          <cell r="AM108" t="str">
            <v>5号の2</v>
          </cell>
          <cell r="AN108" t="str">
            <v>有</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v>1</v>
          </cell>
          <cell r="BN108">
            <v>1</v>
          </cell>
          <cell r="BO108">
            <v>1</v>
          </cell>
          <cell r="BP108">
            <v>1</v>
          </cell>
          <cell r="BQ108">
            <v>1</v>
          </cell>
          <cell r="BR108">
            <v>1</v>
          </cell>
          <cell r="BS108">
            <v>1</v>
          </cell>
          <cell r="BT108">
            <v>1</v>
          </cell>
          <cell r="BU108">
            <v>1</v>
          </cell>
          <cell r="BV108">
            <v>1</v>
          </cell>
          <cell r="BW108">
            <v>1</v>
          </cell>
          <cell r="BX108">
            <v>1</v>
          </cell>
          <cell r="CK108">
            <v>0</v>
          </cell>
          <cell r="CL108">
            <v>0</v>
          </cell>
          <cell r="CM108">
            <v>0</v>
          </cell>
          <cell r="CN108">
            <v>0</v>
          </cell>
          <cell r="CO108">
            <v>0</v>
          </cell>
          <cell r="CP108">
            <v>0</v>
          </cell>
          <cell r="CQ108">
            <v>0</v>
          </cell>
          <cell r="CR108">
            <v>0</v>
          </cell>
          <cell r="CS108">
            <v>0</v>
          </cell>
          <cell r="CT108">
            <v>0</v>
          </cell>
          <cell r="CU108">
            <v>0</v>
          </cell>
          <cell r="CV108">
            <v>0</v>
          </cell>
          <cell r="CW108" t="str">
            <v>無</v>
          </cell>
          <cell r="CX108">
            <v>0</v>
          </cell>
          <cell r="CY108" t="str">
            <v>無</v>
          </cell>
          <cell r="CZ108" t="str">
            <v>無</v>
          </cell>
          <cell r="DA108" t="str">
            <v>無</v>
          </cell>
          <cell r="DB108" t="str">
            <v>無</v>
          </cell>
          <cell r="DC108" t="str">
            <v>無</v>
          </cell>
          <cell r="DD108" t="str">
            <v>無</v>
          </cell>
          <cell r="DE108" t="str">
            <v>無</v>
          </cell>
          <cell r="DF108" t="str">
            <v>無</v>
          </cell>
          <cell r="DG108" t="str">
            <v>無</v>
          </cell>
          <cell r="DH108" t="str">
            <v>無</v>
          </cell>
          <cell r="DI108" t="str">
            <v>無</v>
          </cell>
          <cell r="DJ108" t="str">
            <v>無</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有</v>
          </cell>
          <cell r="DX108" t="str">
            <v>有</v>
          </cell>
          <cell r="DY108" t="str">
            <v>有</v>
          </cell>
          <cell r="DZ108" t="str">
            <v>有</v>
          </cell>
          <cell r="EA108" t="str">
            <v>有</v>
          </cell>
          <cell r="EB108" t="str">
            <v>有</v>
          </cell>
          <cell r="EC108" t="str">
            <v>有</v>
          </cell>
          <cell r="ED108" t="str">
            <v>有</v>
          </cell>
          <cell r="EE108" t="str">
            <v>有</v>
          </cell>
          <cell r="EF108" t="str">
            <v>有</v>
          </cell>
          <cell r="EG108" t="str">
            <v>有</v>
          </cell>
          <cell r="EH108" t="str">
            <v>有</v>
          </cell>
          <cell r="EI108" t="str">
            <v>兼務</v>
          </cell>
          <cell r="EJ108" t="str">
            <v>兼務</v>
          </cell>
          <cell r="EK108" t="str">
            <v>兼務</v>
          </cell>
          <cell r="EL108" t="str">
            <v>兼務</v>
          </cell>
          <cell r="EM108" t="str">
            <v>兼務</v>
          </cell>
          <cell r="EN108" t="str">
            <v>兼務</v>
          </cell>
          <cell r="EO108" t="str">
            <v>兼務</v>
          </cell>
          <cell r="EP108" t="str">
            <v>兼務</v>
          </cell>
          <cell r="EQ108" t="str">
            <v>兼務</v>
          </cell>
          <cell r="ER108" t="str">
            <v>兼務</v>
          </cell>
          <cell r="ES108" t="str">
            <v>兼務</v>
          </cell>
          <cell r="ET108" t="str">
            <v>兼務</v>
          </cell>
          <cell r="EU108" t="str">
            <v/>
          </cell>
          <cell r="EV108" t="str">
            <v/>
          </cell>
          <cell r="EW108" t="str">
            <v/>
          </cell>
          <cell r="EX108" t="str">
            <v/>
          </cell>
          <cell r="EY108" t="str">
            <v/>
          </cell>
          <cell r="EZ108" t="str">
            <v/>
          </cell>
          <cell r="FA108" t="str">
            <v/>
          </cell>
          <cell r="FB108" t="str">
            <v/>
          </cell>
          <cell r="FC108" t="str">
            <v/>
          </cell>
          <cell r="FD108" t="str">
            <v/>
          </cell>
          <cell r="FE108" t="str">
            <v/>
          </cell>
          <cell r="FF108" t="str">
            <v/>
          </cell>
        </row>
        <row r="109">
          <cell r="C109">
            <v>105</v>
          </cell>
          <cell r="D109" t="str">
            <v>京進のほいくえんＨＯＰＰＡ幕張町5丁目</v>
          </cell>
          <cell r="E109" t="str">
            <v>無</v>
          </cell>
          <cell r="F109">
            <v>50</v>
          </cell>
          <cell r="H109">
            <v>27</v>
          </cell>
          <cell r="I109">
            <v>23</v>
          </cell>
          <cell r="O109">
            <v>1189000</v>
          </cell>
          <cell r="P109">
            <v>2627000</v>
          </cell>
          <cell r="Q109">
            <v>2627000</v>
          </cell>
          <cell r="R109">
            <v>1028000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t="str">
            <v>令和3年4月1日</v>
          </cell>
          <cell r="AM109" t="str">
            <v>4号の23</v>
          </cell>
          <cell r="AN109" t="str">
            <v>有</v>
          </cell>
          <cell r="AO109" t="str">
            <v>余裕活用型</v>
          </cell>
          <cell r="AP109" t="str">
            <v>余裕活用型</v>
          </cell>
          <cell r="AQ109" t="str">
            <v>余裕活用型</v>
          </cell>
          <cell r="AR109" t="str">
            <v>余裕活用型</v>
          </cell>
          <cell r="AS109" t="str">
            <v>余裕活用型</v>
          </cell>
          <cell r="AT109" t="str">
            <v>余裕活用型</v>
          </cell>
          <cell r="AU109" t="str">
            <v>余裕活用型</v>
          </cell>
          <cell r="AV109" t="str">
            <v>余裕活用型</v>
          </cell>
          <cell r="AW109" t="str">
            <v>余裕活用型</v>
          </cell>
          <cell r="AX109" t="str">
            <v>余裕活用型</v>
          </cell>
          <cell r="AY109" t="str">
            <v>余裕活用型</v>
          </cell>
          <cell r="AZ109" t="str">
            <v>余裕活用型</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CW109" t="str">
            <v>無</v>
          </cell>
          <cell r="CX109">
            <v>0</v>
          </cell>
          <cell r="CY109" t="str">
            <v>無</v>
          </cell>
          <cell r="CZ109" t="str">
            <v>無</v>
          </cell>
          <cell r="DA109" t="str">
            <v>無</v>
          </cell>
          <cell r="DB109" t="str">
            <v>無</v>
          </cell>
          <cell r="DC109" t="str">
            <v>無</v>
          </cell>
          <cell r="DD109" t="str">
            <v>無</v>
          </cell>
          <cell r="DE109" t="str">
            <v>無</v>
          </cell>
          <cell r="DF109" t="str">
            <v>無</v>
          </cell>
          <cell r="DG109" t="str">
            <v>無</v>
          </cell>
          <cell r="DH109" t="str">
            <v>無</v>
          </cell>
          <cell r="DI109" t="str">
            <v>無</v>
          </cell>
          <cell r="DJ109" t="str">
            <v>無</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有</v>
          </cell>
          <cell r="DX109" t="str">
            <v>有</v>
          </cell>
          <cell r="DY109" t="str">
            <v>有</v>
          </cell>
          <cell r="DZ109" t="str">
            <v>有</v>
          </cell>
          <cell r="EA109" t="str">
            <v>有</v>
          </cell>
          <cell r="EB109" t="str">
            <v>有</v>
          </cell>
          <cell r="EC109" t="str">
            <v>有</v>
          </cell>
          <cell r="ED109" t="str">
            <v>有</v>
          </cell>
          <cell r="EE109" t="str">
            <v>有</v>
          </cell>
          <cell r="EF109" t="str">
            <v>有</v>
          </cell>
          <cell r="EG109" t="str">
            <v>有</v>
          </cell>
          <cell r="EH109" t="str">
            <v>有</v>
          </cell>
          <cell r="EI109" t="str">
            <v>配置</v>
          </cell>
          <cell r="EJ109" t="str">
            <v>配置</v>
          </cell>
          <cell r="EK109" t="str">
            <v>配置</v>
          </cell>
          <cell r="EL109" t="str">
            <v>配置</v>
          </cell>
          <cell r="EM109" t="str">
            <v>配置</v>
          </cell>
          <cell r="EN109" t="str">
            <v>配置</v>
          </cell>
          <cell r="EO109" t="str">
            <v>配置</v>
          </cell>
          <cell r="EP109" t="str">
            <v>配置</v>
          </cell>
          <cell r="EQ109" t="str">
            <v>配置</v>
          </cell>
          <cell r="ER109" t="str">
            <v>配置</v>
          </cell>
          <cell r="ES109" t="str">
            <v>配置</v>
          </cell>
          <cell r="ET109" t="str">
            <v>配置</v>
          </cell>
          <cell r="EU109">
            <v>76960</v>
          </cell>
          <cell r="EV109">
            <v>76960</v>
          </cell>
          <cell r="EW109">
            <v>76960</v>
          </cell>
          <cell r="EX109">
            <v>76960</v>
          </cell>
          <cell r="EY109">
            <v>76960</v>
          </cell>
          <cell r="EZ109">
            <v>76960</v>
          </cell>
          <cell r="FA109">
            <v>76960</v>
          </cell>
          <cell r="FB109">
            <v>76960</v>
          </cell>
          <cell r="FC109">
            <v>76960</v>
          </cell>
          <cell r="FD109">
            <v>76960</v>
          </cell>
          <cell r="FE109">
            <v>76960</v>
          </cell>
          <cell r="FF109">
            <v>76960</v>
          </cell>
        </row>
        <row r="110">
          <cell r="C110">
            <v>106</v>
          </cell>
          <cell r="D110" t="str">
            <v>京進のほいくえんＨＯＰＰＡ幕張本郷駅前</v>
          </cell>
          <cell r="E110" t="str">
            <v>無</v>
          </cell>
          <cell r="F110">
            <v>50</v>
          </cell>
          <cell r="H110">
            <v>27</v>
          </cell>
          <cell r="I110">
            <v>23</v>
          </cell>
          <cell r="O110">
            <v>1089000</v>
          </cell>
          <cell r="P110">
            <v>0</v>
          </cell>
          <cell r="Q110">
            <v>0</v>
          </cell>
          <cell r="R110">
            <v>1223000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t="str">
            <v>令和3年5月1日</v>
          </cell>
          <cell r="AM110" t="str">
            <v>107号</v>
          </cell>
          <cell r="AN110" t="str">
            <v>有</v>
          </cell>
          <cell r="AO110" t="str">
            <v>余裕活用型</v>
          </cell>
          <cell r="AP110" t="str">
            <v>余裕活用型</v>
          </cell>
          <cell r="AQ110" t="str">
            <v>余裕活用型</v>
          </cell>
          <cell r="AR110" t="str">
            <v>余裕活用型</v>
          </cell>
          <cell r="AS110" t="str">
            <v>余裕活用型</v>
          </cell>
          <cell r="AT110" t="str">
            <v>余裕活用型</v>
          </cell>
          <cell r="AU110" t="str">
            <v>余裕活用型</v>
          </cell>
          <cell r="AV110" t="str">
            <v>余裕活用型</v>
          </cell>
          <cell r="AW110" t="str">
            <v>余裕活用型</v>
          </cell>
          <cell r="AX110" t="str">
            <v>余裕活用型</v>
          </cell>
          <cell r="AY110" t="str">
            <v>余裕活用型</v>
          </cell>
          <cell r="AZ110" t="str">
            <v>余裕活用型</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CW110" t="str">
            <v>無</v>
          </cell>
          <cell r="CX110">
            <v>0</v>
          </cell>
          <cell r="CY110" t="str">
            <v>無</v>
          </cell>
          <cell r="CZ110" t="str">
            <v>無</v>
          </cell>
          <cell r="DA110" t="str">
            <v>無</v>
          </cell>
          <cell r="DB110" t="str">
            <v>無</v>
          </cell>
          <cell r="DC110" t="str">
            <v>無</v>
          </cell>
          <cell r="DD110" t="str">
            <v>無</v>
          </cell>
          <cell r="DE110" t="str">
            <v>無</v>
          </cell>
          <cell r="DF110" t="str">
            <v>無</v>
          </cell>
          <cell r="DG110" t="str">
            <v>無</v>
          </cell>
          <cell r="DH110" t="str">
            <v>無</v>
          </cell>
          <cell r="DI110" t="str">
            <v>無</v>
          </cell>
          <cell r="DJ110" t="str">
            <v>無</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有</v>
          </cell>
          <cell r="DX110" t="str">
            <v>有</v>
          </cell>
          <cell r="DY110" t="str">
            <v>有</v>
          </cell>
          <cell r="DZ110" t="str">
            <v>有</v>
          </cell>
          <cell r="EA110" t="str">
            <v>有</v>
          </cell>
          <cell r="EB110" t="str">
            <v>有</v>
          </cell>
          <cell r="EC110" t="str">
            <v>有</v>
          </cell>
          <cell r="ED110" t="str">
            <v>有</v>
          </cell>
          <cell r="EE110" t="str">
            <v>有</v>
          </cell>
          <cell r="EF110" t="str">
            <v>有</v>
          </cell>
          <cell r="EG110" t="str">
            <v>有</v>
          </cell>
          <cell r="EH110" t="str">
            <v>有</v>
          </cell>
          <cell r="EI110" t="str">
            <v>兼務</v>
          </cell>
          <cell r="EJ110" t="str">
            <v>兼務</v>
          </cell>
          <cell r="EK110" t="str">
            <v>兼務</v>
          </cell>
          <cell r="EL110" t="str">
            <v>兼務</v>
          </cell>
          <cell r="EM110" t="str">
            <v>兼務</v>
          </cell>
          <cell r="EN110" t="str">
            <v>兼務</v>
          </cell>
          <cell r="EO110" t="str">
            <v>兼務</v>
          </cell>
          <cell r="EP110" t="str">
            <v>兼務</v>
          </cell>
          <cell r="EQ110" t="str">
            <v>兼務</v>
          </cell>
          <cell r="ER110" t="str">
            <v>兼務</v>
          </cell>
          <cell r="ES110" t="str">
            <v>兼務</v>
          </cell>
          <cell r="ET110" t="str">
            <v>兼務</v>
          </cell>
          <cell r="EU110" t="str">
            <v/>
          </cell>
          <cell r="EV110" t="str">
            <v/>
          </cell>
          <cell r="EW110" t="str">
            <v/>
          </cell>
          <cell r="EX110" t="str">
            <v/>
          </cell>
          <cell r="EY110" t="str">
            <v/>
          </cell>
          <cell r="EZ110" t="str">
            <v/>
          </cell>
          <cell r="FA110" t="str">
            <v/>
          </cell>
          <cell r="FB110" t="str">
            <v/>
          </cell>
          <cell r="FC110" t="str">
            <v/>
          </cell>
          <cell r="FD110" t="str">
            <v/>
          </cell>
          <cell r="FE110" t="str">
            <v/>
          </cell>
          <cell r="FF110" t="str">
            <v/>
          </cell>
        </row>
        <row r="111">
          <cell r="C111">
            <v>107</v>
          </cell>
          <cell r="D111" t="str">
            <v>千葉検見川雲母保育園</v>
          </cell>
          <cell r="E111" t="str">
            <v>無</v>
          </cell>
          <cell r="F111">
            <v>59</v>
          </cell>
          <cell r="H111">
            <v>33</v>
          </cell>
          <cell r="I111">
            <v>26</v>
          </cell>
          <cell r="O111">
            <v>1189000</v>
          </cell>
          <cell r="P111">
            <v>2627000</v>
          </cell>
          <cell r="Q111">
            <v>0</v>
          </cell>
          <cell r="R111">
            <v>1028000</v>
          </cell>
          <cell r="S111">
            <v>1631000</v>
          </cell>
          <cell r="T111">
            <v>0</v>
          </cell>
          <cell r="U111">
            <v>0</v>
          </cell>
          <cell r="V111">
            <v>792000</v>
          </cell>
          <cell r="W111">
            <v>1751000</v>
          </cell>
          <cell r="X111">
            <v>0</v>
          </cell>
          <cell r="Y111">
            <v>685000</v>
          </cell>
          <cell r="Z111">
            <v>1087000</v>
          </cell>
          <cell r="AA111">
            <v>0</v>
          </cell>
          <cell r="AB111">
            <v>0</v>
          </cell>
          <cell r="AC111">
            <v>0</v>
          </cell>
          <cell r="AD111">
            <v>0</v>
          </cell>
          <cell r="AE111">
            <v>0</v>
          </cell>
          <cell r="AF111">
            <v>0</v>
          </cell>
          <cell r="AG111">
            <v>0</v>
          </cell>
          <cell r="AH111">
            <v>0</v>
          </cell>
          <cell r="AI111">
            <v>0</v>
          </cell>
          <cell r="AJ111" t="str">
            <v>令和3年4月1日</v>
          </cell>
          <cell r="AK111" t="str">
            <v>令和3年5月31日交付</v>
          </cell>
          <cell r="AM111" t="str">
            <v>4号の24</v>
          </cell>
          <cell r="AN111" t="str">
            <v>有</v>
          </cell>
          <cell r="AO111" t="str">
            <v>余裕活用型</v>
          </cell>
          <cell r="AP111" t="str">
            <v>余裕活用型</v>
          </cell>
          <cell r="AQ111" t="str">
            <v>余裕活用型</v>
          </cell>
          <cell r="AR111" t="str">
            <v>余裕活用型</v>
          </cell>
          <cell r="AS111" t="str">
            <v>余裕活用型</v>
          </cell>
          <cell r="AT111" t="str">
            <v>余裕活用型</v>
          </cell>
          <cell r="AU111" t="str">
            <v>余裕活用型</v>
          </cell>
          <cell r="AV111" t="str">
            <v>余裕活用型</v>
          </cell>
          <cell r="AW111" t="str">
            <v>余裕活用型</v>
          </cell>
          <cell r="AX111" t="str">
            <v>余裕活用型</v>
          </cell>
          <cell r="AY111" t="str">
            <v>余裕活用型</v>
          </cell>
          <cell r="AZ111" t="str">
            <v>余裕活用型</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v>1</v>
          </cell>
          <cell r="BN111">
            <v>1</v>
          </cell>
          <cell r="BO111">
            <v>1</v>
          </cell>
          <cell r="BP111">
            <v>1</v>
          </cell>
          <cell r="BQ111">
            <v>1</v>
          </cell>
          <cell r="BR111">
            <v>1</v>
          </cell>
          <cell r="BS111">
            <v>1</v>
          </cell>
          <cell r="BT111">
            <v>1</v>
          </cell>
          <cell r="BU111">
            <v>1</v>
          </cell>
          <cell r="BV111">
            <v>1</v>
          </cell>
          <cell r="BW111">
            <v>1</v>
          </cell>
          <cell r="BX111">
            <v>1</v>
          </cell>
          <cell r="CK111">
            <v>0</v>
          </cell>
          <cell r="CL111">
            <v>0</v>
          </cell>
          <cell r="CM111">
            <v>0</v>
          </cell>
          <cell r="CN111">
            <v>0</v>
          </cell>
          <cell r="CO111">
            <v>0</v>
          </cell>
          <cell r="CP111">
            <v>0</v>
          </cell>
          <cell r="CQ111">
            <v>0</v>
          </cell>
          <cell r="CR111">
            <v>0</v>
          </cell>
          <cell r="CS111">
            <v>0</v>
          </cell>
          <cell r="CT111">
            <v>0</v>
          </cell>
          <cell r="CU111">
            <v>0</v>
          </cell>
          <cell r="CV111">
            <v>0</v>
          </cell>
          <cell r="CW111" t="str">
            <v>無</v>
          </cell>
          <cell r="CX111">
            <v>0</v>
          </cell>
          <cell r="CY111" t="str">
            <v>有</v>
          </cell>
          <cell r="CZ111" t="str">
            <v>有</v>
          </cell>
          <cell r="DA111" t="str">
            <v>有</v>
          </cell>
          <cell r="DB111" t="str">
            <v>有</v>
          </cell>
          <cell r="DC111" t="str">
            <v>有</v>
          </cell>
          <cell r="DD111" t="str">
            <v>有</v>
          </cell>
          <cell r="DE111" t="str">
            <v>有</v>
          </cell>
          <cell r="DF111" t="str">
            <v>有</v>
          </cell>
          <cell r="DG111" t="str">
            <v>有</v>
          </cell>
          <cell r="DH111" t="str">
            <v>有</v>
          </cell>
          <cell r="DI111" t="str">
            <v>有</v>
          </cell>
          <cell r="DJ111" t="str">
            <v>有</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有</v>
          </cell>
          <cell r="DX111" t="str">
            <v>有</v>
          </cell>
          <cell r="DY111" t="str">
            <v>有</v>
          </cell>
          <cell r="DZ111" t="str">
            <v>有</v>
          </cell>
          <cell r="EA111" t="str">
            <v>有</v>
          </cell>
          <cell r="EB111" t="str">
            <v>有</v>
          </cell>
          <cell r="EC111" t="str">
            <v>有</v>
          </cell>
          <cell r="ED111" t="str">
            <v>有</v>
          </cell>
          <cell r="EE111" t="str">
            <v>有</v>
          </cell>
          <cell r="EF111" t="str">
            <v>有</v>
          </cell>
          <cell r="EG111" t="str">
            <v>有</v>
          </cell>
          <cell r="EH111" t="str">
            <v>有</v>
          </cell>
          <cell r="EI111" t="str">
            <v>配置</v>
          </cell>
          <cell r="EJ111" t="str">
            <v>配置</v>
          </cell>
          <cell r="EK111" t="str">
            <v>配置</v>
          </cell>
          <cell r="EL111" t="str">
            <v>配置</v>
          </cell>
          <cell r="EM111" t="str">
            <v>配置</v>
          </cell>
          <cell r="EN111" t="str">
            <v>配置</v>
          </cell>
          <cell r="EO111" t="str">
            <v>配置</v>
          </cell>
          <cell r="EP111" t="str">
            <v>配置</v>
          </cell>
          <cell r="EQ111" t="str">
            <v>配置</v>
          </cell>
          <cell r="ER111" t="str">
            <v>配置</v>
          </cell>
          <cell r="ES111" t="str">
            <v>配置</v>
          </cell>
          <cell r="ET111" t="str">
            <v>配置</v>
          </cell>
          <cell r="EU111">
            <v>76960</v>
          </cell>
          <cell r="EV111">
            <v>76960</v>
          </cell>
          <cell r="EW111">
            <v>76960</v>
          </cell>
          <cell r="EX111">
            <v>76960</v>
          </cell>
          <cell r="EY111">
            <v>76960</v>
          </cell>
          <cell r="EZ111">
            <v>76960</v>
          </cell>
          <cell r="FA111">
            <v>76960</v>
          </cell>
          <cell r="FB111">
            <v>76960</v>
          </cell>
          <cell r="FC111">
            <v>76960</v>
          </cell>
          <cell r="FD111">
            <v>76960</v>
          </cell>
          <cell r="FE111">
            <v>76960</v>
          </cell>
          <cell r="FF111">
            <v>76960</v>
          </cell>
        </row>
        <row r="112">
          <cell r="C112">
            <v>108</v>
          </cell>
          <cell r="D112" t="str">
            <v>かえで保育園幕張本郷</v>
          </cell>
          <cell r="E112" t="str">
            <v>無</v>
          </cell>
          <cell r="F112">
            <v>80</v>
          </cell>
          <cell r="H112">
            <v>45</v>
          </cell>
          <cell r="I112">
            <v>35</v>
          </cell>
          <cell r="O112">
            <v>1189000</v>
          </cell>
          <cell r="P112">
            <v>2627000</v>
          </cell>
          <cell r="Q112">
            <v>2627000</v>
          </cell>
          <cell r="R112">
            <v>1028000</v>
          </cell>
          <cell r="S112">
            <v>0</v>
          </cell>
          <cell r="T112">
            <v>0</v>
          </cell>
          <cell r="U112">
            <v>0</v>
          </cell>
          <cell r="V112">
            <v>792000</v>
          </cell>
          <cell r="W112">
            <v>1751000</v>
          </cell>
          <cell r="X112">
            <v>1751000</v>
          </cell>
          <cell r="Y112">
            <v>685000</v>
          </cell>
          <cell r="Z112">
            <v>0</v>
          </cell>
          <cell r="AA112">
            <v>0</v>
          </cell>
          <cell r="AB112">
            <v>0</v>
          </cell>
          <cell r="AC112">
            <v>0</v>
          </cell>
          <cell r="AD112">
            <v>0</v>
          </cell>
          <cell r="AE112">
            <v>0</v>
          </cell>
          <cell r="AF112">
            <v>0</v>
          </cell>
          <cell r="AG112">
            <v>0</v>
          </cell>
          <cell r="AH112">
            <v>0</v>
          </cell>
          <cell r="AI112">
            <v>0</v>
          </cell>
          <cell r="AJ112" t="str">
            <v>令和3年4月1日</v>
          </cell>
          <cell r="AK112" t="str">
            <v>令和3年5月31日交付</v>
          </cell>
          <cell r="AM112" t="str">
            <v>4号の25</v>
          </cell>
          <cell r="AN112" t="str">
            <v>有</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v>2</v>
          </cell>
          <cell r="BN112">
            <v>2</v>
          </cell>
          <cell r="BO112">
            <v>2</v>
          </cell>
          <cell r="BP112">
            <v>2</v>
          </cell>
          <cell r="BQ112">
            <v>2</v>
          </cell>
          <cell r="BR112">
            <v>2</v>
          </cell>
          <cell r="BS112">
            <v>2</v>
          </cell>
          <cell r="BT112">
            <v>2</v>
          </cell>
          <cell r="BU112">
            <v>2</v>
          </cell>
          <cell r="BV112">
            <v>2</v>
          </cell>
          <cell r="BW112">
            <v>2</v>
          </cell>
          <cell r="BX112">
            <v>2</v>
          </cell>
          <cell r="CK112">
            <v>0</v>
          </cell>
          <cell r="CL112">
            <v>0</v>
          </cell>
          <cell r="CM112">
            <v>0</v>
          </cell>
          <cell r="CN112">
            <v>0</v>
          </cell>
          <cell r="CO112">
            <v>0</v>
          </cell>
          <cell r="CP112">
            <v>0</v>
          </cell>
          <cell r="CQ112">
            <v>0</v>
          </cell>
          <cell r="CR112">
            <v>0</v>
          </cell>
          <cell r="CS112">
            <v>0</v>
          </cell>
          <cell r="CT112">
            <v>0</v>
          </cell>
          <cell r="CU112">
            <v>0</v>
          </cell>
          <cell r="CV112">
            <v>0</v>
          </cell>
          <cell r="CW112" t="str">
            <v>無</v>
          </cell>
          <cell r="CX112">
            <v>0</v>
          </cell>
          <cell r="CY112" t="str">
            <v>有</v>
          </cell>
          <cell r="CZ112" t="str">
            <v>有</v>
          </cell>
          <cell r="DA112" t="str">
            <v>有</v>
          </cell>
          <cell r="DB112" t="str">
            <v>有</v>
          </cell>
          <cell r="DC112" t="str">
            <v>有</v>
          </cell>
          <cell r="DD112" t="str">
            <v>有</v>
          </cell>
          <cell r="DE112" t="str">
            <v>有</v>
          </cell>
          <cell r="DF112" t="str">
            <v>有</v>
          </cell>
          <cell r="DG112" t="str">
            <v>有</v>
          </cell>
          <cell r="DH112" t="str">
            <v>有</v>
          </cell>
          <cell r="DI112" t="str">
            <v>有</v>
          </cell>
          <cell r="DJ112" t="str">
            <v>有</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有</v>
          </cell>
          <cell r="DX112" t="str">
            <v>有</v>
          </cell>
          <cell r="DY112" t="str">
            <v>有</v>
          </cell>
          <cell r="DZ112" t="str">
            <v>有</v>
          </cell>
          <cell r="EA112" t="str">
            <v>有</v>
          </cell>
          <cell r="EB112" t="str">
            <v>有</v>
          </cell>
          <cell r="EC112" t="str">
            <v>有</v>
          </cell>
          <cell r="ED112" t="str">
            <v>有</v>
          </cell>
          <cell r="EE112" t="str">
            <v>有</v>
          </cell>
          <cell r="EF112" t="str">
            <v>有</v>
          </cell>
          <cell r="EG112" t="str">
            <v>有</v>
          </cell>
          <cell r="EH112" t="str">
            <v>有</v>
          </cell>
          <cell r="EI112" t="str">
            <v>配置</v>
          </cell>
          <cell r="EJ112" t="str">
            <v>配置</v>
          </cell>
          <cell r="EK112" t="str">
            <v>配置</v>
          </cell>
          <cell r="EL112" t="str">
            <v>配置</v>
          </cell>
          <cell r="EM112" t="str">
            <v>配置</v>
          </cell>
          <cell r="EN112" t="str">
            <v>配置</v>
          </cell>
          <cell r="EO112" t="str">
            <v>配置</v>
          </cell>
          <cell r="EP112" t="str">
            <v>配置</v>
          </cell>
          <cell r="EQ112" t="str">
            <v>配置</v>
          </cell>
          <cell r="ER112" t="str">
            <v>配置</v>
          </cell>
          <cell r="ES112" t="str">
            <v>配置</v>
          </cell>
          <cell r="ET112" t="str">
            <v>配置</v>
          </cell>
          <cell r="EU112">
            <v>76960</v>
          </cell>
          <cell r="EV112">
            <v>76960</v>
          </cell>
          <cell r="EW112">
            <v>76960</v>
          </cell>
          <cell r="EX112">
            <v>76960</v>
          </cell>
          <cell r="EY112">
            <v>76960</v>
          </cell>
          <cell r="EZ112">
            <v>76960</v>
          </cell>
          <cell r="FA112">
            <v>76960</v>
          </cell>
          <cell r="FB112">
            <v>76960</v>
          </cell>
          <cell r="FC112">
            <v>76960</v>
          </cell>
          <cell r="FD112">
            <v>76960</v>
          </cell>
          <cell r="FE112">
            <v>76960</v>
          </cell>
          <cell r="FF112">
            <v>76960</v>
          </cell>
        </row>
        <row r="113">
          <cell r="C113">
            <v>109</v>
          </cell>
          <cell r="D113" t="str">
            <v>すまいるキャンディ保育園</v>
          </cell>
          <cell r="E113" t="str">
            <v>無</v>
          </cell>
          <cell r="F113">
            <v>20</v>
          </cell>
          <cell r="H113">
            <v>12</v>
          </cell>
          <cell r="I113">
            <v>8</v>
          </cell>
          <cell r="O113">
            <v>1189000</v>
          </cell>
          <cell r="P113">
            <v>2627000</v>
          </cell>
          <cell r="Q113">
            <v>0</v>
          </cell>
          <cell r="R113">
            <v>1631000</v>
          </cell>
          <cell r="S113">
            <v>1028000</v>
          </cell>
          <cell r="T113">
            <v>0</v>
          </cell>
          <cell r="U113">
            <v>0</v>
          </cell>
          <cell r="V113">
            <v>792000</v>
          </cell>
          <cell r="W113">
            <v>1751000</v>
          </cell>
          <cell r="X113">
            <v>0</v>
          </cell>
          <cell r="Y113">
            <v>1087000</v>
          </cell>
          <cell r="Z113">
            <v>685000</v>
          </cell>
          <cell r="AA113">
            <v>0</v>
          </cell>
          <cell r="AB113">
            <v>0</v>
          </cell>
          <cell r="AC113">
            <v>0</v>
          </cell>
          <cell r="AD113">
            <v>0</v>
          </cell>
          <cell r="AE113">
            <v>0</v>
          </cell>
          <cell r="AF113">
            <v>0</v>
          </cell>
          <cell r="AG113">
            <v>0</v>
          </cell>
          <cell r="AH113">
            <v>0</v>
          </cell>
          <cell r="AI113">
            <v>0</v>
          </cell>
          <cell r="AJ113" t="str">
            <v>令和3年4月1日</v>
          </cell>
          <cell r="AK113" t="str">
            <v>令和3年5月31日交付</v>
          </cell>
          <cell r="AM113" t="str">
            <v>4号の26</v>
          </cell>
          <cell r="AN113" t="str">
            <v>有</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v>1</v>
          </cell>
          <cell r="BN113">
            <v>1</v>
          </cell>
          <cell r="BO113">
            <v>1</v>
          </cell>
          <cell r="BP113">
            <v>1</v>
          </cell>
          <cell r="BQ113">
            <v>1</v>
          </cell>
          <cell r="BR113">
            <v>2</v>
          </cell>
          <cell r="BS113">
            <v>2</v>
          </cell>
          <cell r="BT113">
            <v>2</v>
          </cell>
          <cell r="BU113">
            <v>2</v>
          </cell>
          <cell r="BV113">
            <v>2</v>
          </cell>
          <cell r="BW113">
            <v>2</v>
          </cell>
          <cell r="BX113">
            <v>2</v>
          </cell>
          <cell r="CK113">
            <v>0</v>
          </cell>
          <cell r="CL113">
            <v>0</v>
          </cell>
          <cell r="CM113">
            <v>0</v>
          </cell>
          <cell r="CN113">
            <v>0</v>
          </cell>
          <cell r="CO113">
            <v>0</v>
          </cell>
          <cell r="CP113">
            <v>0</v>
          </cell>
          <cell r="CQ113">
            <v>0</v>
          </cell>
          <cell r="CR113">
            <v>0</v>
          </cell>
          <cell r="CS113">
            <v>0</v>
          </cell>
          <cell r="CT113">
            <v>0</v>
          </cell>
          <cell r="CU113">
            <v>0</v>
          </cell>
          <cell r="CV113">
            <v>0</v>
          </cell>
          <cell r="CW113" t="str">
            <v>無</v>
          </cell>
          <cell r="CX113">
            <v>0</v>
          </cell>
          <cell r="CY113" t="str">
            <v>有</v>
          </cell>
          <cell r="CZ113" t="str">
            <v>有</v>
          </cell>
          <cell r="DA113" t="str">
            <v>有</v>
          </cell>
          <cell r="DB113" t="str">
            <v>有</v>
          </cell>
          <cell r="DC113" t="str">
            <v>有</v>
          </cell>
          <cell r="DD113" t="str">
            <v>有</v>
          </cell>
          <cell r="DE113" t="str">
            <v>有</v>
          </cell>
          <cell r="DF113" t="str">
            <v>有</v>
          </cell>
          <cell r="DG113" t="str">
            <v>有</v>
          </cell>
          <cell r="DH113" t="str">
            <v>有</v>
          </cell>
          <cell r="DI113" t="str">
            <v>有</v>
          </cell>
          <cell r="DJ113" t="str">
            <v>有</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有</v>
          </cell>
          <cell r="DX113" t="str">
            <v>有</v>
          </cell>
          <cell r="DY113" t="str">
            <v>有</v>
          </cell>
          <cell r="DZ113" t="str">
            <v>有</v>
          </cell>
          <cell r="EA113" t="str">
            <v>有</v>
          </cell>
          <cell r="EB113" t="str">
            <v>有</v>
          </cell>
          <cell r="EC113" t="str">
            <v>有</v>
          </cell>
          <cell r="ED113" t="str">
            <v>有</v>
          </cell>
          <cell r="EE113" t="str">
            <v>有</v>
          </cell>
          <cell r="EF113" t="str">
            <v>有</v>
          </cell>
          <cell r="EG113" t="str">
            <v>有</v>
          </cell>
          <cell r="EH113" t="str">
            <v>有</v>
          </cell>
          <cell r="EI113" t="str">
            <v>配置</v>
          </cell>
          <cell r="EJ113" t="str">
            <v>配置</v>
          </cell>
          <cell r="EK113" t="str">
            <v>配置</v>
          </cell>
          <cell r="EL113" t="str">
            <v>配置</v>
          </cell>
          <cell r="EM113" t="str">
            <v>配置</v>
          </cell>
          <cell r="EN113" t="str">
            <v>配置</v>
          </cell>
          <cell r="EO113" t="str">
            <v>配置</v>
          </cell>
          <cell r="EP113" t="str">
            <v>配置</v>
          </cell>
          <cell r="EQ113" t="str">
            <v>配置</v>
          </cell>
          <cell r="ER113" t="str">
            <v>配置</v>
          </cell>
          <cell r="ES113" t="str">
            <v>配置</v>
          </cell>
          <cell r="ET113" t="str">
            <v>配置</v>
          </cell>
          <cell r="EU113">
            <v>76960</v>
          </cell>
          <cell r="EV113">
            <v>76960</v>
          </cell>
          <cell r="EW113">
            <v>76960</v>
          </cell>
          <cell r="EX113">
            <v>76960</v>
          </cell>
          <cell r="EY113">
            <v>76960</v>
          </cell>
          <cell r="EZ113">
            <v>76960</v>
          </cell>
          <cell r="FA113">
            <v>76960</v>
          </cell>
          <cell r="FB113">
            <v>76960</v>
          </cell>
          <cell r="FC113">
            <v>76960</v>
          </cell>
          <cell r="FD113">
            <v>76960</v>
          </cell>
          <cell r="FE113">
            <v>76960</v>
          </cell>
          <cell r="FF113">
            <v>76960</v>
          </cell>
        </row>
        <row r="114">
          <cell r="C114">
            <v>110</v>
          </cell>
          <cell r="D114" t="str">
            <v>稲毛キッズマーム保育園</v>
          </cell>
          <cell r="E114" t="str">
            <v>無</v>
          </cell>
          <cell r="F114">
            <v>30</v>
          </cell>
          <cell r="H114">
            <v>18</v>
          </cell>
          <cell r="I114">
            <v>12</v>
          </cell>
          <cell r="O114">
            <v>1189000</v>
          </cell>
          <cell r="P114">
            <v>2627000</v>
          </cell>
          <cell r="Q114">
            <v>2627000</v>
          </cell>
          <cell r="R114">
            <v>1631000</v>
          </cell>
          <cell r="S114">
            <v>0</v>
          </cell>
          <cell r="T114">
            <v>0</v>
          </cell>
          <cell r="U114">
            <v>0</v>
          </cell>
          <cell r="V114">
            <v>792000</v>
          </cell>
          <cell r="W114">
            <v>1751000</v>
          </cell>
          <cell r="X114">
            <v>1751000</v>
          </cell>
          <cell r="Y114">
            <v>1087000</v>
          </cell>
          <cell r="Z114">
            <v>0</v>
          </cell>
          <cell r="AA114">
            <v>0</v>
          </cell>
          <cell r="AB114">
            <v>0</v>
          </cell>
          <cell r="AC114">
            <v>397000</v>
          </cell>
          <cell r="AD114">
            <v>876000</v>
          </cell>
          <cell r="AE114">
            <v>876000</v>
          </cell>
          <cell r="AF114">
            <v>544000</v>
          </cell>
          <cell r="AG114">
            <v>0</v>
          </cell>
          <cell r="AH114">
            <v>0</v>
          </cell>
          <cell r="AI114">
            <v>0</v>
          </cell>
          <cell r="AJ114" t="str">
            <v>令和3年4月1日</v>
          </cell>
          <cell r="AK114" t="str">
            <v>令和3年5月31日交付</v>
          </cell>
          <cell r="AL114" t="str">
            <v>令和3年10月29日交付</v>
          </cell>
          <cell r="AM114" t="str">
            <v>4号の27</v>
          </cell>
          <cell r="AN114" t="str">
            <v>有</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v>1</v>
          </cell>
          <cell r="BN114">
            <v>1</v>
          </cell>
          <cell r="BO114">
            <v>1</v>
          </cell>
          <cell r="BP114">
            <v>1</v>
          </cell>
          <cell r="BQ114">
            <v>1</v>
          </cell>
          <cell r="BR114">
            <v>1</v>
          </cell>
          <cell r="BS114">
            <v>1</v>
          </cell>
          <cell r="BT114">
            <v>1</v>
          </cell>
          <cell r="BU114">
            <v>1</v>
          </cell>
          <cell r="BV114">
            <v>1</v>
          </cell>
          <cell r="BW114">
            <v>1</v>
          </cell>
          <cell r="BX114">
            <v>1</v>
          </cell>
          <cell r="CK114">
            <v>0</v>
          </cell>
          <cell r="CL114">
            <v>0</v>
          </cell>
          <cell r="CM114">
            <v>0</v>
          </cell>
          <cell r="CN114">
            <v>0</v>
          </cell>
          <cell r="CO114">
            <v>0</v>
          </cell>
          <cell r="CP114">
            <v>0</v>
          </cell>
          <cell r="CQ114">
            <v>0</v>
          </cell>
          <cell r="CR114">
            <v>0</v>
          </cell>
          <cell r="CS114">
            <v>0</v>
          </cell>
          <cell r="CT114">
            <v>0</v>
          </cell>
          <cell r="CU114">
            <v>0</v>
          </cell>
          <cell r="CV114">
            <v>0</v>
          </cell>
          <cell r="CW114" t="str">
            <v>無</v>
          </cell>
          <cell r="CX114">
            <v>0</v>
          </cell>
          <cell r="CY114" t="str">
            <v>有</v>
          </cell>
          <cell r="CZ114" t="str">
            <v>有</v>
          </cell>
          <cell r="DA114" t="str">
            <v>有</v>
          </cell>
          <cell r="DB114" t="str">
            <v>有</v>
          </cell>
          <cell r="DC114" t="str">
            <v>有</v>
          </cell>
          <cell r="DD114" t="str">
            <v>有</v>
          </cell>
          <cell r="DE114" t="str">
            <v>有</v>
          </cell>
          <cell r="DF114" t="str">
            <v>有</v>
          </cell>
          <cell r="DG114" t="str">
            <v>有</v>
          </cell>
          <cell r="DH114" t="str">
            <v>有</v>
          </cell>
          <cell r="DI114" t="str">
            <v>有</v>
          </cell>
          <cell r="DJ114" t="str">
            <v>有</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有</v>
          </cell>
          <cell r="DX114" t="str">
            <v>有</v>
          </cell>
          <cell r="DY114" t="str">
            <v>有</v>
          </cell>
          <cell r="DZ114" t="str">
            <v>有</v>
          </cell>
          <cell r="EA114" t="str">
            <v>有</v>
          </cell>
          <cell r="EB114" t="str">
            <v>有</v>
          </cell>
          <cell r="EC114" t="str">
            <v>有</v>
          </cell>
          <cell r="ED114" t="str">
            <v>有</v>
          </cell>
          <cell r="EE114" t="str">
            <v>有</v>
          </cell>
          <cell r="EF114" t="str">
            <v>有</v>
          </cell>
          <cell r="EG114" t="str">
            <v>有</v>
          </cell>
          <cell r="EH114" t="str">
            <v>有</v>
          </cell>
          <cell r="EU114" t="str">
            <v/>
          </cell>
          <cell r="EV114" t="str">
            <v/>
          </cell>
          <cell r="EW114" t="str">
            <v/>
          </cell>
          <cell r="EX114" t="str">
            <v/>
          </cell>
          <cell r="EY114" t="str">
            <v/>
          </cell>
          <cell r="EZ114" t="str">
            <v/>
          </cell>
          <cell r="FA114" t="str">
            <v/>
          </cell>
          <cell r="FB114" t="str">
            <v/>
          </cell>
          <cell r="FC114" t="str">
            <v/>
          </cell>
          <cell r="FD114" t="str">
            <v/>
          </cell>
          <cell r="FE114" t="str">
            <v/>
          </cell>
          <cell r="FF114" t="str">
            <v/>
          </cell>
        </row>
        <row r="115">
          <cell r="C115">
            <v>111</v>
          </cell>
          <cell r="D115" t="str">
            <v>キートスチャイルドケア園生町</v>
          </cell>
          <cell r="E115" t="str">
            <v>無</v>
          </cell>
          <cell r="F115">
            <v>59</v>
          </cell>
          <cell r="H115">
            <v>33</v>
          </cell>
          <cell r="I115">
            <v>26</v>
          </cell>
          <cell r="O115">
            <v>1189000</v>
          </cell>
          <cell r="P115">
            <v>2627000</v>
          </cell>
          <cell r="Q115">
            <v>0</v>
          </cell>
          <cell r="R115">
            <v>1028000</v>
          </cell>
          <cell r="S115">
            <v>1631000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t="str">
            <v>令和3年4月1日</v>
          </cell>
          <cell r="AM115" t="str">
            <v>5号の3</v>
          </cell>
          <cell r="AN115" t="str">
            <v>有</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v>1</v>
          </cell>
          <cell r="BN115">
            <v>1</v>
          </cell>
          <cell r="BO115">
            <v>1</v>
          </cell>
          <cell r="BP115">
            <v>1</v>
          </cell>
          <cell r="BQ115">
            <v>1</v>
          </cell>
          <cell r="BR115">
            <v>1</v>
          </cell>
          <cell r="BS115">
            <v>1</v>
          </cell>
          <cell r="BT115">
            <v>1</v>
          </cell>
          <cell r="BU115">
            <v>1</v>
          </cell>
          <cell r="BV115">
            <v>1</v>
          </cell>
          <cell r="BW115">
            <v>1</v>
          </cell>
          <cell r="BX115">
            <v>1</v>
          </cell>
          <cell r="CK115">
            <v>0</v>
          </cell>
          <cell r="CL115">
            <v>0</v>
          </cell>
          <cell r="CM115">
            <v>0</v>
          </cell>
          <cell r="CN115">
            <v>0</v>
          </cell>
          <cell r="CO115">
            <v>0</v>
          </cell>
          <cell r="CP115">
            <v>0</v>
          </cell>
          <cell r="CQ115">
            <v>0</v>
          </cell>
          <cell r="CR115">
            <v>0</v>
          </cell>
          <cell r="CS115">
            <v>0</v>
          </cell>
          <cell r="CT115">
            <v>0</v>
          </cell>
          <cell r="CU115">
            <v>0</v>
          </cell>
          <cell r="CV115">
            <v>0</v>
          </cell>
          <cell r="CW115" t="str">
            <v>無</v>
          </cell>
          <cell r="CX115">
            <v>0</v>
          </cell>
          <cell r="CY115" t="str">
            <v>無</v>
          </cell>
          <cell r="CZ115" t="str">
            <v>無</v>
          </cell>
          <cell r="DA115" t="str">
            <v>無</v>
          </cell>
          <cell r="DB115" t="str">
            <v>無</v>
          </cell>
          <cell r="DC115" t="str">
            <v>無</v>
          </cell>
          <cell r="DD115" t="str">
            <v>無</v>
          </cell>
          <cell r="DE115" t="str">
            <v>無</v>
          </cell>
          <cell r="DF115" t="str">
            <v>無</v>
          </cell>
          <cell r="DG115" t="str">
            <v>無</v>
          </cell>
          <cell r="DH115" t="str">
            <v>無</v>
          </cell>
          <cell r="DI115" t="str">
            <v>無</v>
          </cell>
          <cell r="DJ115" t="str">
            <v>無</v>
          </cell>
          <cell r="DK115" t="str">
            <v>-</v>
          </cell>
          <cell r="DL115" t="str">
            <v>-</v>
          </cell>
          <cell r="DM115" t="str">
            <v>-</v>
          </cell>
          <cell r="DN115" t="str">
            <v>-</v>
          </cell>
          <cell r="DO115" t="str">
            <v>-</v>
          </cell>
          <cell r="DP115" t="str">
            <v>-</v>
          </cell>
          <cell r="DQ115" t="str">
            <v>-</v>
          </cell>
          <cell r="DR115" t="str">
            <v>-</v>
          </cell>
          <cell r="DS115" t="str">
            <v>-</v>
          </cell>
          <cell r="DT115" t="str">
            <v>-</v>
          </cell>
          <cell r="DU115" t="str">
            <v>-</v>
          </cell>
          <cell r="DV115" t="str">
            <v>-</v>
          </cell>
          <cell r="DW115" t="str">
            <v>有</v>
          </cell>
          <cell r="DX115" t="str">
            <v>有</v>
          </cell>
          <cell r="DY115" t="str">
            <v>有</v>
          </cell>
          <cell r="DZ115" t="str">
            <v>有</v>
          </cell>
          <cell r="EA115" t="str">
            <v>有</v>
          </cell>
          <cell r="EB115" t="str">
            <v>有</v>
          </cell>
          <cell r="EC115" t="str">
            <v>有</v>
          </cell>
          <cell r="ED115" t="str">
            <v>有</v>
          </cell>
          <cell r="EE115" t="str">
            <v>有</v>
          </cell>
          <cell r="EF115" t="str">
            <v>有</v>
          </cell>
          <cell r="EG115" t="str">
            <v>有</v>
          </cell>
          <cell r="EH115" t="str">
            <v>有</v>
          </cell>
          <cell r="EI115" t="str">
            <v>兼務</v>
          </cell>
          <cell r="EJ115" t="str">
            <v>兼務</v>
          </cell>
          <cell r="EK115" t="str">
            <v>兼務</v>
          </cell>
          <cell r="EL115" t="str">
            <v>兼務</v>
          </cell>
          <cell r="EM115" t="str">
            <v>兼務</v>
          </cell>
          <cell r="EN115" t="str">
            <v>兼務</v>
          </cell>
          <cell r="EO115" t="str">
            <v>兼務</v>
          </cell>
          <cell r="EP115" t="str">
            <v>兼務</v>
          </cell>
          <cell r="EQ115" t="str">
            <v>兼務</v>
          </cell>
          <cell r="ER115" t="str">
            <v>兼務</v>
          </cell>
          <cell r="ES115" t="str">
            <v>兼務</v>
          </cell>
          <cell r="ET115" t="str">
            <v>兼務</v>
          </cell>
          <cell r="EU115" t="str">
            <v/>
          </cell>
          <cell r="EV115" t="str">
            <v/>
          </cell>
          <cell r="EW115" t="str">
            <v/>
          </cell>
          <cell r="EX115" t="str">
            <v/>
          </cell>
          <cell r="EY115" t="str">
            <v/>
          </cell>
          <cell r="EZ115" t="str">
            <v/>
          </cell>
          <cell r="FA115" t="str">
            <v/>
          </cell>
          <cell r="FB115" t="str">
            <v/>
          </cell>
          <cell r="FC115" t="str">
            <v/>
          </cell>
          <cell r="FD115" t="str">
            <v/>
          </cell>
          <cell r="FE115" t="str">
            <v/>
          </cell>
          <cell r="FF115" t="str">
            <v/>
          </cell>
        </row>
        <row r="116">
          <cell r="C116">
            <v>112</v>
          </cell>
          <cell r="D116" t="str">
            <v>千葉稲毛雲母保育園</v>
          </cell>
          <cell r="E116" t="str">
            <v>無</v>
          </cell>
          <cell r="F116">
            <v>59</v>
          </cell>
          <cell r="H116">
            <v>33</v>
          </cell>
          <cell r="I116">
            <v>26</v>
          </cell>
          <cell r="O116">
            <v>1189000</v>
          </cell>
          <cell r="P116">
            <v>2627000</v>
          </cell>
          <cell r="Q116">
            <v>2627000</v>
          </cell>
          <cell r="R116">
            <v>1028000</v>
          </cell>
          <cell r="S116">
            <v>0</v>
          </cell>
          <cell r="T116">
            <v>0</v>
          </cell>
          <cell r="U116">
            <v>0</v>
          </cell>
          <cell r="V116">
            <v>792000</v>
          </cell>
          <cell r="W116">
            <v>1751000</v>
          </cell>
          <cell r="X116">
            <v>1751000</v>
          </cell>
          <cell r="Y116">
            <v>685000</v>
          </cell>
          <cell r="Z116">
            <v>0</v>
          </cell>
          <cell r="AA116">
            <v>0</v>
          </cell>
          <cell r="AB116">
            <v>0</v>
          </cell>
          <cell r="AC116">
            <v>0</v>
          </cell>
          <cell r="AD116">
            <v>0</v>
          </cell>
          <cell r="AE116">
            <v>0</v>
          </cell>
          <cell r="AF116">
            <v>0</v>
          </cell>
          <cell r="AG116">
            <v>0</v>
          </cell>
          <cell r="AH116">
            <v>0</v>
          </cell>
          <cell r="AI116">
            <v>0</v>
          </cell>
          <cell r="AJ116" t="str">
            <v>令和3年4月1日</v>
          </cell>
          <cell r="AK116" t="str">
            <v>令和3年5月31日交付</v>
          </cell>
          <cell r="AM116" t="str">
            <v>4号の28</v>
          </cell>
          <cell r="AN116" t="str">
            <v>有</v>
          </cell>
          <cell r="AO116" t="str">
            <v>余裕活用型</v>
          </cell>
          <cell r="AP116" t="str">
            <v>余裕活用型</v>
          </cell>
          <cell r="AQ116" t="str">
            <v>余裕活用型</v>
          </cell>
          <cell r="AR116" t="str">
            <v>余裕活用型</v>
          </cell>
          <cell r="AS116" t="str">
            <v>余裕活用型</v>
          </cell>
          <cell r="AT116" t="str">
            <v>余裕活用型</v>
          </cell>
          <cell r="AU116" t="str">
            <v>余裕活用型</v>
          </cell>
          <cell r="AV116" t="str">
            <v>余裕活用型</v>
          </cell>
          <cell r="AW116" t="str">
            <v>余裕活用型</v>
          </cell>
          <cell r="AX116" t="str">
            <v>余裕活用型</v>
          </cell>
          <cell r="AY116" t="str">
            <v>余裕活用型</v>
          </cell>
          <cell r="AZ116" t="str">
            <v>余裕活用型</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CW116" t="str">
            <v>無</v>
          </cell>
          <cell r="CX116">
            <v>0</v>
          </cell>
          <cell r="CY116" t="str">
            <v>有</v>
          </cell>
          <cell r="CZ116" t="str">
            <v>有</v>
          </cell>
          <cell r="DA116" t="str">
            <v>有</v>
          </cell>
          <cell r="DB116" t="str">
            <v>有</v>
          </cell>
          <cell r="DC116" t="str">
            <v>有</v>
          </cell>
          <cell r="DD116" t="str">
            <v>有</v>
          </cell>
          <cell r="DE116" t="str">
            <v>有</v>
          </cell>
          <cell r="DF116" t="str">
            <v>有</v>
          </cell>
          <cell r="DG116" t="str">
            <v>有</v>
          </cell>
          <cell r="DH116" t="str">
            <v>有</v>
          </cell>
          <cell r="DI116" t="str">
            <v>有</v>
          </cell>
          <cell r="DJ116" t="str">
            <v>有</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有</v>
          </cell>
          <cell r="DX116" t="str">
            <v>有</v>
          </cell>
          <cell r="DY116" t="str">
            <v>有</v>
          </cell>
          <cell r="DZ116" t="str">
            <v>有</v>
          </cell>
          <cell r="EA116" t="str">
            <v>有</v>
          </cell>
          <cell r="EB116" t="str">
            <v>有</v>
          </cell>
          <cell r="EC116" t="str">
            <v>有</v>
          </cell>
          <cell r="ED116" t="str">
            <v>有</v>
          </cell>
          <cell r="EE116" t="str">
            <v>有</v>
          </cell>
          <cell r="EF116" t="str">
            <v>有</v>
          </cell>
          <cell r="EG116" t="str">
            <v>有</v>
          </cell>
          <cell r="EH116" t="str">
            <v>有</v>
          </cell>
          <cell r="EI116" t="str">
            <v>配置</v>
          </cell>
          <cell r="EJ116" t="str">
            <v>配置</v>
          </cell>
          <cell r="EK116" t="str">
            <v>配置</v>
          </cell>
          <cell r="EL116" t="str">
            <v>配置</v>
          </cell>
          <cell r="EM116" t="str">
            <v>配置</v>
          </cell>
          <cell r="EN116" t="str">
            <v>配置</v>
          </cell>
          <cell r="EO116" t="str">
            <v>配置</v>
          </cell>
          <cell r="EP116" t="str">
            <v>配置</v>
          </cell>
          <cell r="EQ116" t="str">
            <v>配置</v>
          </cell>
          <cell r="ER116" t="str">
            <v>配置</v>
          </cell>
          <cell r="ES116" t="str">
            <v>配置</v>
          </cell>
          <cell r="ET116" t="str">
            <v>配置</v>
          </cell>
          <cell r="EU116">
            <v>76960</v>
          </cell>
          <cell r="EV116">
            <v>76960</v>
          </cell>
          <cell r="EW116">
            <v>76960</v>
          </cell>
          <cell r="EX116">
            <v>76960</v>
          </cell>
          <cell r="EY116">
            <v>76960</v>
          </cell>
          <cell r="EZ116">
            <v>76960</v>
          </cell>
          <cell r="FA116">
            <v>76960</v>
          </cell>
          <cell r="FB116">
            <v>76960</v>
          </cell>
          <cell r="FC116">
            <v>76960</v>
          </cell>
          <cell r="FD116">
            <v>76960</v>
          </cell>
          <cell r="FE116">
            <v>76960</v>
          </cell>
          <cell r="FF116">
            <v>76960</v>
          </cell>
        </row>
        <row r="117">
          <cell r="C117">
            <v>113</v>
          </cell>
          <cell r="D117" t="str">
            <v>ナーサリーホーム園生保育園</v>
          </cell>
          <cell r="E117" t="str">
            <v>無</v>
          </cell>
          <cell r="F117">
            <v>40</v>
          </cell>
          <cell r="H117">
            <v>22</v>
          </cell>
          <cell r="I117">
            <v>18</v>
          </cell>
          <cell r="O117">
            <v>1189000</v>
          </cell>
          <cell r="P117">
            <v>2627000</v>
          </cell>
          <cell r="Q117">
            <v>0</v>
          </cell>
          <cell r="R117">
            <v>1028000</v>
          </cell>
          <cell r="S117">
            <v>0</v>
          </cell>
          <cell r="T117">
            <v>0</v>
          </cell>
          <cell r="U117">
            <v>0</v>
          </cell>
          <cell r="V117">
            <v>0</v>
          </cell>
          <cell r="W117">
            <v>0</v>
          </cell>
          <cell r="X117">
            <v>0</v>
          </cell>
          <cell r="Y117">
            <v>0</v>
          </cell>
          <cell r="Z117">
            <v>0</v>
          </cell>
          <cell r="AA117">
            <v>0</v>
          </cell>
          <cell r="AB117">
            <v>0</v>
          </cell>
          <cell r="AC117">
            <v>1189000</v>
          </cell>
          <cell r="AD117">
            <v>2627000</v>
          </cell>
          <cell r="AE117">
            <v>0</v>
          </cell>
          <cell r="AF117">
            <v>1028000</v>
          </cell>
          <cell r="AG117">
            <v>0</v>
          </cell>
          <cell r="AH117">
            <v>0</v>
          </cell>
          <cell r="AI117">
            <v>0</v>
          </cell>
          <cell r="AJ117" t="str">
            <v>令和3年4月1日</v>
          </cell>
          <cell r="AL117" t="str">
            <v>令和3年10月29日交付</v>
          </cell>
          <cell r="AM117" t="str">
            <v>4号の29</v>
          </cell>
          <cell r="AN117" t="str">
            <v>有</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v>1</v>
          </cell>
          <cell r="BN117">
            <v>1</v>
          </cell>
          <cell r="BO117">
            <v>1</v>
          </cell>
          <cell r="BP117">
            <v>1</v>
          </cell>
          <cell r="BQ117">
            <v>1</v>
          </cell>
          <cell r="BR117">
            <v>1</v>
          </cell>
          <cell r="BS117">
            <v>1</v>
          </cell>
          <cell r="BT117">
            <v>1</v>
          </cell>
          <cell r="BU117">
            <v>2</v>
          </cell>
          <cell r="BV117">
            <v>2</v>
          </cell>
          <cell r="BW117">
            <v>2</v>
          </cell>
          <cell r="BX117">
            <v>2</v>
          </cell>
          <cell r="CK117">
            <v>0</v>
          </cell>
          <cell r="CL117">
            <v>0</v>
          </cell>
          <cell r="CM117">
            <v>0</v>
          </cell>
          <cell r="CN117">
            <v>0</v>
          </cell>
          <cell r="CO117">
            <v>0</v>
          </cell>
          <cell r="CP117">
            <v>0</v>
          </cell>
          <cell r="CQ117">
            <v>0</v>
          </cell>
          <cell r="CR117">
            <v>0</v>
          </cell>
          <cell r="CS117">
            <v>0</v>
          </cell>
          <cell r="CT117">
            <v>0</v>
          </cell>
          <cell r="CU117">
            <v>0</v>
          </cell>
          <cell r="CV117">
            <v>0</v>
          </cell>
          <cell r="CW117" t="str">
            <v>無</v>
          </cell>
          <cell r="CX117">
            <v>1</v>
          </cell>
          <cell r="CY117" t="str">
            <v>無</v>
          </cell>
          <cell r="CZ117" t="str">
            <v>無</v>
          </cell>
          <cell r="DA117" t="str">
            <v>無</v>
          </cell>
          <cell r="DB117" t="str">
            <v>無</v>
          </cell>
          <cell r="DC117" t="str">
            <v>無</v>
          </cell>
          <cell r="DD117" t="str">
            <v>無</v>
          </cell>
          <cell r="DE117" t="str">
            <v>無</v>
          </cell>
          <cell r="DF117" t="str">
            <v>無</v>
          </cell>
          <cell r="DG117" t="str">
            <v>無</v>
          </cell>
          <cell r="DH117" t="str">
            <v>無</v>
          </cell>
          <cell r="DI117" t="str">
            <v>無</v>
          </cell>
          <cell r="DJ117" t="str">
            <v>無</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有</v>
          </cell>
          <cell r="DX117" t="str">
            <v>有</v>
          </cell>
          <cell r="DY117" t="str">
            <v>有</v>
          </cell>
          <cell r="DZ117" t="str">
            <v>有</v>
          </cell>
          <cell r="EA117" t="str">
            <v>有</v>
          </cell>
          <cell r="EB117" t="str">
            <v>有</v>
          </cell>
          <cell r="EC117" t="str">
            <v>有</v>
          </cell>
          <cell r="ED117" t="str">
            <v>有</v>
          </cell>
          <cell r="EE117" t="str">
            <v>有</v>
          </cell>
          <cell r="EF117" t="str">
            <v>有</v>
          </cell>
          <cell r="EG117" t="str">
            <v>有</v>
          </cell>
          <cell r="EH117" t="str">
            <v>有</v>
          </cell>
          <cell r="EI117" t="str">
            <v>配置</v>
          </cell>
          <cell r="EJ117" t="str">
            <v>配置</v>
          </cell>
          <cell r="EK117" t="str">
            <v>配置</v>
          </cell>
          <cell r="EL117" t="str">
            <v>配置</v>
          </cell>
          <cell r="EM117" t="str">
            <v>配置</v>
          </cell>
          <cell r="EN117" t="str">
            <v>配置</v>
          </cell>
          <cell r="EO117" t="str">
            <v>配置</v>
          </cell>
          <cell r="EP117" t="str">
            <v>配置</v>
          </cell>
          <cell r="EQ117" t="str">
            <v>配置</v>
          </cell>
          <cell r="ER117" t="str">
            <v>配置</v>
          </cell>
          <cell r="ES117" t="str">
            <v>配置</v>
          </cell>
          <cell r="ET117" t="str">
            <v>配置</v>
          </cell>
          <cell r="EU117">
            <v>76960</v>
          </cell>
          <cell r="EV117">
            <v>76960</v>
          </cell>
          <cell r="EW117">
            <v>76960</v>
          </cell>
          <cell r="EX117">
            <v>76960</v>
          </cell>
          <cell r="EY117">
            <v>76960</v>
          </cell>
          <cell r="EZ117">
            <v>76960</v>
          </cell>
          <cell r="FA117">
            <v>76960</v>
          </cell>
          <cell r="FB117">
            <v>76960</v>
          </cell>
          <cell r="FC117">
            <v>76960</v>
          </cell>
          <cell r="FD117">
            <v>76960</v>
          </cell>
          <cell r="FE117">
            <v>76960</v>
          </cell>
          <cell r="FF117">
            <v>76960</v>
          </cell>
        </row>
        <row r="118">
          <cell r="C118">
            <v>114</v>
          </cell>
          <cell r="D118" t="str">
            <v>ぽかぽか保育園おてんとさん</v>
          </cell>
          <cell r="E118" t="str">
            <v>無</v>
          </cell>
          <cell r="F118">
            <v>40</v>
          </cell>
          <cell r="H118">
            <v>21</v>
          </cell>
          <cell r="I118">
            <v>19</v>
          </cell>
          <cell r="O118">
            <v>1189000</v>
          </cell>
          <cell r="P118">
            <v>2627000</v>
          </cell>
          <cell r="Q118">
            <v>2627000</v>
          </cell>
          <cell r="R118">
            <v>1631000</v>
          </cell>
          <cell r="S118">
            <v>0</v>
          </cell>
          <cell r="T118">
            <v>1982000</v>
          </cell>
          <cell r="U118">
            <v>0</v>
          </cell>
          <cell r="V118">
            <v>792000</v>
          </cell>
          <cell r="W118">
            <v>1751000</v>
          </cell>
          <cell r="X118">
            <v>1751000</v>
          </cell>
          <cell r="Y118">
            <v>1087000</v>
          </cell>
          <cell r="Z118">
            <v>0</v>
          </cell>
          <cell r="AA118">
            <v>1321000</v>
          </cell>
          <cell r="AB118">
            <v>0</v>
          </cell>
          <cell r="AC118">
            <v>0</v>
          </cell>
          <cell r="AD118">
            <v>0</v>
          </cell>
          <cell r="AE118">
            <v>0</v>
          </cell>
          <cell r="AF118">
            <v>0</v>
          </cell>
          <cell r="AG118">
            <v>0</v>
          </cell>
          <cell r="AH118">
            <v>0</v>
          </cell>
          <cell r="AI118">
            <v>0</v>
          </cell>
          <cell r="AJ118" t="str">
            <v>令和3年4月1日</v>
          </cell>
          <cell r="AK118" t="str">
            <v>令和3年5月31日交付</v>
          </cell>
          <cell r="AM118" t="str">
            <v>4号の30</v>
          </cell>
          <cell r="AN118" t="str">
            <v>有</v>
          </cell>
          <cell r="AO118" t="str">
            <v>余裕活用型</v>
          </cell>
          <cell r="AP118" t="str">
            <v>余裕活用型</v>
          </cell>
          <cell r="AQ118" t="str">
            <v>余裕活用型</v>
          </cell>
          <cell r="AR118" t="str">
            <v>余裕活用型</v>
          </cell>
          <cell r="AS118" t="str">
            <v>余裕活用型</v>
          </cell>
          <cell r="AT118" t="str">
            <v>余裕活用型</v>
          </cell>
          <cell r="AU118" t="str">
            <v>余裕活用型</v>
          </cell>
          <cell r="AV118" t="str">
            <v>余裕活用型</v>
          </cell>
          <cell r="AW118" t="str">
            <v>余裕活用型</v>
          </cell>
          <cell r="AX118" t="str">
            <v>余裕活用型</v>
          </cell>
          <cell r="AY118" t="str">
            <v>余裕活用型</v>
          </cell>
          <cell r="AZ118" t="str">
            <v>余裕活用型</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v>1</v>
          </cell>
          <cell r="BN118">
            <v>1</v>
          </cell>
          <cell r="BO118">
            <v>1</v>
          </cell>
          <cell r="BP118">
            <v>1</v>
          </cell>
          <cell r="BQ118">
            <v>1</v>
          </cell>
          <cell r="BR118">
            <v>1</v>
          </cell>
          <cell r="BS118">
            <v>1</v>
          </cell>
          <cell r="BT118">
            <v>1</v>
          </cell>
          <cell r="BU118">
            <v>1</v>
          </cell>
          <cell r="BV118">
            <v>1</v>
          </cell>
          <cell r="BW118">
            <v>1</v>
          </cell>
          <cell r="BX118">
            <v>1</v>
          </cell>
          <cell r="CK118">
            <v>0</v>
          </cell>
          <cell r="CL118">
            <v>0</v>
          </cell>
          <cell r="CM118">
            <v>0</v>
          </cell>
          <cell r="CN118">
            <v>0</v>
          </cell>
          <cell r="CO118">
            <v>0</v>
          </cell>
          <cell r="CP118">
            <v>0</v>
          </cell>
          <cell r="CQ118">
            <v>0</v>
          </cell>
          <cell r="CR118">
            <v>0</v>
          </cell>
          <cell r="CS118">
            <v>0</v>
          </cell>
          <cell r="CT118">
            <v>0</v>
          </cell>
          <cell r="CU118">
            <v>0</v>
          </cell>
          <cell r="CV118">
            <v>0</v>
          </cell>
          <cell r="CW118" t="str">
            <v>無</v>
          </cell>
          <cell r="CX118">
            <v>0</v>
          </cell>
          <cell r="CY118" t="str">
            <v>有</v>
          </cell>
          <cell r="CZ118" t="str">
            <v>有</v>
          </cell>
          <cell r="DA118" t="str">
            <v>有</v>
          </cell>
          <cell r="DB118" t="str">
            <v>有</v>
          </cell>
          <cell r="DC118" t="str">
            <v>有</v>
          </cell>
          <cell r="DD118" t="str">
            <v>有</v>
          </cell>
          <cell r="DE118" t="str">
            <v>有</v>
          </cell>
          <cell r="DF118" t="str">
            <v>有</v>
          </cell>
          <cell r="DG118" t="str">
            <v>有</v>
          </cell>
          <cell r="DH118" t="str">
            <v>有</v>
          </cell>
          <cell r="DI118" t="str">
            <v>有</v>
          </cell>
          <cell r="DJ118" t="str">
            <v>有</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有</v>
          </cell>
          <cell r="DX118" t="str">
            <v>有</v>
          </cell>
          <cell r="DY118" t="str">
            <v>有</v>
          </cell>
          <cell r="DZ118" t="str">
            <v>有</v>
          </cell>
          <cell r="EA118" t="str">
            <v>有</v>
          </cell>
          <cell r="EB118" t="str">
            <v>有</v>
          </cell>
          <cell r="EC118" t="str">
            <v>有</v>
          </cell>
          <cell r="ED118" t="str">
            <v>有</v>
          </cell>
          <cell r="EE118" t="str">
            <v>有</v>
          </cell>
          <cell r="EF118" t="str">
            <v>有</v>
          </cell>
          <cell r="EG118" t="str">
            <v>有</v>
          </cell>
          <cell r="EH118" t="str">
            <v>有</v>
          </cell>
          <cell r="EI118" t="str">
            <v>配置</v>
          </cell>
          <cell r="EJ118" t="str">
            <v>配置</v>
          </cell>
          <cell r="EK118" t="str">
            <v>配置</v>
          </cell>
          <cell r="EL118" t="str">
            <v>配置</v>
          </cell>
          <cell r="EM118" t="str">
            <v>配置</v>
          </cell>
          <cell r="EN118" t="str">
            <v>配置</v>
          </cell>
          <cell r="EO118" t="str">
            <v>配置</v>
          </cell>
          <cell r="EP118" t="str">
            <v>配置</v>
          </cell>
          <cell r="EQ118" t="str">
            <v>配置</v>
          </cell>
          <cell r="ER118" t="str">
            <v>配置</v>
          </cell>
          <cell r="ES118" t="str">
            <v>配置</v>
          </cell>
          <cell r="ET118" t="str">
            <v>配置</v>
          </cell>
          <cell r="EU118">
            <v>76960</v>
          </cell>
          <cell r="EV118">
            <v>76960</v>
          </cell>
          <cell r="EW118">
            <v>76960</v>
          </cell>
          <cell r="EX118">
            <v>76960</v>
          </cell>
          <cell r="EY118">
            <v>76960</v>
          </cell>
          <cell r="EZ118">
            <v>76960</v>
          </cell>
          <cell r="FA118">
            <v>76960</v>
          </cell>
          <cell r="FB118">
            <v>76960</v>
          </cell>
          <cell r="FC118">
            <v>76960</v>
          </cell>
          <cell r="FD118">
            <v>76960</v>
          </cell>
          <cell r="FE118">
            <v>76960</v>
          </cell>
          <cell r="FF118">
            <v>76960</v>
          </cell>
        </row>
        <row r="119">
          <cell r="C119">
            <v>115</v>
          </cell>
          <cell r="D119" t="str">
            <v>ドルフィンキッズ保育園</v>
          </cell>
          <cell r="E119" t="str">
            <v>無</v>
          </cell>
          <cell r="F119">
            <v>28</v>
          </cell>
          <cell r="H119">
            <v>15</v>
          </cell>
          <cell r="I119">
            <v>13</v>
          </cell>
          <cell r="O119">
            <v>1189000</v>
          </cell>
          <cell r="P119">
            <v>2627000</v>
          </cell>
          <cell r="Q119">
            <v>0</v>
          </cell>
          <cell r="R119">
            <v>1028000</v>
          </cell>
          <cell r="S119">
            <v>0</v>
          </cell>
          <cell r="T119">
            <v>0</v>
          </cell>
          <cell r="U119">
            <v>0</v>
          </cell>
          <cell r="V119">
            <v>0</v>
          </cell>
          <cell r="W119">
            <v>0</v>
          </cell>
          <cell r="X119">
            <v>0</v>
          </cell>
          <cell r="Y119">
            <v>0</v>
          </cell>
          <cell r="Z119">
            <v>0</v>
          </cell>
          <cell r="AA119">
            <v>0</v>
          </cell>
          <cell r="AB119">
            <v>0</v>
          </cell>
          <cell r="AC119">
            <v>1189000</v>
          </cell>
          <cell r="AD119">
            <v>2627000</v>
          </cell>
          <cell r="AE119">
            <v>0</v>
          </cell>
          <cell r="AF119">
            <v>1028000</v>
          </cell>
          <cell r="AG119">
            <v>0</v>
          </cell>
          <cell r="AH119">
            <v>0</v>
          </cell>
          <cell r="AI119">
            <v>0</v>
          </cell>
          <cell r="AJ119" t="str">
            <v>令和3年4月1日</v>
          </cell>
          <cell r="AL119" t="str">
            <v>令和3年10月29日交付</v>
          </cell>
          <cell r="AM119" t="str">
            <v>4号の31</v>
          </cell>
          <cell r="AN119" t="str">
            <v>有</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v>2</v>
          </cell>
          <cell r="BN119">
            <v>2</v>
          </cell>
          <cell r="BO119">
            <v>2</v>
          </cell>
          <cell r="BP119">
            <v>2</v>
          </cell>
          <cell r="BQ119">
            <v>2</v>
          </cell>
          <cell r="BR119">
            <v>2</v>
          </cell>
          <cell r="BS119">
            <v>2</v>
          </cell>
          <cell r="BT119">
            <v>2</v>
          </cell>
          <cell r="BU119">
            <v>2</v>
          </cell>
          <cell r="BV119">
            <v>2</v>
          </cell>
          <cell r="BW119">
            <v>2</v>
          </cell>
          <cell r="BX119">
            <v>2</v>
          </cell>
          <cell r="CK119">
            <v>0</v>
          </cell>
          <cell r="CL119">
            <v>0</v>
          </cell>
          <cell r="CM119">
            <v>0</v>
          </cell>
          <cell r="CN119">
            <v>0</v>
          </cell>
          <cell r="CO119">
            <v>0</v>
          </cell>
          <cell r="CP119">
            <v>0</v>
          </cell>
          <cell r="CQ119">
            <v>0</v>
          </cell>
          <cell r="CR119">
            <v>0</v>
          </cell>
          <cell r="CS119">
            <v>0</v>
          </cell>
          <cell r="CT119">
            <v>0</v>
          </cell>
          <cell r="CU119">
            <v>0</v>
          </cell>
          <cell r="CV119">
            <v>0</v>
          </cell>
          <cell r="CW119" t="str">
            <v>無</v>
          </cell>
          <cell r="CX119">
            <v>1</v>
          </cell>
          <cell r="CY119" t="str">
            <v>有</v>
          </cell>
          <cell r="CZ119" t="str">
            <v>有</v>
          </cell>
          <cell r="DA119" t="str">
            <v>有</v>
          </cell>
          <cell r="DB119" t="str">
            <v>有</v>
          </cell>
          <cell r="DC119" t="str">
            <v>有</v>
          </cell>
          <cell r="DD119" t="str">
            <v>有</v>
          </cell>
          <cell r="DE119" t="str">
            <v>有</v>
          </cell>
          <cell r="DF119" t="str">
            <v>有</v>
          </cell>
          <cell r="DG119" t="str">
            <v>有</v>
          </cell>
          <cell r="DH119" t="str">
            <v>有</v>
          </cell>
          <cell r="DI119" t="str">
            <v>有</v>
          </cell>
          <cell r="DJ119" t="str">
            <v>有</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有</v>
          </cell>
          <cell r="DX119" t="str">
            <v>有</v>
          </cell>
          <cell r="DY119" t="str">
            <v>有</v>
          </cell>
          <cell r="DZ119" t="str">
            <v>有</v>
          </cell>
          <cell r="EA119" t="str">
            <v>有</v>
          </cell>
          <cell r="EB119" t="str">
            <v>有</v>
          </cell>
          <cell r="EC119" t="str">
            <v>有</v>
          </cell>
          <cell r="ED119" t="str">
            <v>有</v>
          </cell>
          <cell r="EE119" t="str">
            <v>有</v>
          </cell>
          <cell r="EF119" t="str">
            <v>有</v>
          </cell>
          <cell r="EG119" t="str">
            <v>有</v>
          </cell>
          <cell r="EH119" t="str">
            <v>有</v>
          </cell>
          <cell r="EI119" t="str">
            <v>配置</v>
          </cell>
          <cell r="EJ119" t="str">
            <v>配置</v>
          </cell>
          <cell r="EK119" t="str">
            <v>配置</v>
          </cell>
          <cell r="EL119" t="str">
            <v>配置</v>
          </cell>
          <cell r="EM119" t="str">
            <v>配置</v>
          </cell>
          <cell r="EN119" t="str">
            <v>配置</v>
          </cell>
          <cell r="EO119" t="str">
            <v>配置</v>
          </cell>
          <cell r="EP119" t="str">
            <v>配置</v>
          </cell>
          <cell r="EQ119" t="str">
            <v>配置</v>
          </cell>
          <cell r="ER119" t="str">
            <v>配置</v>
          </cell>
          <cell r="ES119" t="str">
            <v>配置</v>
          </cell>
          <cell r="ET119" t="str">
            <v>配置</v>
          </cell>
          <cell r="EU119">
            <v>76960</v>
          </cell>
          <cell r="EV119">
            <v>76960</v>
          </cell>
          <cell r="EW119">
            <v>76960</v>
          </cell>
          <cell r="EX119">
            <v>76960</v>
          </cell>
          <cell r="EY119">
            <v>76960</v>
          </cell>
          <cell r="EZ119">
            <v>76960</v>
          </cell>
          <cell r="FA119">
            <v>76960</v>
          </cell>
          <cell r="FB119">
            <v>76960</v>
          </cell>
          <cell r="FC119">
            <v>76960</v>
          </cell>
          <cell r="FD119">
            <v>76960</v>
          </cell>
          <cell r="FE119">
            <v>76960</v>
          </cell>
          <cell r="FF119">
            <v>76960</v>
          </cell>
        </row>
        <row r="120">
          <cell r="C120">
            <v>116</v>
          </cell>
          <cell r="D120" t="str">
            <v>童夢ガーデンＷＢＧ保育園</v>
          </cell>
          <cell r="E120" t="str">
            <v>無</v>
          </cell>
          <cell r="F120">
            <v>30</v>
          </cell>
          <cell r="H120">
            <v>17</v>
          </cell>
          <cell r="I120">
            <v>13</v>
          </cell>
          <cell r="O120">
            <v>586000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t="str">
            <v>令和3年4月1日</v>
          </cell>
          <cell r="AM120" t="str">
            <v>4号の32</v>
          </cell>
          <cell r="AN120" t="str">
            <v>有</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v>1</v>
          </cell>
          <cell r="BN120">
            <v>1</v>
          </cell>
          <cell r="BO120">
            <v>1</v>
          </cell>
          <cell r="BP120">
            <v>1</v>
          </cell>
          <cell r="BQ120">
            <v>1</v>
          </cell>
          <cell r="BR120">
            <v>1</v>
          </cell>
          <cell r="BS120">
            <v>1</v>
          </cell>
          <cell r="BT120">
            <v>1</v>
          </cell>
          <cell r="BU120">
            <v>1</v>
          </cell>
          <cell r="BV120">
            <v>1</v>
          </cell>
          <cell r="BW120">
            <v>1</v>
          </cell>
          <cell r="BX120">
            <v>1</v>
          </cell>
          <cell r="CK120">
            <v>0</v>
          </cell>
          <cell r="CL120">
            <v>0</v>
          </cell>
          <cell r="CM120">
            <v>0</v>
          </cell>
          <cell r="CN120">
            <v>0</v>
          </cell>
          <cell r="CO120">
            <v>0</v>
          </cell>
          <cell r="CP120">
            <v>0</v>
          </cell>
          <cell r="CQ120">
            <v>0</v>
          </cell>
          <cell r="CR120">
            <v>0</v>
          </cell>
          <cell r="CS120">
            <v>0</v>
          </cell>
          <cell r="CT120">
            <v>0</v>
          </cell>
          <cell r="CU120">
            <v>0</v>
          </cell>
          <cell r="CV120">
            <v>0</v>
          </cell>
          <cell r="CW120" t="str">
            <v>無</v>
          </cell>
          <cell r="CX120">
            <v>0</v>
          </cell>
          <cell r="CY120" t="str">
            <v>無</v>
          </cell>
          <cell r="CZ120" t="str">
            <v>無</v>
          </cell>
          <cell r="DA120" t="str">
            <v>無</v>
          </cell>
          <cell r="DB120" t="str">
            <v>無</v>
          </cell>
          <cell r="DC120" t="str">
            <v>無</v>
          </cell>
          <cell r="DD120" t="str">
            <v>無</v>
          </cell>
          <cell r="DE120" t="str">
            <v>無</v>
          </cell>
          <cell r="DF120" t="str">
            <v>無</v>
          </cell>
          <cell r="DG120" t="str">
            <v>無</v>
          </cell>
          <cell r="DH120" t="str">
            <v>無</v>
          </cell>
          <cell r="DI120" t="str">
            <v>無</v>
          </cell>
          <cell r="DJ120" t="str">
            <v>無</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有</v>
          </cell>
          <cell r="DX120" t="str">
            <v>有</v>
          </cell>
          <cell r="DY120" t="str">
            <v>有</v>
          </cell>
          <cell r="DZ120" t="str">
            <v>有</v>
          </cell>
          <cell r="EA120" t="str">
            <v>有</v>
          </cell>
          <cell r="EB120" t="str">
            <v>有</v>
          </cell>
          <cell r="EC120" t="str">
            <v>有</v>
          </cell>
          <cell r="ED120" t="str">
            <v>有</v>
          </cell>
          <cell r="EE120" t="str">
            <v>有</v>
          </cell>
          <cell r="EF120" t="str">
            <v>有</v>
          </cell>
          <cell r="EG120" t="str">
            <v>有</v>
          </cell>
          <cell r="EH120" t="str">
            <v>有</v>
          </cell>
          <cell r="EI120" t="str">
            <v>配置</v>
          </cell>
          <cell r="EJ120" t="str">
            <v>配置</v>
          </cell>
          <cell r="EK120" t="str">
            <v>配置</v>
          </cell>
          <cell r="EL120" t="str">
            <v>配置</v>
          </cell>
          <cell r="EM120" t="str">
            <v>配置</v>
          </cell>
          <cell r="EN120" t="str">
            <v>配置</v>
          </cell>
          <cell r="EO120" t="str">
            <v>配置</v>
          </cell>
          <cell r="EP120" t="str">
            <v>配置</v>
          </cell>
          <cell r="EQ120" t="str">
            <v>配置</v>
          </cell>
          <cell r="ER120" t="str">
            <v>配置</v>
          </cell>
          <cell r="ES120" t="str">
            <v>配置</v>
          </cell>
          <cell r="ET120" t="str">
            <v>配置</v>
          </cell>
          <cell r="EU120">
            <v>76960</v>
          </cell>
          <cell r="EV120">
            <v>76960</v>
          </cell>
          <cell r="EW120">
            <v>76960</v>
          </cell>
          <cell r="EX120">
            <v>76960</v>
          </cell>
          <cell r="EY120">
            <v>76960</v>
          </cell>
          <cell r="EZ120">
            <v>76960</v>
          </cell>
          <cell r="FA120">
            <v>76960</v>
          </cell>
          <cell r="FB120">
            <v>76960</v>
          </cell>
          <cell r="FC120">
            <v>76960</v>
          </cell>
          <cell r="FD120">
            <v>76960</v>
          </cell>
          <cell r="FE120">
            <v>76960</v>
          </cell>
          <cell r="FF120">
            <v>76960</v>
          </cell>
        </row>
        <row r="121">
          <cell r="C121">
            <v>117</v>
          </cell>
          <cell r="D121" t="str">
            <v>小ばと会なでしこ保育園</v>
          </cell>
          <cell r="E121" t="str">
            <v>無</v>
          </cell>
          <cell r="F121">
            <v>59</v>
          </cell>
          <cell r="H121">
            <v>30</v>
          </cell>
          <cell r="I121">
            <v>29</v>
          </cell>
          <cell r="O121">
            <v>1189000</v>
          </cell>
          <cell r="P121">
            <v>2627000</v>
          </cell>
          <cell r="Q121">
            <v>2627000</v>
          </cell>
          <cell r="R121">
            <v>1631000</v>
          </cell>
          <cell r="S121">
            <v>0</v>
          </cell>
          <cell r="T121">
            <v>1982000</v>
          </cell>
          <cell r="U121">
            <v>0</v>
          </cell>
          <cell r="V121">
            <v>792000</v>
          </cell>
          <cell r="W121">
            <v>1751000</v>
          </cell>
          <cell r="X121">
            <v>1751000</v>
          </cell>
          <cell r="Y121">
            <v>1087000</v>
          </cell>
          <cell r="Z121">
            <v>0</v>
          </cell>
          <cell r="AA121">
            <v>1321000</v>
          </cell>
          <cell r="AB121">
            <v>0</v>
          </cell>
          <cell r="AC121">
            <v>0</v>
          </cell>
          <cell r="AD121">
            <v>0</v>
          </cell>
          <cell r="AE121">
            <v>0</v>
          </cell>
          <cell r="AF121">
            <v>0</v>
          </cell>
          <cell r="AG121">
            <v>0</v>
          </cell>
          <cell r="AH121">
            <v>0</v>
          </cell>
          <cell r="AI121">
            <v>0</v>
          </cell>
          <cell r="AJ121" t="str">
            <v>令和3年4月1日</v>
          </cell>
          <cell r="AK121" t="str">
            <v>令和3年5月31日交付</v>
          </cell>
          <cell r="AM121" t="str">
            <v>4号の33</v>
          </cell>
          <cell r="AN121" t="str">
            <v>有</v>
          </cell>
          <cell r="AO121" t="str">
            <v>一般型</v>
          </cell>
          <cell r="AP121" t="str">
            <v>一般型</v>
          </cell>
          <cell r="AQ121" t="str">
            <v>一般型</v>
          </cell>
          <cell r="AR121" t="str">
            <v>一般型</v>
          </cell>
          <cell r="AS121" t="str">
            <v>一般型</v>
          </cell>
          <cell r="AT121" t="str">
            <v>一般型</v>
          </cell>
          <cell r="AU121" t="str">
            <v>一般型</v>
          </cell>
          <cell r="AV121" t="str">
            <v>一般型</v>
          </cell>
          <cell r="AW121" t="str">
            <v>一般型</v>
          </cell>
          <cell r="AX121" t="str">
            <v>一般型</v>
          </cell>
          <cell r="AY121" t="str">
            <v>一般型</v>
          </cell>
          <cell r="AZ121" t="str">
            <v>一般型</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v>1</v>
          </cell>
          <cell r="BN121">
            <v>1</v>
          </cell>
          <cell r="BO121">
            <v>1</v>
          </cell>
          <cell r="BP121">
            <v>1</v>
          </cell>
          <cell r="BQ121">
            <v>1</v>
          </cell>
          <cell r="BR121">
            <v>1</v>
          </cell>
          <cell r="BS121">
            <v>1</v>
          </cell>
          <cell r="BT121">
            <v>1</v>
          </cell>
          <cell r="BU121">
            <v>1</v>
          </cell>
          <cell r="BV121">
            <v>1</v>
          </cell>
          <cell r="BW121">
            <v>1</v>
          </cell>
          <cell r="BX121">
            <v>1</v>
          </cell>
          <cell r="CK121">
            <v>0</v>
          </cell>
          <cell r="CL121">
            <v>0</v>
          </cell>
          <cell r="CM121">
            <v>0</v>
          </cell>
          <cell r="CN121">
            <v>0</v>
          </cell>
          <cell r="CO121">
            <v>0</v>
          </cell>
          <cell r="CP121">
            <v>0</v>
          </cell>
          <cell r="CQ121">
            <v>0</v>
          </cell>
          <cell r="CR121">
            <v>0</v>
          </cell>
          <cell r="CS121">
            <v>0</v>
          </cell>
          <cell r="CT121">
            <v>0</v>
          </cell>
          <cell r="CU121">
            <v>0</v>
          </cell>
          <cell r="CV121">
            <v>0</v>
          </cell>
          <cell r="CW121" t="str">
            <v>無</v>
          </cell>
          <cell r="CX121">
            <v>1</v>
          </cell>
          <cell r="CY121" t="str">
            <v>有</v>
          </cell>
          <cell r="CZ121" t="str">
            <v>有</v>
          </cell>
          <cell r="DA121" t="str">
            <v>有</v>
          </cell>
          <cell r="DB121" t="str">
            <v>有</v>
          </cell>
          <cell r="DC121" t="str">
            <v>有</v>
          </cell>
          <cell r="DD121" t="str">
            <v>有</v>
          </cell>
          <cell r="DE121" t="str">
            <v>有</v>
          </cell>
          <cell r="DF121" t="str">
            <v>有</v>
          </cell>
          <cell r="DG121" t="str">
            <v>有</v>
          </cell>
          <cell r="DH121" t="str">
            <v>有</v>
          </cell>
          <cell r="DI121" t="str">
            <v>有</v>
          </cell>
          <cell r="DJ121" t="str">
            <v>有</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有</v>
          </cell>
          <cell r="DX121" t="str">
            <v>有</v>
          </cell>
          <cell r="DY121" t="str">
            <v>有</v>
          </cell>
          <cell r="DZ121" t="str">
            <v>有</v>
          </cell>
          <cell r="EA121" t="str">
            <v>有</v>
          </cell>
          <cell r="EB121" t="str">
            <v>有</v>
          </cell>
          <cell r="EC121" t="str">
            <v>有</v>
          </cell>
          <cell r="ED121" t="str">
            <v>有</v>
          </cell>
          <cell r="EE121" t="str">
            <v>有</v>
          </cell>
          <cell r="EF121" t="str">
            <v>有</v>
          </cell>
          <cell r="EG121" t="str">
            <v>有</v>
          </cell>
          <cell r="EH121" t="str">
            <v>有</v>
          </cell>
          <cell r="EI121" t="str">
            <v>配置</v>
          </cell>
          <cell r="EJ121" t="str">
            <v>配置</v>
          </cell>
          <cell r="EK121" t="str">
            <v>配置</v>
          </cell>
          <cell r="EL121" t="str">
            <v>配置</v>
          </cell>
          <cell r="EM121" t="str">
            <v>配置</v>
          </cell>
          <cell r="EN121" t="str">
            <v>配置</v>
          </cell>
          <cell r="EO121" t="str">
            <v>配置</v>
          </cell>
          <cell r="EP121" t="str">
            <v>配置</v>
          </cell>
          <cell r="EQ121" t="str">
            <v>配置</v>
          </cell>
          <cell r="ER121" t="str">
            <v>配置</v>
          </cell>
          <cell r="ES121" t="str">
            <v>配置</v>
          </cell>
          <cell r="ET121" t="str">
            <v>配置</v>
          </cell>
          <cell r="EU121">
            <v>76960</v>
          </cell>
          <cell r="EV121">
            <v>76960</v>
          </cell>
          <cell r="EW121">
            <v>76960</v>
          </cell>
          <cell r="EX121">
            <v>76960</v>
          </cell>
          <cell r="EY121">
            <v>76960</v>
          </cell>
          <cell r="EZ121">
            <v>76960</v>
          </cell>
          <cell r="FA121">
            <v>76960</v>
          </cell>
          <cell r="FB121">
            <v>76960</v>
          </cell>
          <cell r="FC121">
            <v>76960</v>
          </cell>
          <cell r="FD121">
            <v>76960</v>
          </cell>
          <cell r="FE121">
            <v>76960</v>
          </cell>
          <cell r="FF121">
            <v>76960</v>
          </cell>
        </row>
        <row r="122">
          <cell r="C122">
            <v>118</v>
          </cell>
          <cell r="D122" t="str">
            <v>大森保育園</v>
          </cell>
          <cell r="E122" t="str">
            <v>無</v>
          </cell>
          <cell r="F122">
            <v>115</v>
          </cell>
          <cell r="H122">
            <v>66</v>
          </cell>
          <cell r="I122">
            <v>49</v>
          </cell>
          <cell r="O122">
            <v>1189000</v>
          </cell>
          <cell r="P122">
            <v>2627000</v>
          </cell>
          <cell r="Q122">
            <v>2146000</v>
          </cell>
          <cell r="R122">
            <v>1028000</v>
          </cell>
          <cell r="S122">
            <v>0</v>
          </cell>
          <cell r="T122">
            <v>0</v>
          </cell>
          <cell r="U122">
            <v>0</v>
          </cell>
          <cell r="V122">
            <v>792000</v>
          </cell>
          <cell r="W122">
            <v>1751000</v>
          </cell>
          <cell r="X122">
            <v>1430000</v>
          </cell>
          <cell r="Y122">
            <v>685000</v>
          </cell>
          <cell r="Z122">
            <v>0</v>
          </cell>
          <cell r="AA122">
            <v>0</v>
          </cell>
          <cell r="AB122">
            <v>0</v>
          </cell>
          <cell r="AC122">
            <v>397000</v>
          </cell>
          <cell r="AD122">
            <v>876000</v>
          </cell>
          <cell r="AE122">
            <v>716000</v>
          </cell>
          <cell r="AF122">
            <v>343000</v>
          </cell>
          <cell r="AG122">
            <v>0</v>
          </cell>
          <cell r="AH122">
            <v>0</v>
          </cell>
          <cell r="AI122">
            <v>0</v>
          </cell>
          <cell r="AJ122" t="str">
            <v>令和3年4月1日</v>
          </cell>
          <cell r="AK122" t="str">
            <v>令和3年5月31日交付</v>
          </cell>
          <cell r="AL122" t="str">
            <v>令和3年10月29日交付</v>
          </cell>
          <cell r="AM122" t="str">
            <v>4号の34</v>
          </cell>
          <cell r="AN122" t="str">
            <v>有</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CW122" t="str">
            <v>無</v>
          </cell>
          <cell r="CX122">
            <v>0</v>
          </cell>
          <cell r="CY122" t="str">
            <v>有</v>
          </cell>
          <cell r="CZ122" t="str">
            <v>有</v>
          </cell>
          <cell r="DA122" t="str">
            <v>有</v>
          </cell>
          <cell r="DB122" t="str">
            <v>有</v>
          </cell>
          <cell r="DC122" t="str">
            <v>有</v>
          </cell>
          <cell r="DD122" t="str">
            <v>有</v>
          </cell>
          <cell r="DE122" t="str">
            <v>有</v>
          </cell>
          <cell r="DF122" t="str">
            <v>有</v>
          </cell>
          <cell r="DG122" t="str">
            <v>有</v>
          </cell>
          <cell r="DH122" t="str">
            <v>有</v>
          </cell>
          <cell r="DI122" t="str">
            <v>有</v>
          </cell>
          <cell r="DJ122" t="str">
            <v>有</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有</v>
          </cell>
          <cell r="DX122" t="str">
            <v>有</v>
          </cell>
          <cell r="DY122" t="str">
            <v>有</v>
          </cell>
          <cell r="DZ122" t="str">
            <v>有</v>
          </cell>
          <cell r="EA122" t="str">
            <v>有</v>
          </cell>
          <cell r="EB122" t="str">
            <v>有</v>
          </cell>
          <cell r="EC122" t="str">
            <v>有</v>
          </cell>
          <cell r="ED122" t="str">
            <v>有</v>
          </cell>
          <cell r="EE122" t="str">
            <v>有</v>
          </cell>
          <cell r="EF122" t="str">
            <v>有</v>
          </cell>
          <cell r="EG122" t="str">
            <v>有</v>
          </cell>
          <cell r="EH122" t="str">
            <v>有</v>
          </cell>
          <cell r="EI122" t="str">
            <v>配置</v>
          </cell>
          <cell r="EJ122" t="str">
            <v>配置</v>
          </cell>
          <cell r="EK122" t="str">
            <v>配置</v>
          </cell>
          <cell r="EL122" t="str">
            <v>配置</v>
          </cell>
          <cell r="EM122" t="str">
            <v>配置</v>
          </cell>
          <cell r="EN122" t="str">
            <v>配置</v>
          </cell>
          <cell r="EO122" t="str">
            <v>配置</v>
          </cell>
          <cell r="EP122" t="str">
            <v>配置</v>
          </cell>
          <cell r="EQ122" t="str">
            <v>配置</v>
          </cell>
          <cell r="ER122" t="str">
            <v>配置</v>
          </cell>
          <cell r="ES122" t="str">
            <v>配置</v>
          </cell>
          <cell r="ET122" t="str">
            <v>配置</v>
          </cell>
          <cell r="EU122">
            <v>76960</v>
          </cell>
          <cell r="EV122">
            <v>76960</v>
          </cell>
          <cell r="EW122">
            <v>76960</v>
          </cell>
          <cell r="EX122">
            <v>76960</v>
          </cell>
          <cell r="EY122">
            <v>76960</v>
          </cell>
          <cell r="EZ122">
            <v>76960</v>
          </cell>
          <cell r="FA122">
            <v>76960</v>
          </cell>
          <cell r="FB122">
            <v>76960</v>
          </cell>
          <cell r="FC122">
            <v>76960</v>
          </cell>
          <cell r="FD122">
            <v>76960</v>
          </cell>
          <cell r="FE122">
            <v>76960</v>
          </cell>
          <cell r="FF122">
            <v>76960</v>
          </cell>
        </row>
        <row r="123">
          <cell r="C123">
            <v>119</v>
          </cell>
          <cell r="D123" t="str">
            <v>東千葉雲母保育園</v>
          </cell>
          <cell r="E123" t="str">
            <v>無</v>
          </cell>
          <cell r="F123">
            <v>59</v>
          </cell>
          <cell r="H123">
            <v>33</v>
          </cell>
          <cell r="I123">
            <v>26</v>
          </cell>
          <cell r="O123">
            <v>1189000</v>
          </cell>
          <cell r="P123">
            <v>2627000</v>
          </cell>
          <cell r="Q123">
            <v>0</v>
          </cell>
          <cell r="R123">
            <v>1028000</v>
          </cell>
          <cell r="S123">
            <v>0</v>
          </cell>
          <cell r="T123">
            <v>0</v>
          </cell>
          <cell r="U123">
            <v>0</v>
          </cell>
          <cell r="V123">
            <v>792000</v>
          </cell>
          <cell r="W123">
            <v>1751000</v>
          </cell>
          <cell r="X123">
            <v>0</v>
          </cell>
          <cell r="Y123">
            <v>685000</v>
          </cell>
          <cell r="Z123">
            <v>0</v>
          </cell>
          <cell r="AA123">
            <v>0</v>
          </cell>
          <cell r="AB123">
            <v>0</v>
          </cell>
          <cell r="AC123">
            <v>0</v>
          </cell>
          <cell r="AD123">
            <v>0</v>
          </cell>
          <cell r="AE123">
            <v>0</v>
          </cell>
          <cell r="AF123">
            <v>0</v>
          </cell>
          <cell r="AG123">
            <v>0</v>
          </cell>
          <cell r="AH123">
            <v>0</v>
          </cell>
          <cell r="AI123">
            <v>0</v>
          </cell>
          <cell r="AJ123" t="str">
            <v>令和3年4月1日</v>
          </cell>
          <cell r="AK123" t="str">
            <v>令和3年5月31日交付</v>
          </cell>
          <cell r="AM123" t="str">
            <v>4号の35</v>
          </cell>
          <cell r="AN123" t="str">
            <v>有</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CW123" t="str">
            <v>無</v>
          </cell>
          <cell r="CX123">
            <v>0</v>
          </cell>
          <cell r="CY123" t="str">
            <v>有</v>
          </cell>
          <cell r="CZ123" t="str">
            <v>有</v>
          </cell>
          <cell r="DA123" t="str">
            <v>有</v>
          </cell>
          <cell r="DB123" t="str">
            <v>有</v>
          </cell>
          <cell r="DC123" t="str">
            <v>有</v>
          </cell>
          <cell r="DD123" t="str">
            <v>有</v>
          </cell>
          <cell r="DE123" t="str">
            <v>有</v>
          </cell>
          <cell r="DF123" t="str">
            <v>有</v>
          </cell>
          <cell r="DG123" t="str">
            <v>有</v>
          </cell>
          <cell r="DH123" t="str">
            <v>有</v>
          </cell>
          <cell r="DI123" t="str">
            <v>有</v>
          </cell>
          <cell r="DJ123" t="str">
            <v>有</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有</v>
          </cell>
          <cell r="DX123" t="str">
            <v>有</v>
          </cell>
          <cell r="DY123" t="str">
            <v>有</v>
          </cell>
          <cell r="DZ123" t="str">
            <v>有</v>
          </cell>
          <cell r="EA123" t="str">
            <v>有</v>
          </cell>
          <cell r="EB123" t="str">
            <v>有</v>
          </cell>
          <cell r="EC123" t="str">
            <v>有</v>
          </cell>
          <cell r="ED123" t="str">
            <v>有</v>
          </cell>
          <cell r="EE123" t="str">
            <v>有</v>
          </cell>
          <cell r="EF123" t="str">
            <v>有</v>
          </cell>
          <cell r="EG123" t="str">
            <v>有</v>
          </cell>
          <cell r="EH123" t="str">
            <v>有</v>
          </cell>
          <cell r="EI123" t="str">
            <v>配置</v>
          </cell>
          <cell r="EJ123" t="str">
            <v>配置</v>
          </cell>
          <cell r="EK123" t="str">
            <v>配置</v>
          </cell>
          <cell r="EL123" t="str">
            <v>配置</v>
          </cell>
          <cell r="EM123" t="str">
            <v>配置</v>
          </cell>
          <cell r="EN123" t="str">
            <v>配置</v>
          </cell>
          <cell r="EO123" t="str">
            <v>配置</v>
          </cell>
          <cell r="EP123" t="str">
            <v>配置</v>
          </cell>
          <cell r="EQ123" t="str">
            <v>配置</v>
          </cell>
          <cell r="ER123" t="str">
            <v>配置</v>
          </cell>
          <cell r="ES123" t="str">
            <v>配置</v>
          </cell>
          <cell r="ET123" t="str">
            <v>配置</v>
          </cell>
          <cell r="EU123">
            <v>76960</v>
          </cell>
          <cell r="EV123">
            <v>76960</v>
          </cell>
          <cell r="EW123">
            <v>76960</v>
          </cell>
          <cell r="EX123">
            <v>76960</v>
          </cell>
          <cell r="EY123">
            <v>76960</v>
          </cell>
          <cell r="EZ123">
            <v>76960</v>
          </cell>
          <cell r="FA123">
            <v>76960</v>
          </cell>
          <cell r="FB123">
            <v>76960</v>
          </cell>
          <cell r="FC123">
            <v>76960</v>
          </cell>
          <cell r="FD123">
            <v>76960</v>
          </cell>
          <cell r="FE123">
            <v>76960</v>
          </cell>
          <cell r="FF123">
            <v>76960</v>
          </cell>
        </row>
        <row r="124">
          <cell r="C124">
            <v>120</v>
          </cell>
          <cell r="D124" t="str">
            <v>レイモンド汐見丘保育園</v>
          </cell>
          <cell r="E124" t="str">
            <v>無</v>
          </cell>
          <cell r="F124">
            <v>50</v>
          </cell>
          <cell r="H124">
            <v>30</v>
          </cell>
          <cell r="I124">
            <v>20</v>
          </cell>
          <cell r="O124">
            <v>1189000</v>
          </cell>
          <cell r="P124">
            <v>2627000</v>
          </cell>
          <cell r="Q124">
            <v>0</v>
          </cell>
          <cell r="R124">
            <v>0</v>
          </cell>
          <cell r="S124">
            <v>0</v>
          </cell>
          <cell r="T124">
            <v>0</v>
          </cell>
          <cell r="U124">
            <v>0</v>
          </cell>
          <cell r="V124">
            <v>792000</v>
          </cell>
          <cell r="W124">
            <v>1751000</v>
          </cell>
          <cell r="X124">
            <v>0</v>
          </cell>
          <cell r="Y124">
            <v>0</v>
          </cell>
          <cell r="Z124">
            <v>0</v>
          </cell>
          <cell r="AA124">
            <v>0</v>
          </cell>
          <cell r="AB124">
            <v>0</v>
          </cell>
          <cell r="AC124">
            <v>397000</v>
          </cell>
          <cell r="AD124">
            <v>876000</v>
          </cell>
          <cell r="AE124">
            <v>0</v>
          </cell>
          <cell r="AF124">
            <v>0</v>
          </cell>
          <cell r="AG124">
            <v>0</v>
          </cell>
          <cell r="AH124">
            <v>0</v>
          </cell>
          <cell r="AI124">
            <v>0</v>
          </cell>
          <cell r="AJ124" t="str">
            <v>令和3年4月1日</v>
          </cell>
          <cell r="AK124" t="str">
            <v>令和3年5月31日交付</v>
          </cell>
          <cell r="AL124" t="str">
            <v>令和3年10月29日交付</v>
          </cell>
          <cell r="AM124" t="str">
            <v>4号の36</v>
          </cell>
          <cell r="AN124" t="str">
            <v>有</v>
          </cell>
          <cell r="AO124" t="str">
            <v>-</v>
          </cell>
          <cell r="AP124" t="str">
            <v>-</v>
          </cell>
          <cell r="AQ124" t="str">
            <v>-</v>
          </cell>
          <cell r="AR124" t="str">
            <v>-</v>
          </cell>
          <cell r="AS124" t="str">
            <v>-</v>
          </cell>
          <cell r="AT124" t="str">
            <v>-</v>
          </cell>
          <cell r="AU124" t="str">
            <v>-</v>
          </cell>
          <cell r="AV124" t="str">
            <v>-</v>
          </cell>
          <cell r="AW124" t="str">
            <v>-</v>
          </cell>
          <cell r="AX124" t="str">
            <v>-</v>
          </cell>
          <cell r="AY124" t="str">
            <v>-</v>
          </cell>
          <cell r="AZ124" t="str">
            <v>-</v>
          </cell>
          <cell r="BA124" t="str">
            <v>-</v>
          </cell>
          <cell r="BB124" t="str">
            <v>-</v>
          </cell>
          <cell r="BC124" t="str">
            <v>-</v>
          </cell>
          <cell r="BD124" t="str">
            <v>-</v>
          </cell>
          <cell r="BE124" t="str">
            <v>-</v>
          </cell>
          <cell r="BF124" t="str">
            <v>-</v>
          </cell>
          <cell r="BG124" t="str">
            <v>-</v>
          </cell>
          <cell r="BH124" t="str">
            <v>-</v>
          </cell>
          <cell r="BI124" t="str">
            <v>-</v>
          </cell>
          <cell r="BJ124" t="str">
            <v>-</v>
          </cell>
          <cell r="BK124" t="str">
            <v>-</v>
          </cell>
          <cell r="BL124" t="str">
            <v>-</v>
          </cell>
          <cell r="BM124">
            <v>1</v>
          </cell>
          <cell r="BN124">
            <v>1</v>
          </cell>
          <cell r="BO124">
            <v>1</v>
          </cell>
          <cell r="BP124">
            <v>1</v>
          </cell>
          <cell r="BQ124">
            <v>1</v>
          </cell>
          <cell r="BR124">
            <v>1</v>
          </cell>
          <cell r="BS124">
            <v>1</v>
          </cell>
          <cell r="BT124">
            <v>1</v>
          </cell>
          <cell r="BU124">
            <v>1</v>
          </cell>
          <cell r="BV124">
            <v>1</v>
          </cell>
          <cell r="BW124">
            <v>1</v>
          </cell>
          <cell r="BX124">
            <v>1</v>
          </cell>
          <cell r="CK124">
            <v>0</v>
          </cell>
          <cell r="CL124">
            <v>0</v>
          </cell>
          <cell r="CM124">
            <v>0</v>
          </cell>
          <cell r="CN124">
            <v>0</v>
          </cell>
          <cell r="CO124">
            <v>0</v>
          </cell>
          <cell r="CP124">
            <v>0</v>
          </cell>
          <cell r="CQ124">
            <v>0</v>
          </cell>
          <cell r="CR124">
            <v>0</v>
          </cell>
          <cell r="CS124">
            <v>0</v>
          </cell>
          <cell r="CT124">
            <v>0</v>
          </cell>
          <cell r="CU124">
            <v>0</v>
          </cell>
          <cell r="CV124">
            <v>0</v>
          </cell>
          <cell r="CW124" t="str">
            <v>無</v>
          </cell>
          <cell r="CX124">
            <v>1</v>
          </cell>
          <cell r="CY124" t="str">
            <v>有</v>
          </cell>
          <cell r="CZ124" t="str">
            <v>有</v>
          </cell>
          <cell r="DA124" t="str">
            <v>有</v>
          </cell>
          <cell r="DB124" t="str">
            <v>有</v>
          </cell>
          <cell r="DC124" t="str">
            <v>有</v>
          </cell>
          <cell r="DD124" t="str">
            <v>有</v>
          </cell>
          <cell r="DE124" t="str">
            <v>有</v>
          </cell>
          <cell r="DF124" t="str">
            <v>有</v>
          </cell>
          <cell r="DG124" t="str">
            <v>有</v>
          </cell>
          <cell r="DH124" t="str">
            <v>有</v>
          </cell>
          <cell r="DI124" t="str">
            <v>有</v>
          </cell>
          <cell r="DJ124" t="str">
            <v>有</v>
          </cell>
          <cell r="DK124" t="str">
            <v>-</v>
          </cell>
          <cell r="DL124" t="str">
            <v>-</v>
          </cell>
          <cell r="DM124" t="str">
            <v>-</v>
          </cell>
          <cell r="DN124" t="str">
            <v>-</v>
          </cell>
          <cell r="DO124" t="str">
            <v>-</v>
          </cell>
          <cell r="DP124" t="str">
            <v>-</v>
          </cell>
          <cell r="DQ124" t="str">
            <v>-</v>
          </cell>
          <cell r="DR124" t="str">
            <v>-</v>
          </cell>
          <cell r="DS124" t="str">
            <v>-</v>
          </cell>
          <cell r="DT124" t="str">
            <v>-</v>
          </cell>
          <cell r="DU124" t="str">
            <v>-</v>
          </cell>
          <cell r="DV124" t="str">
            <v>-</v>
          </cell>
          <cell r="DW124" t="str">
            <v>有</v>
          </cell>
          <cell r="DX124" t="str">
            <v>有</v>
          </cell>
          <cell r="DY124" t="str">
            <v>有</v>
          </cell>
          <cell r="DZ124" t="str">
            <v>有</v>
          </cell>
          <cell r="EA124" t="str">
            <v>有</v>
          </cell>
          <cell r="EB124" t="str">
            <v>有</v>
          </cell>
          <cell r="EC124" t="str">
            <v>有</v>
          </cell>
          <cell r="ED124" t="str">
            <v>有</v>
          </cell>
          <cell r="EE124" t="str">
            <v>有</v>
          </cell>
          <cell r="EF124" t="str">
            <v>有</v>
          </cell>
          <cell r="EG124" t="str">
            <v>有</v>
          </cell>
          <cell r="EH124" t="str">
            <v>有</v>
          </cell>
          <cell r="EI124" t="str">
            <v>嘱託</v>
          </cell>
          <cell r="EJ124" t="str">
            <v>嘱託</v>
          </cell>
          <cell r="EK124" t="str">
            <v>嘱託</v>
          </cell>
          <cell r="EL124" t="str">
            <v>嘱託</v>
          </cell>
          <cell r="EM124" t="str">
            <v>嘱託</v>
          </cell>
          <cell r="EN124" t="str">
            <v>嘱託</v>
          </cell>
          <cell r="EO124" t="str">
            <v>嘱託</v>
          </cell>
          <cell r="EP124" t="str">
            <v>嘱託</v>
          </cell>
          <cell r="EQ124" t="str">
            <v>嘱託</v>
          </cell>
          <cell r="ER124" t="str">
            <v>嘱託</v>
          </cell>
          <cell r="ES124" t="str">
            <v>嘱託</v>
          </cell>
          <cell r="ET124" t="str">
            <v>嘱託</v>
          </cell>
          <cell r="EU124" t="str">
            <v/>
          </cell>
          <cell r="EV124" t="str">
            <v/>
          </cell>
          <cell r="EW124" t="str">
            <v/>
          </cell>
          <cell r="EX124" t="str">
            <v/>
          </cell>
          <cell r="EY124" t="str">
            <v/>
          </cell>
          <cell r="EZ124" t="str">
            <v/>
          </cell>
          <cell r="FA124" t="str">
            <v/>
          </cell>
          <cell r="FB124" t="str">
            <v/>
          </cell>
          <cell r="FC124" t="str">
            <v/>
          </cell>
          <cell r="FD124" t="str">
            <v/>
          </cell>
          <cell r="FE124" t="str">
            <v/>
          </cell>
          <cell r="FF124" t="str">
            <v/>
          </cell>
        </row>
        <row r="125">
          <cell r="C125">
            <v>121</v>
          </cell>
          <cell r="D125" t="str">
            <v>かえで保育園幕張本郷６丁目</v>
          </cell>
          <cell r="E125" t="str">
            <v>無</v>
          </cell>
          <cell r="F125">
            <v>50</v>
          </cell>
          <cell r="H125">
            <v>27</v>
          </cell>
          <cell r="I125">
            <v>23</v>
          </cell>
          <cell r="O125">
            <v>1189000</v>
          </cell>
          <cell r="P125">
            <v>2627000</v>
          </cell>
          <cell r="Q125">
            <v>2627000</v>
          </cell>
          <cell r="R125">
            <v>0</v>
          </cell>
          <cell r="S125">
            <v>0</v>
          </cell>
          <cell r="T125">
            <v>0</v>
          </cell>
          <cell r="U125">
            <v>0</v>
          </cell>
          <cell r="V125">
            <v>792000</v>
          </cell>
          <cell r="W125">
            <v>1751000</v>
          </cell>
          <cell r="X125">
            <v>1751000</v>
          </cell>
          <cell r="Y125">
            <v>0</v>
          </cell>
          <cell r="Z125">
            <v>0</v>
          </cell>
          <cell r="AA125">
            <v>0</v>
          </cell>
          <cell r="AB125">
            <v>0</v>
          </cell>
          <cell r="AC125">
            <v>0</v>
          </cell>
          <cell r="AD125">
            <v>0</v>
          </cell>
          <cell r="AE125">
            <v>0</v>
          </cell>
          <cell r="AF125">
            <v>0</v>
          </cell>
          <cell r="AG125">
            <v>0</v>
          </cell>
          <cell r="AH125">
            <v>0</v>
          </cell>
          <cell r="AI125">
            <v>0</v>
          </cell>
          <cell r="AJ125" t="str">
            <v>令和3年4月1日</v>
          </cell>
          <cell r="AK125" t="str">
            <v>令和3年5月31日交付</v>
          </cell>
          <cell r="AM125" t="str">
            <v>4号の37</v>
          </cell>
          <cell r="AN125" t="str">
            <v>有</v>
          </cell>
          <cell r="AO125" t="str">
            <v>-</v>
          </cell>
          <cell r="AP125" t="str">
            <v>-</v>
          </cell>
          <cell r="AQ125" t="str">
            <v>-</v>
          </cell>
          <cell r="AR125" t="str">
            <v>-</v>
          </cell>
          <cell r="AS125" t="str">
            <v>-</v>
          </cell>
          <cell r="AT125" t="str">
            <v>-</v>
          </cell>
          <cell r="AU125" t="str">
            <v>-</v>
          </cell>
          <cell r="AV125" t="str">
            <v>-</v>
          </cell>
          <cell r="AW125" t="str">
            <v>-</v>
          </cell>
          <cell r="AX125" t="str">
            <v>-</v>
          </cell>
          <cell r="AY125" t="str">
            <v>-</v>
          </cell>
          <cell r="AZ125" t="str">
            <v>-</v>
          </cell>
          <cell r="BA125" t="str">
            <v>-</v>
          </cell>
          <cell r="BB125" t="str">
            <v>-</v>
          </cell>
          <cell r="BC125" t="str">
            <v>-</v>
          </cell>
          <cell r="BD125" t="str">
            <v>-</v>
          </cell>
          <cell r="BE125" t="str">
            <v>-</v>
          </cell>
          <cell r="BF125" t="str">
            <v>-</v>
          </cell>
          <cell r="BG125" t="str">
            <v>-</v>
          </cell>
          <cell r="BH125" t="str">
            <v>-</v>
          </cell>
          <cell r="BI125" t="str">
            <v>-</v>
          </cell>
          <cell r="BJ125" t="str">
            <v>-</v>
          </cell>
          <cell r="BK125" t="str">
            <v>-</v>
          </cell>
          <cell r="BL125" t="str">
            <v>-</v>
          </cell>
          <cell r="BM125">
            <v>1</v>
          </cell>
          <cell r="BN125">
            <v>1</v>
          </cell>
          <cell r="BO125">
            <v>1</v>
          </cell>
          <cell r="BP125">
            <v>1</v>
          </cell>
          <cell r="BQ125">
            <v>1</v>
          </cell>
          <cell r="BR125">
            <v>1</v>
          </cell>
          <cell r="BS125">
            <v>1</v>
          </cell>
          <cell r="BT125">
            <v>1</v>
          </cell>
          <cell r="BU125">
            <v>1</v>
          </cell>
          <cell r="BV125">
            <v>1</v>
          </cell>
          <cell r="BW125">
            <v>1</v>
          </cell>
          <cell r="BX125">
            <v>1</v>
          </cell>
          <cell r="CK125">
            <v>0</v>
          </cell>
          <cell r="CL125">
            <v>0</v>
          </cell>
          <cell r="CM125">
            <v>0</v>
          </cell>
          <cell r="CN125">
            <v>0</v>
          </cell>
          <cell r="CO125">
            <v>0</v>
          </cell>
          <cell r="CP125">
            <v>0</v>
          </cell>
          <cell r="CQ125">
            <v>0</v>
          </cell>
          <cell r="CR125">
            <v>0</v>
          </cell>
          <cell r="CS125">
            <v>0</v>
          </cell>
          <cell r="CT125">
            <v>0</v>
          </cell>
          <cell r="CU125">
            <v>0</v>
          </cell>
          <cell r="CV125">
            <v>0</v>
          </cell>
          <cell r="CW125" t="str">
            <v>無</v>
          </cell>
          <cell r="CX125">
            <v>1</v>
          </cell>
          <cell r="CY125" t="str">
            <v>有</v>
          </cell>
          <cell r="CZ125" t="str">
            <v>有</v>
          </cell>
          <cell r="DA125" t="str">
            <v>有</v>
          </cell>
          <cell r="DB125" t="str">
            <v>有</v>
          </cell>
          <cell r="DC125" t="str">
            <v>有</v>
          </cell>
          <cell r="DD125" t="str">
            <v>有</v>
          </cell>
          <cell r="DE125" t="str">
            <v>有</v>
          </cell>
          <cell r="DF125" t="str">
            <v>有</v>
          </cell>
          <cell r="DG125" t="str">
            <v>有</v>
          </cell>
          <cell r="DH125" t="str">
            <v>有</v>
          </cell>
          <cell r="DI125" t="str">
            <v>有</v>
          </cell>
          <cell r="DJ125" t="str">
            <v>有</v>
          </cell>
          <cell r="DK125" t="str">
            <v>-</v>
          </cell>
          <cell r="DL125" t="str">
            <v>-</v>
          </cell>
          <cell r="DM125" t="str">
            <v>-</v>
          </cell>
          <cell r="DN125" t="str">
            <v>-</v>
          </cell>
          <cell r="DO125" t="str">
            <v>-</v>
          </cell>
          <cell r="DP125" t="str">
            <v>-</v>
          </cell>
          <cell r="DQ125" t="str">
            <v>-</v>
          </cell>
          <cell r="DR125" t="str">
            <v>-</v>
          </cell>
          <cell r="DS125" t="str">
            <v>-</v>
          </cell>
          <cell r="DT125" t="str">
            <v>-</v>
          </cell>
          <cell r="DU125" t="str">
            <v>-</v>
          </cell>
          <cell r="DV125" t="str">
            <v>-</v>
          </cell>
          <cell r="DW125" t="str">
            <v>有</v>
          </cell>
          <cell r="DX125" t="str">
            <v>有</v>
          </cell>
          <cell r="DY125" t="str">
            <v>有</v>
          </cell>
          <cell r="DZ125" t="str">
            <v>有</v>
          </cell>
          <cell r="EA125" t="str">
            <v>有</v>
          </cell>
          <cell r="EB125" t="str">
            <v>有</v>
          </cell>
          <cell r="EC125" t="str">
            <v>有</v>
          </cell>
          <cell r="ED125" t="str">
            <v>有</v>
          </cell>
          <cell r="EE125" t="str">
            <v>有</v>
          </cell>
          <cell r="EF125" t="str">
            <v>有</v>
          </cell>
          <cell r="EG125" t="str">
            <v>有</v>
          </cell>
          <cell r="EH125" t="str">
            <v>有</v>
          </cell>
          <cell r="EI125" t="str">
            <v>配置</v>
          </cell>
          <cell r="EJ125" t="str">
            <v>配置</v>
          </cell>
          <cell r="EK125" t="str">
            <v>配置</v>
          </cell>
          <cell r="EL125" t="str">
            <v>配置</v>
          </cell>
          <cell r="EM125" t="str">
            <v>配置</v>
          </cell>
          <cell r="EN125" t="str">
            <v>配置</v>
          </cell>
          <cell r="EO125" t="str">
            <v>配置</v>
          </cell>
          <cell r="EP125" t="str">
            <v>配置</v>
          </cell>
          <cell r="EQ125" t="str">
            <v>配置</v>
          </cell>
          <cell r="ER125" t="str">
            <v>配置</v>
          </cell>
          <cell r="ES125" t="str">
            <v>配置</v>
          </cell>
          <cell r="ET125" t="str">
            <v>配置</v>
          </cell>
          <cell r="EU125">
            <v>76960</v>
          </cell>
          <cell r="EV125">
            <v>76960</v>
          </cell>
          <cell r="EW125">
            <v>76960</v>
          </cell>
          <cell r="EX125">
            <v>76960</v>
          </cell>
          <cell r="EY125">
            <v>76960</v>
          </cell>
          <cell r="EZ125">
            <v>76960</v>
          </cell>
          <cell r="FA125">
            <v>76960</v>
          </cell>
          <cell r="FB125">
            <v>76960</v>
          </cell>
          <cell r="FC125">
            <v>76960</v>
          </cell>
          <cell r="FD125">
            <v>76960</v>
          </cell>
          <cell r="FE125">
            <v>76960</v>
          </cell>
          <cell r="FF125">
            <v>76960</v>
          </cell>
        </row>
        <row r="126">
          <cell r="C126">
            <v>122</v>
          </cell>
          <cell r="D126" t="str">
            <v>童夢ガーデン幕張本郷保育園</v>
          </cell>
          <cell r="E126" t="str">
            <v>無</v>
          </cell>
          <cell r="F126">
            <v>30</v>
          </cell>
          <cell r="H126">
            <v>17</v>
          </cell>
          <cell r="I126">
            <v>13</v>
          </cell>
          <cell r="O126">
            <v>586000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t="str">
            <v>令和3年4月1日</v>
          </cell>
          <cell r="AM126" t="str">
            <v>4号の38</v>
          </cell>
          <cell r="AN126" t="str">
            <v>有</v>
          </cell>
          <cell r="AO126" t="str">
            <v>-</v>
          </cell>
          <cell r="AP126" t="str">
            <v>-</v>
          </cell>
          <cell r="AQ126" t="str">
            <v>-</v>
          </cell>
          <cell r="AR126" t="str">
            <v>-</v>
          </cell>
          <cell r="AS126" t="str">
            <v>-</v>
          </cell>
          <cell r="AT126" t="str">
            <v>-</v>
          </cell>
          <cell r="AU126" t="str">
            <v>-</v>
          </cell>
          <cell r="AV126" t="str">
            <v>-</v>
          </cell>
          <cell r="AW126" t="str">
            <v>-</v>
          </cell>
          <cell r="AX126" t="str">
            <v>-</v>
          </cell>
          <cell r="AY126" t="str">
            <v>-</v>
          </cell>
          <cell r="AZ126" t="str">
            <v>-</v>
          </cell>
          <cell r="BA126" t="str">
            <v>-</v>
          </cell>
          <cell r="BB126" t="str">
            <v>-</v>
          </cell>
          <cell r="BC126" t="str">
            <v>-</v>
          </cell>
          <cell r="BD126" t="str">
            <v>-</v>
          </cell>
          <cell r="BE126" t="str">
            <v>-</v>
          </cell>
          <cell r="BF126" t="str">
            <v>-</v>
          </cell>
          <cell r="BG126" t="str">
            <v>-</v>
          </cell>
          <cell r="BH126" t="str">
            <v>-</v>
          </cell>
          <cell r="BI126" t="str">
            <v>-</v>
          </cell>
          <cell r="BJ126" t="str">
            <v>-</v>
          </cell>
          <cell r="BK126" t="str">
            <v>-</v>
          </cell>
          <cell r="BL126" t="str">
            <v>-</v>
          </cell>
          <cell r="BM126">
            <v>1</v>
          </cell>
          <cell r="BN126">
            <v>1</v>
          </cell>
          <cell r="BO126">
            <v>1</v>
          </cell>
          <cell r="BP126">
            <v>1</v>
          </cell>
          <cell r="BQ126">
            <v>1</v>
          </cell>
          <cell r="BR126">
            <v>1</v>
          </cell>
          <cell r="BS126">
            <v>1</v>
          </cell>
          <cell r="BT126">
            <v>1</v>
          </cell>
          <cell r="BU126">
            <v>1</v>
          </cell>
          <cell r="BV126">
            <v>1</v>
          </cell>
          <cell r="BW126">
            <v>1</v>
          </cell>
          <cell r="BX126">
            <v>1</v>
          </cell>
          <cell r="CK126">
            <v>0</v>
          </cell>
          <cell r="CL126">
            <v>0</v>
          </cell>
          <cell r="CM126">
            <v>0</v>
          </cell>
          <cell r="CN126">
            <v>0</v>
          </cell>
          <cell r="CO126">
            <v>0</v>
          </cell>
          <cell r="CP126">
            <v>0</v>
          </cell>
          <cell r="CQ126">
            <v>0</v>
          </cell>
          <cell r="CR126">
            <v>0</v>
          </cell>
          <cell r="CS126">
            <v>0</v>
          </cell>
          <cell r="CT126">
            <v>0</v>
          </cell>
          <cell r="CU126">
            <v>0</v>
          </cell>
          <cell r="CV126">
            <v>0</v>
          </cell>
          <cell r="CW126" t="str">
            <v>無</v>
          </cell>
          <cell r="CX126">
            <v>0</v>
          </cell>
          <cell r="CY126" t="str">
            <v>無</v>
          </cell>
          <cell r="CZ126" t="str">
            <v>無</v>
          </cell>
          <cell r="DA126" t="str">
            <v>無</v>
          </cell>
          <cell r="DB126" t="str">
            <v>無</v>
          </cell>
          <cell r="DC126" t="str">
            <v>無</v>
          </cell>
          <cell r="DD126" t="str">
            <v>無</v>
          </cell>
          <cell r="DE126" t="str">
            <v>無</v>
          </cell>
          <cell r="DF126" t="str">
            <v>無</v>
          </cell>
          <cell r="DG126" t="str">
            <v>無</v>
          </cell>
          <cell r="DH126" t="str">
            <v>無</v>
          </cell>
          <cell r="DI126" t="str">
            <v>無</v>
          </cell>
          <cell r="DJ126" t="str">
            <v>無</v>
          </cell>
          <cell r="DK126" t="str">
            <v>-</v>
          </cell>
          <cell r="DL126" t="str">
            <v>-</v>
          </cell>
          <cell r="DM126" t="str">
            <v>-</v>
          </cell>
          <cell r="DN126" t="str">
            <v>-</v>
          </cell>
          <cell r="DO126" t="str">
            <v>-</v>
          </cell>
          <cell r="DP126" t="str">
            <v>-</v>
          </cell>
          <cell r="DQ126" t="str">
            <v>-</v>
          </cell>
          <cell r="DR126" t="str">
            <v>-</v>
          </cell>
          <cell r="DS126" t="str">
            <v>-</v>
          </cell>
          <cell r="DT126" t="str">
            <v>-</v>
          </cell>
          <cell r="DU126" t="str">
            <v>-</v>
          </cell>
          <cell r="DV126" t="str">
            <v>-</v>
          </cell>
          <cell r="DW126" t="str">
            <v>有</v>
          </cell>
          <cell r="DX126" t="str">
            <v>有</v>
          </cell>
          <cell r="DY126" t="str">
            <v>有</v>
          </cell>
          <cell r="DZ126" t="str">
            <v>有</v>
          </cell>
          <cell r="EA126" t="str">
            <v>有</v>
          </cell>
          <cell r="EB126" t="str">
            <v>有</v>
          </cell>
          <cell r="EC126" t="str">
            <v>有</v>
          </cell>
          <cell r="ED126" t="str">
            <v>有</v>
          </cell>
          <cell r="EE126" t="str">
            <v>有</v>
          </cell>
          <cell r="EF126" t="str">
            <v>有</v>
          </cell>
          <cell r="EG126" t="str">
            <v>有</v>
          </cell>
          <cell r="EH126" t="str">
            <v>有</v>
          </cell>
          <cell r="EI126" t="str">
            <v>配置</v>
          </cell>
          <cell r="EJ126" t="str">
            <v>配置</v>
          </cell>
          <cell r="EK126" t="str">
            <v>配置</v>
          </cell>
          <cell r="EL126" t="str">
            <v>配置</v>
          </cell>
          <cell r="EM126" t="str">
            <v>配置</v>
          </cell>
          <cell r="EN126" t="str">
            <v>配置</v>
          </cell>
          <cell r="EO126" t="str">
            <v>配置</v>
          </cell>
          <cell r="EP126" t="str">
            <v>配置</v>
          </cell>
          <cell r="EQ126" t="str">
            <v>配置</v>
          </cell>
          <cell r="ER126" t="str">
            <v>配置</v>
          </cell>
          <cell r="ES126" t="str">
            <v>配置</v>
          </cell>
          <cell r="ET126" t="str">
            <v>配置</v>
          </cell>
          <cell r="EU126">
            <v>76960</v>
          </cell>
          <cell r="EV126">
            <v>76960</v>
          </cell>
          <cell r="EW126">
            <v>76960</v>
          </cell>
          <cell r="EX126">
            <v>76960</v>
          </cell>
          <cell r="EY126">
            <v>76960</v>
          </cell>
          <cell r="EZ126">
            <v>76960</v>
          </cell>
          <cell r="FA126">
            <v>76960</v>
          </cell>
          <cell r="FB126">
            <v>76960</v>
          </cell>
          <cell r="FC126">
            <v>76960</v>
          </cell>
          <cell r="FD126">
            <v>76960</v>
          </cell>
          <cell r="FE126">
            <v>76960</v>
          </cell>
          <cell r="FF126">
            <v>76960</v>
          </cell>
        </row>
        <row r="127">
          <cell r="C127">
            <v>123</v>
          </cell>
          <cell r="D127" t="str">
            <v>作草部アーク保育園</v>
          </cell>
          <cell r="E127" t="str">
            <v>無</v>
          </cell>
          <cell r="F127">
            <v>30</v>
          </cell>
          <cell r="H127">
            <v>18</v>
          </cell>
          <cell r="I127">
            <v>12</v>
          </cell>
          <cell r="O127">
            <v>1189000</v>
          </cell>
          <cell r="P127">
            <v>2627000</v>
          </cell>
          <cell r="Q127">
            <v>2565000</v>
          </cell>
          <cell r="R127">
            <v>1631000</v>
          </cell>
          <cell r="S127">
            <v>0</v>
          </cell>
          <cell r="T127">
            <v>0</v>
          </cell>
          <cell r="U127">
            <v>0</v>
          </cell>
          <cell r="V127">
            <v>792000</v>
          </cell>
          <cell r="W127">
            <v>1751000</v>
          </cell>
          <cell r="X127">
            <v>1710000</v>
          </cell>
          <cell r="Y127">
            <v>1087000</v>
          </cell>
          <cell r="Z127">
            <v>0</v>
          </cell>
          <cell r="AA127">
            <v>0</v>
          </cell>
          <cell r="AB127">
            <v>0</v>
          </cell>
          <cell r="AC127">
            <v>0</v>
          </cell>
          <cell r="AD127">
            <v>0</v>
          </cell>
          <cell r="AE127">
            <v>0</v>
          </cell>
          <cell r="AF127">
            <v>0</v>
          </cell>
          <cell r="AG127">
            <v>0</v>
          </cell>
          <cell r="AH127">
            <v>0</v>
          </cell>
          <cell r="AI127">
            <v>0</v>
          </cell>
          <cell r="AJ127" t="str">
            <v>令和3年4月1日</v>
          </cell>
          <cell r="AK127" t="str">
            <v>令和3年5月31日交付</v>
          </cell>
          <cell r="AM127" t="str">
            <v>4号の39</v>
          </cell>
          <cell r="AN127" t="str">
            <v>有</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CW127" t="str">
            <v>無</v>
          </cell>
          <cell r="CX127">
            <v>0</v>
          </cell>
          <cell r="CY127" t="str">
            <v>無</v>
          </cell>
          <cell r="CZ127" t="str">
            <v>無</v>
          </cell>
          <cell r="DA127" t="str">
            <v>無</v>
          </cell>
          <cell r="DB127" t="str">
            <v>無</v>
          </cell>
          <cell r="DC127" t="str">
            <v>無</v>
          </cell>
          <cell r="DD127" t="str">
            <v>無</v>
          </cell>
          <cell r="DE127" t="str">
            <v>無</v>
          </cell>
          <cell r="DF127" t="str">
            <v>無</v>
          </cell>
          <cell r="DG127" t="str">
            <v>無</v>
          </cell>
          <cell r="DH127" t="str">
            <v>無</v>
          </cell>
          <cell r="DI127" t="str">
            <v>無</v>
          </cell>
          <cell r="DJ127" t="str">
            <v>無</v>
          </cell>
          <cell r="DK127" t="str">
            <v>-</v>
          </cell>
          <cell r="DL127" t="str">
            <v>-</v>
          </cell>
          <cell r="DM127" t="str">
            <v>-</v>
          </cell>
          <cell r="DN127" t="str">
            <v>-</v>
          </cell>
          <cell r="DO127" t="str">
            <v>-</v>
          </cell>
          <cell r="DP127" t="str">
            <v>-</v>
          </cell>
          <cell r="DQ127" t="str">
            <v>-</v>
          </cell>
          <cell r="DR127" t="str">
            <v>-</v>
          </cell>
          <cell r="DS127" t="str">
            <v>-</v>
          </cell>
          <cell r="DT127" t="str">
            <v>-</v>
          </cell>
          <cell r="DU127" t="str">
            <v>-</v>
          </cell>
          <cell r="DV127" t="str">
            <v>-</v>
          </cell>
          <cell r="DW127" t="str">
            <v>有</v>
          </cell>
          <cell r="DX127" t="str">
            <v>有</v>
          </cell>
          <cell r="DY127" t="str">
            <v>有</v>
          </cell>
          <cell r="DZ127" t="str">
            <v>有</v>
          </cell>
          <cell r="EA127" t="str">
            <v>有</v>
          </cell>
          <cell r="EB127" t="str">
            <v>有</v>
          </cell>
          <cell r="EC127" t="str">
            <v>有</v>
          </cell>
          <cell r="ED127" t="str">
            <v>有</v>
          </cell>
          <cell r="EE127" t="str">
            <v>有</v>
          </cell>
          <cell r="EF127" t="str">
            <v>有</v>
          </cell>
          <cell r="EG127" t="str">
            <v>有</v>
          </cell>
          <cell r="EH127" t="str">
            <v>有</v>
          </cell>
          <cell r="EI127" t="str">
            <v>配置</v>
          </cell>
          <cell r="EJ127" t="str">
            <v>配置</v>
          </cell>
          <cell r="EK127" t="str">
            <v>配置</v>
          </cell>
          <cell r="EL127" t="str">
            <v>配置</v>
          </cell>
          <cell r="EM127" t="str">
            <v>配置</v>
          </cell>
          <cell r="EN127" t="str">
            <v>配置</v>
          </cell>
          <cell r="EO127" t="str">
            <v>配置</v>
          </cell>
          <cell r="EP127" t="str">
            <v>配置</v>
          </cell>
          <cell r="EQ127" t="str">
            <v>配置</v>
          </cell>
          <cell r="ER127" t="str">
            <v>配置</v>
          </cell>
          <cell r="ES127" t="str">
            <v>配置</v>
          </cell>
          <cell r="ET127" t="str">
            <v>配置</v>
          </cell>
          <cell r="EU127">
            <v>76960</v>
          </cell>
          <cell r="EV127">
            <v>76960</v>
          </cell>
          <cell r="EW127">
            <v>76960</v>
          </cell>
          <cell r="EX127">
            <v>76960</v>
          </cell>
          <cell r="EY127">
            <v>76960</v>
          </cell>
          <cell r="EZ127">
            <v>76960</v>
          </cell>
          <cell r="FA127">
            <v>76960</v>
          </cell>
          <cell r="FB127">
            <v>76960</v>
          </cell>
          <cell r="FC127">
            <v>76960</v>
          </cell>
          <cell r="FD127">
            <v>76960</v>
          </cell>
          <cell r="FE127">
            <v>76960</v>
          </cell>
          <cell r="FF127">
            <v>76960</v>
          </cell>
        </row>
        <row r="128">
          <cell r="C128">
            <v>124</v>
          </cell>
          <cell r="D128" t="str">
            <v>ししの子保育園　小中台町</v>
          </cell>
          <cell r="E128" t="str">
            <v>無</v>
          </cell>
          <cell r="F128">
            <v>59</v>
          </cell>
          <cell r="H128">
            <v>33</v>
          </cell>
          <cell r="I128">
            <v>26</v>
          </cell>
          <cell r="O128">
            <v>1189000</v>
          </cell>
          <cell r="P128">
            <v>2627000</v>
          </cell>
          <cell r="Q128">
            <v>2627000</v>
          </cell>
          <cell r="R128">
            <v>0</v>
          </cell>
          <cell r="S128">
            <v>0</v>
          </cell>
          <cell r="T128">
            <v>1982000</v>
          </cell>
          <cell r="U128">
            <v>0</v>
          </cell>
          <cell r="V128">
            <v>792000</v>
          </cell>
          <cell r="W128">
            <v>1751000</v>
          </cell>
          <cell r="X128">
            <v>1751000</v>
          </cell>
          <cell r="Y128">
            <v>0</v>
          </cell>
          <cell r="Z128">
            <v>0</v>
          </cell>
          <cell r="AA128">
            <v>1321000</v>
          </cell>
          <cell r="AB128">
            <v>0</v>
          </cell>
          <cell r="AC128">
            <v>397000</v>
          </cell>
          <cell r="AD128">
            <v>876000</v>
          </cell>
          <cell r="AE128">
            <v>876000</v>
          </cell>
          <cell r="AF128">
            <v>0</v>
          </cell>
          <cell r="AG128">
            <v>0</v>
          </cell>
          <cell r="AH128">
            <v>661000</v>
          </cell>
          <cell r="AI128">
            <v>0</v>
          </cell>
          <cell r="AJ128" t="str">
            <v>令和3年4月1日</v>
          </cell>
          <cell r="AK128" t="str">
            <v>令和3年5月31日交付</v>
          </cell>
          <cell r="AL128" t="str">
            <v>令和3年10月29日交付</v>
          </cell>
          <cell r="AM128" t="str">
            <v>4号の40</v>
          </cell>
          <cell r="AN128" t="str">
            <v>有</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v>1</v>
          </cell>
          <cell r="BN128">
            <v>1</v>
          </cell>
          <cell r="BO128">
            <v>1</v>
          </cell>
          <cell r="BP128">
            <v>1</v>
          </cell>
          <cell r="BQ128">
            <v>1</v>
          </cell>
          <cell r="BR128">
            <v>1</v>
          </cell>
          <cell r="BS128">
            <v>1</v>
          </cell>
          <cell r="BT128">
            <v>1</v>
          </cell>
          <cell r="BU128">
            <v>1</v>
          </cell>
          <cell r="BV128">
            <v>1</v>
          </cell>
          <cell r="BW128">
            <v>1</v>
          </cell>
          <cell r="BX128">
            <v>1</v>
          </cell>
          <cell r="CK128">
            <v>0</v>
          </cell>
          <cell r="CL128">
            <v>0</v>
          </cell>
          <cell r="CM128">
            <v>0</v>
          </cell>
          <cell r="CN128">
            <v>0</v>
          </cell>
          <cell r="CO128">
            <v>0</v>
          </cell>
          <cell r="CP128">
            <v>0</v>
          </cell>
          <cell r="CQ128">
            <v>0</v>
          </cell>
          <cell r="CR128">
            <v>0</v>
          </cell>
          <cell r="CS128">
            <v>0</v>
          </cell>
          <cell r="CT128">
            <v>0</v>
          </cell>
          <cell r="CU128">
            <v>0</v>
          </cell>
          <cell r="CV128">
            <v>0</v>
          </cell>
          <cell r="CW128" t="str">
            <v>無</v>
          </cell>
          <cell r="CX128">
            <v>0</v>
          </cell>
          <cell r="CY128" t="str">
            <v>有</v>
          </cell>
          <cell r="CZ128" t="str">
            <v>有</v>
          </cell>
          <cell r="DA128" t="str">
            <v>有</v>
          </cell>
          <cell r="DB128" t="str">
            <v>有</v>
          </cell>
          <cell r="DC128" t="str">
            <v>有</v>
          </cell>
          <cell r="DD128" t="str">
            <v>有</v>
          </cell>
          <cell r="DE128" t="str">
            <v>有</v>
          </cell>
          <cell r="DF128" t="str">
            <v>有</v>
          </cell>
          <cell r="DG128" t="str">
            <v>有</v>
          </cell>
          <cell r="DH128" t="str">
            <v>有</v>
          </cell>
          <cell r="DI128" t="str">
            <v>有</v>
          </cell>
          <cell r="DJ128" t="str">
            <v>有</v>
          </cell>
          <cell r="DK128" t="str">
            <v>-</v>
          </cell>
          <cell r="DL128" t="str">
            <v>-</v>
          </cell>
          <cell r="DM128" t="str">
            <v>-</v>
          </cell>
          <cell r="DN128" t="str">
            <v>-</v>
          </cell>
          <cell r="DO128" t="str">
            <v>-</v>
          </cell>
          <cell r="DP128" t="str">
            <v>-</v>
          </cell>
          <cell r="DQ128" t="str">
            <v>-</v>
          </cell>
          <cell r="DR128" t="str">
            <v>-</v>
          </cell>
          <cell r="DS128" t="str">
            <v>-</v>
          </cell>
          <cell r="DT128" t="str">
            <v>-</v>
          </cell>
          <cell r="DU128" t="str">
            <v>-</v>
          </cell>
          <cell r="DV128" t="str">
            <v>-</v>
          </cell>
          <cell r="DW128" t="str">
            <v>有</v>
          </cell>
          <cell r="DX128" t="str">
            <v>有</v>
          </cell>
          <cell r="DY128" t="str">
            <v>有</v>
          </cell>
          <cell r="DZ128" t="str">
            <v>有</v>
          </cell>
          <cell r="EA128" t="str">
            <v>有</v>
          </cell>
          <cell r="EB128" t="str">
            <v>有</v>
          </cell>
          <cell r="EC128" t="str">
            <v>有</v>
          </cell>
          <cell r="ED128" t="str">
            <v>有</v>
          </cell>
          <cell r="EE128" t="str">
            <v>有</v>
          </cell>
          <cell r="EF128" t="str">
            <v>有</v>
          </cell>
          <cell r="EG128" t="str">
            <v>有</v>
          </cell>
          <cell r="EH128" t="str">
            <v>有</v>
          </cell>
          <cell r="EI128" t="str">
            <v>嘱託</v>
          </cell>
          <cell r="EJ128" t="str">
            <v>嘱託</v>
          </cell>
          <cell r="EK128" t="str">
            <v>嘱託</v>
          </cell>
          <cell r="EL128" t="str">
            <v>嘱託</v>
          </cell>
          <cell r="EM128" t="str">
            <v>嘱託</v>
          </cell>
          <cell r="EN128" t="str">
            <v>嘱託</v>
          </cell>
          <cell r="EO128" t="str">
            <v>嘱託</v>
          </cell>
          <cell r="EP128" t="str">
            <v>嘱託</v>
          </cell>
          <cell r="EQ128" t="str">
            <v>嘱託</v>
          </cell>
          <cell r="ER128" t="str">
            <v>嘱託</v>
          </cell>
          <cell r="ES128" t="str">
            <v>嘱託</v>
          </cell>
          <cell r="ET128" t="str">
            <v>嘱託</v>
          </cell>
          <cell r="EU128" t="str">
            <v/>
          </cell>
          <cell r="EV128" t="str">
            <v/>
          </cell>
          <cell r="EW128" t="str">
            <v/>
          </cell>
          <cell r="EX128" t="str">
            <v/>
          </cell>
          <cell r="EY128" t="str">
            <v/>
          </cell>
          <cell r="EZ128" t="str">
            <v/>
          </cell>
          <cell r="FA128" t="str">
            <v/>
          </cell>
          <cell r="FB128" t="str">
            <v/>
          </cell>
          <cell r="FC128" t="str">
            <v/>
          </cell>
          <cell r="FD128" t="str">
            <v/>
          </cell>
          <cell r="FE128" t="str">
            <v/>
          </cell>
          <cell r="FF128" t="str">
            <v/>
          </cell>
        </row>
        <row r="129">
          <cell r="C129">
            <v>125</v>
          </cell>
          <cell r="D129" t="str">
            <v>ナーサリーホーム小仲台</v>
          </cell>
          <cell r="E129" t="str">
            <v>無</v>
          </cell>
          <cell r="F129">
            <v>59</v>
          </cell>
          <cell r="H129">
            <v>30</v>
          </cell>
          <cell r="I129">
            <v>29</v>
          </cell>
          <cell r="O129">
            <v>1189000</v>
          </cell>
          <cell r="P129">
            <v>2627000</v>
          </cell>
          <cell r="Q129">
            <v>2627000</v>
          </cell>
          <cell r="R129">
            <v>1631000</v>
          </cell>
          <cell r="S129">
            <v>0</v>
          </cell>
          <cell r="T129">
            <v>5922000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t="str">
            <v>令和3年4月1日</v>
          </cell>
          <cell r="AM129" t="str">
            <v>4号の41</v>
          </cell>
          <cell r="AN129" t="str">
            <v>有</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v>3</v>
          </cell>
          <cell r="BN129">
            <v>3</v>
          </cell>
          <cell r="BO129">
            <v>3</v>
          </cell>
          <cell r="BP129">
            <v>3</v>
          </cell>
          <cell r="BQ129">
            <v>3</v>
          </cell>
          <cell r="BR129">
            <v>3</v>
          </cell>
          <cell r="BS129">
            <v>3</v>
          </cell>
          <cell r="BT129">
            <v>3</v>
          </cell>
          <cell r="BU129">
            <v>3</v>
          </cell>
          <cell r="BV129">
            <v>3</v>
          </cell>
          <cell r="BW129">
            <v>3</v>
          </cell>
          <cell r="BX129">
            <v>3</v>
          </cell>
          <cell r="CK129">
            <v>4</v>
          </cell>
          <cell r="CL129">
            <v>4</v>
          </cell>
          <cell r="CM129">
            <v>4</v>
          </cell>
          <cell r="CN129">
            <v>4</v>
          </cell>
          <cell r="CO129">
            <v>4</v>
          </cell>
          <cell r="CP129">
            <v>4</v>
          </cell>
          <cell r="CQ129">
            <v>4</v>
          </cell>
          <cell r="CR129">
            <v>4</v>
          </cell>
          <cell r="CS129">
            <v>4</v>
          </cell>
          <cell r="CT129">
            <v>4</v>
          </cell>
          <cell r="CU129">
            <v>4</v>
          </cell>
          <cell r="CV129">
            <v>4</v>
          </cell>
          <cell r="CW129" t="str">
            <v>無</v>
          </cell>
          <cell r="CX129">
            <v>0</v>
          </cell>
          <cell r="CY129" t="str">
            <v>有</v>
          </cell>
          <cell r="CZ129" t="str">
            <v>有</v>
          </cell>
          <cell r="DA129" t="str">
            <v>有</v>
          </cell>
          <cell r="DB129" t="str">
            <v>有</v>
          </cell>
          <cell r="DC129" t="str">
            <v>有</v>
          </cell>
          <cell r="DD129" t="str">
            <v>有</v>
          </cell>
          <cell r="DE129" t="str">
            <v>有</v>
          </cell>
          <cell r="DF129" t="str">
            <v>有</v>
          </cell>
          <cell r="DG129" t="str">
            <v>有</v>
          </cell>
          <cell r="DH129" t="str">
            <v>有</v>
          </cell>
          <cell r="DI129" t="str">
            <v>有</v>
          </cell>
          <cell r="DJ129" t="str">
            <v>有</v>
          </cell>
          <cell r="DK129" t="str">
            <v>-</v>
          </cell>
          <cell r="DL129" t="str">
            <v>-</v>
          </cell>
          <cell r="DM129" t="str">
            <v>-</v>
          </cell>
          <cell r="DN129" t="str">
            <v>-</v>
          </cell>
          <cell r="DO129" t="str">
            <v>-</v>
          </cell>
          <cell r="DP129" t="str">
            <v>-</v>
          </cell>
          <cell r="DQ129" t="str">
            <v>-</v>
          </cell>
          <cell r="DR129" t="str">
            <v>-</v>
          </cell>
          <cell r="DS129" t="str">
            <v>-</v>
          </cell>
          <cell r="DT129" t="str">
            <v>-</v>
          </cell>
          <cell r="DU129" t="str">
            <v>-</v>
          </cell>
          <cell r="DV129" t="str">
            <v>-</v>
          </cell>
          <cell r="DW129" t="str">
            <v>有</v>
          </cell>
          <cell r="DX129" t="str">
            <v>有</v>
          </cell>
          <cell r="DY129" t="str">
            <v>有</v>
          </cell>
          <cell r="DZ129" t="str">
            <v>有</v>
          </cell>
          <cell r="EA129" t="str">
            <v>有</v>
          </cell>
          <cell r="EB129" t="str">
            <v>有</v>
          </cell>
          <cell r="EC129" t="str">
            <v>有</v>
          </cell>
          <cell r="ED129" t="str">
            <v>有</v>
          </cell>
          <cell r="EE129" t="str">
            <v>有</v>
          </cell>
          <cell r="EF129" t="str">
            <v>有</v>
          </cell>
          <cell r="EG129" t="str">
            <v>有</v>
          </cell>
          <cell r="EH129" t="str">
            <v>有</v>
          </cell>
          <cell r="EI129" t="str">
            <v>配置</v>
          </cell>
          <cell r="EJ129" t="str">
            <v>配置</v>
          </cell>
          <cell r="EK129" t="str">
            <v>配置</v>
          </cell>
          <cell r="EL129" t="str">
            <v>配置</v>
          </cell>
          <cell r="EM129" t="str">
            <v>配置</v>
          </cell>
          <cell r="EN129" t="str">
            <v>配置</v>
          </cell>
          <cell r="EO129" t="str">
            <v>配置</v>
          </cell>
          <cell r="EP129" t="str">
            <v>配置</v>
          </cell>
          <cell r="EQ129" t="str">
            <v>配置</v>
          </cell>
          <cell r="ER129" t="str">
            <v>配置</v>
          </cell>
          <cell r="ES129" t="str">
            <v>配置</v>
          </cell>
          <cell r="ET129" t="str">
            <v>配置</v>
          </cell>
          <cell r="EU129">
            <v>76960</v>
          </cell>
          <cell r="EV129">
            <v>76960</v>
          </cell>
          <cell r="EW129">
            <v>76960</v>
          </cell>
          <cell r="EX129">
            <v>76960</v>
          </cell>
          <cell r="EY129">
            <v>76960</v>
          </cell>
          <cell r="EZ129">
            <v>76960</v>
          </cell>
          <cell r="FA129">
            <v>76960</v>
          </cell>
          <cell r="FB129">
            <v>76960</v>
          </cell>
          <cell r="FC129">
            <v>76960</v>
          </cell>
          <cell r="FD129">
            <v>76960</v>
          </cell>
          <cell r="FE129">
            <v>76960</v>
          </cell>
          <cell r="FF129">
            <v>76960</v>
          </cell>
        </row>
        <row r="130">
          <cell r="C130">
            <v>126</v>
          </cell>
          <cell r="D130" t="str">
            <v>認可保育園　みどりまち</v>
          </cell>
          <cell r="E130" t="str">
            <v>無</v>
          </cell>
          <cell r="F130">
            <v>85</v>
          </cell>
          <cell r="H130">
            <v>45</v>
          </cell>
          <cell r="I130">
            <v>40</v>
          </cell>
          <cell r="O130">
            <v>1189000</v>
          </cell>
          <cell r="P130">
            <v>2627000</v>
          </cell>
          <cell r="Q130">
            <v>2627000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t="str">
            <v>令和3年4月1日</v>
          </cell>
          <cell r="AM130" t="str">
            <v>4号の42</v>
          </cell>
          <cell r="AN130" t="str">
            <v>有</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CW130" t="str">
            <v>無</v>
          </cell>
          <cell r="CX130">
            <v>1</v>
          </cell>
          <cell r="CY130" t="str">
            <v>無</v>
          </cell>
          <cell r="CZ130" t="str">
            <v>無</v>
          </cell>
          <cell r="DA130" t="str">
            <v>無</v>
          </cell>
          <cell r="DB130" t="str">
            <v>有</v>
          </cell>
          <cell r="DC130" t="str">
            <v>有</v>
          </cell>
          <cell r="DD130" t="str">
            <v>有</v>
          </cell>
          <cell r="DE130" t="str">
            <v>有</v>
          </cell>
          <cell r="DF130" t="str">
            <v>有</v>
          </cell>
          <cell r="DG130" t="str">
            <v>有</v>
          </cell>
          <cell r="DH130" t="str">
            <v>有</v>
          </cell>
          <cell r="DI130" t="str">
            <v>有</v>
          </cell>
          <cell r="DJ130" t="str">
            <v>有</v>
          </cell>
          <cell r="DK130" t="str">
            <v>-</v>
          </cell>
          <cell r="DL130" t="str">
            <v>-</v>
          </cell>
          <cell r="DM130" t="str">
            <v>-</v>
          </cell>
          <cell r="DN130" t="str">
            <v>-</v>
          </cell>
          <cell r="DO130" t="str">
            <v>-</v>
          </cell>
          <cell r="DP130" t="str">
            <v>-</v>
          </cell>
          <cell r="DQ130" t="str">
            <v>-</v>
          </cell>
          <cell r="DR130" t="str">
            <v>-</v>
          </cell>
          <cell r="DS130" t="str">
            <v>-</v>
          </cell>
          <cell r="DT130" t="str">
            <v>-</v>
          </cell>
          <cell r="DU130" t="str">
            <v>-</v>
          </cell>
          <cell r="DV130" t="str">
            <v>-</v>
          </cell>
          <cell r="DW130" t="str">
            <v>有</v>
          </cell>
          <cell r="DX130" t="str">
            <v>有</v>
          </cell>
          <cell r="DY130" t="str">
            <v>有</v>
          </cell>
          <cell r="DZ130" t="str">
            <v>有</v>
          </cell>
          <cell r="EA130" t="str">
            <v>有</v>
          </cell>
          <cell r="EB130" t="str">
            <v>有</v>
          </cell>
          <cell r="EC130" t="str">
            <v>有</v>
          </cell>
          <cell r="ED130" t="str">
            <v>有</v>
          </cell>
          <cell r="EE130" t="str">
            <v>有</v>
          </cell>
          <cell r="EF130" t="str">
            <v>有</v>
          </cell>
          <cell r="EG130" t="str">
            <v>有</v>
          </cell>
          <cell r="EH130" t="str">
            <v>有</v>
          </cell>
          <cell r="EI130" t="str">
            <v>嘱託</v>
          </cell>
          <cell r="EJ130" t="str">
            <v>嘱託</v>
          </cell>
          <cell r="EK130" t="str">
            <v>嘱託</v>
          </cell>
          <cell r="EL130" t="str">
            <v>嘱託</v>
          </cell>
          <cell r="EM130" t="str">
            <v>嘱託</v>
          </cell>
          <cell r="EN130" t="str">
            <v>嘱託</v>
          </cell>
          <cell r="EO130" t="str">
            <v>嘱託</v>
          </cell>
          <cell r="EP130" t="str">
            <v>嘱託</v>
          </cell>
          <cell r="EQ130" t="str">
            <v>嘱託</v>
          </cell>
          <cell r="ER130" t="str">
            <v>嘱託</v>
          </cell>
          <cell r="ES130" t="str">
            <v>嘱託</v>
          </cell>
          <cell r="ET130" t="str">
            <v>嘱託</v>
          </cell>
          <cell r="EU130" t="str">
            <v/>
          </cell>
          <cell r="EV130" t="str">
            <v/>
          </cell>
          <cell r="EW130" t="str">
            <v/>
          </cell>
          <cell r="EX130" t="str">
            <v/>
          </cell>
          <cell r="EY130" t="str">
            <v/>
          </cell>
          <cell r="EZ130" t="str">
            <v/>
          </cell>
          <cell r="FA130" t="str">
            <v/>
          </cell>
          <cell r="FB130" t="str">
            <v/>
          </cell>
          <cell r="FC130" t="str">
            <v/>
          </cell>
          <cell r="FD130" t="str">
            <v/>
          </cell>
          <cell r="FE130" t="str">
            <v/>
          </cell>
          <cell r="FF130" t="str">
            <v/>
          </cell>
        </row>
        <row r="131">
          <cell r="C131">
            <v>127</v>
          </cell>
          <cell r="D131" t="str">
            <v>キートスチャイルドケア桜木</v>
          </cell>
          <cell r="E131" t="str">
            <v>無</v>
          </cell>
          <cell r="F131">
            <v>60</v>
          </cell>
          <cell r="H131">
            <v>33</v>
          </cell>
          <cell r="I131">
            <v>27</v>
          </cell>
          <cell r="O131">
            <v>1189000</v>
          </cell>
          <cell r="P131">
            <v>0</v>
          </cell>
          <cell r="Q131">
            <v>0</v>
          </cell>
          <cell r="R131">
            <v>1631000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t="str">
            <v>令和3年4月1日</v>
          </cell>
          <cell r="AM131" t="str">
            <v>5号の4</v>
          </cell>
          <cell r="AN131" t="str">
            <v>有</v>
          </cell>
          <cell r="AO131" t="str">
            <v>-</v>
          </cell>
          <cell r="AP131" t="str">
            <v>-</v>
          </cell>
          <cell r="AQ131" t="str">
            <v>-</v>
          </cell>
          <cell r="AR131" t="str">
            <v>-</v>
          </cell>
          <cell r="AS131" t="str">
            <v>-</v>
          </cell>
          <cell r="AT131" t="str">
            <v>-</v>
          </cell>
          <cell r="AU131" t="str">
            <v>-</v>
          </cell>
          <cell r="AV131" t="str">
            <v>-</v>
          </cell>
          <cell r="AW131" t="str">
            <v>-</v>
          </cell>
          <cell r="AX131" t="str">
            <v>-</v>
          </cell>
          <cell r="AY131" t="str">
            <v>-</v>
          </cell>
          <cell r="AZ131" t="str">
            <v>-</v>
          </cell>
          <cell r="BA131" t="str">
            <v>-</v>
          </cell>
          <cell r="BB131" t="str">
            <v>-</v>
          </cell>
          <cell r="BC131" t="str">
            <v>-</v>
          </cell>
          <cell r="BD131" t="str">
            <v>-</v>
          </cell>
          <cell r="BE131" t="str">
            <v>-</v>
          </cell>
          <cell r="BF131" t="str">
            <v>-</v>
          </cell>
          <cell r="BG131" t="str">
            <v>-</v>
          </cell>
          <cell r="BH131" t="str">
            <v>-</v>
          </cell>
          <cell r="BI131" t="str">
            <v>-</v>
          </cell>
          <cell r="BJ131" t="str">
            <v>-</v>
          </cell>
          <cell r="BK131" t="str">
            <v>-</v>
          </cell>
          <cell r="BL131" t="str">
            <v>-</v>
          </cell>
          <cell r="CW131" t="str">
            <v>無</v>
          </cell>
          <cell r="CX131">
            <v>0</v>
          </cell>
          <cell r="CY131" t="str">
            <v>無</v>
          </cell>
          <cell r="CZ131" t="str">
            <v>無</v>
          </cell>
          <cell r="DA131" t="str">
            <v>無</v>
          </cell>
          <cell r="DB131" t="str">
            <v>無</v>
          </cell>
          <cell r="DC131" t="str">
            <v>無</v>
          </cell>
          <cell r="DD131" t="str">
            <v>無</v>
          </cell>
          <cell r="DE131" t="str">
            <v>無</v>
          </cell>
          <cell r="DF131" t="str">
            <v>無</v>
          </cell>
          <cell r="DG131" t="str">
            <v>無</v>
          </cell>
          <cell r="DH131" t="str">
            <v>無</v>
          </cell>
          <cell r="DI131" t="str">
            <v>無</v>
          </cell>
          <cell r="DJ131" t="str">
            <v>無</v>
          </cell>
          <cell r="DK131" t="str">
            <v>-</v>
          </cell>
          <cell r="DL131" t="str">
            <v>-</v>
          </cell>
          <cell r="DM131" t="str">
            <v>-</v>
          </cell>
          <cell r="DN131" t="str">
            <v>-</v>
          </cell>
          <cell r="DO131" t="str">
            <v>-</v>
          </cell>
          <cell r="DP131" t="str">
            <v>-</v>
          </cell>
          <cell r="DQ131" t="str">
            <v>-</v>
          </cell>
          <cell r="DR131" t="str">
            <v>-</v>
          </cell>
          <cell r="DS131" t="str">
            <v>-</v>
          </cell>
          <cell r="DT131" t="str">
            <v>-</v>
          </cell>
          <cell r="DU131" t="str">
            <v>-</v>
          </cell>
          <cell r="DV131" t="str">
            <v>-</v>
          </cell>
          <cell r="DW131" t="str">
            <v>有</v>
          </cell>
          <cell r="DX131" t="str">
            <v>有</v>
          </cell>
          <cell r="DY131" t="str">
            <v>有</v>
          </cell>
          <cell r="DZ131" t="str">
            <v>有</v>
          </cell>
          <cell r="EA131" t="str">
            <v>有</v>
          </cell>
          <cell r="EB131" t="str">
            <v>有</v>
          </cell>
          <cell r="EC131" t="str">
            <v>有</v>
          </cell>
          <cell r="ED131" t="str">
            <v>有</v>
          </cell>
          <cell r="EE131" t="str">
            <v>有</v>
          </cell>
          <cell r="EF131" t="str">
            <v>有</v>
          </cell>
          <cell r="EG131" t="str">
            <v>有</v>
          </cell>
          <cell r="EH131" t="str">
            <v>有</v>
          </cell>
          <cell r="EI131" t="str">
            <v>兼務</v>
          </cell>
          <cell r="EJ131" t="str">
            <v>兼務</v>
          </cell>
          <cell r="EK131" t="str">
            <v>兼務</v>
          </cell>
          <cell r="EL131" t="str">
            <v>兼務</v>
          </cell>
          <cell r="EM131" t="str">
            <v>兼務</v>
          </cell>
          <cell r="EN131" t="str">
            <v>兼務</v>
          </cell>
          <cell r="EO131" t="str">
            <v>兼務</v>
          </cell>
          <cell r="EP131" t="str">
            <v>兼務</v>
          </cell>
          <cell r="EQ131" t="str">
            <v>兼務</v>
          </cell>
          <cell r="ER131" t="str">
            <v>兼務</v>
          </cell>
          <cell r="ES131" t="str">
            <v>兼務</v>
          </cell>
          <cell r="ET131" t="str">
            <v>兼務</v>
          </cell>
          <cell r="EU131" t="str">
            <v/>
          </cell>
          <cell r="EV131" t="str">
            <v/>
          </cell>
          <cell r="EW131" t="str">
            <v/>
          </cell>
          <cell r="EX131" t="str">
            <v/>
          </cell>
          <cell r="EY131" t="str">
            <v/>
          </cell>
          <cell r="EZ131" t="str">
            <v/>
          </cell>
          <cell r="FA131" t="str">
            <v/>
          </cell>
          <cell r="FB131" t="str">
            <v/>
          </cell>
          <cell r="FC131" t="str">
            <v/>
          </cell>
          <cell r="FD131" t="str">
            <v/>
          </cell>
          <cell r="FE131" t="str">
            <v/>
          </cell>
          <cell r="FF131" t="str">
            <v/>
          </cell>
        </row>
        <row r="132">
          <cell r="C132">
            <v>128</v>
          </cell>
          <cell r="D132" t="str">
            <v>小倉台　いろは保育園</v>
          </cell>
          <cell r="E132" t="str">
            <v>無</v>
          </cell>
          <cell r="F132">
            <v>30</v>
          </cell>
          <cell r="H132">
            <v>15</v>
          </cell>
          <cell r="I132">
            <v>15</v>
          </cell>
          <cell r="O132">
            <v>1189000</v>
          </cell>
          <cell r="P132">
            <v>2627000</v>
          </cell>
          <cell r="Q132">
            <v>2627000</v>
          </cell>
          <cell r="R132">
            <v>1028000</v>
          </cell>
          <cell r="S132">
            <v>0</v>
          </cell>
          <cell r="T132">
            <v>0</v>
          </cell>
          <cell r="U132">
            <v>0</v>
          </cell>
          <cell r="V132">
            <v>792000</v>
          </cell>
          <cell r="W132">
            <v>1751000</v>
          </cell>
          <cell r="X132">
            <v>1751000</v>
          </cell>
          <cell r="Y132">
            <v>685000</v>
          </cell>
          <cell r="Z132">
            <v>0</v>
          </cell>
          <cell r="AA132">
            <v>0</v>
          </cell>
          <cell r="AB132">
            <v>0</v>
          </cell>
          <cell r="AC132">
            <v>397000</v>
          </cell>
          <cell r="AD132">
            <v>876000</v>
          </cell>
          <cell r="AE132">
            <v>876000</v>
          </cell>
          <cell r="AF132">
            <v>343000</v>
          </cell>
          <cell r="AG132">
            <v>0</v>
          </cell>
          <cell r="AH132">
            <v>0</v>
          </cell>
          <cell r="AI132">
            <v>0</v>
          </cell>
          <cell r="AJ132" t="str">
            <v>令和3年4月1日</v>
          </cell>
          <cell r="AK132" t="str">
            <v>令和3年5月31日交付</v>
          </cell>
          <cell r="AL132" t="str">
            <v>令和3年10月29日交付</v>
          </cell>
          <cell r="AM132" t="str">
            <v>4号の43</v>
          </cell>
          <cell r="AN132" t="str">
            <v>有</v>
          </cell>
          <cell r="AO132" t="str">
            <v>一般型</v>
          </cell>
          <cell r="AP132" t="str">
            <v>一般型</v>
          </cell>
          <cell r="AQ132" t="str">
            <v>一般型</v>
          </cell>
          <cell r="AR132" t="str">
            <v>一般型</v>
          </cell>
          <cell r="AS132" t="str">
            <v>一般型</v>
          </cell>
          <cell r="AT132" t="str">
            <v>一般型</v>
          </cell>
          <cell r="AU132" t="str">
            <v>一般型</v>
          </cell>
          <cell r="AV132" t="str">
            <v>一般型</v>
          </cell>
          <cell r="AW132" t="str">
            <v>一般型</v>
          </cell>
          <cell r="AX132" t="str">
            <v>一般型</v>
          </cell>
          <cell r="AY132" t="str">
            <v>一般型</v>
          </cell>
          <cell r="AZ132" t="str">
            <v>一般型</v>
          </cell>
          <cell r="BA132" t="str">
            <v>-</v>
          </cell>
          <cell r="BB132" t="str">
            <v>-</v>
          </cell>
          <cell r="BC132" t="str">
            <v>-</v>
          </cell>
          <cell r="BD132" t="str">
            <v>-</v>
          </cell>
          <cell r="BE132" t="str">
            <v>-</v>
          </cell>
          <cell r="BF132" t="str">
            <v>-</v>
          </cell>
          <cell r="BG132" t="str">
            <v>-</v>
          </cell>
          <cell r="BH132" t="str">
            <v>-</v>
          </cell>
          <cell r="BI132" t="str">
            <v>-</v>
          </cell>
          <cell r="BJ132" t="str">
            <v>-</v>
          </cell>
          <cell r="BK132" t="str">
            <v>-</v>
          </cell>
          <cell r="BL132" t="str">
            <v>-</v>
          </cell>
          <cell r="CW132" t="str">
            <v>無</v>
          </cell>
          <cell r="CX132">
            <v>1</v>
          </cell>
          <cell r="CY132" t="str">
            <v>有</v>
          </cell>
          <cell r="CZ132" t="str">
            <v>有</v>
          </cell>
          <cell r="DA132" t="str">
            <v>有</v>
          </cell>
          <cell r="DB132" t="str">
            <v>有</v>
          </cell>
          <cell r="DC132" t="str">
            <v>有</v>
          </cell>
          <cell r="DD132" t="str">
            <v>有</v>
          </cell>
          <cell r="DE132" t="str">
            <v>有</v>
          </cell>
          <cell r="DF132" t="str">
            <v>有</v>
          </cell>
          <cell r="DG132" t="str">
            <v>有</v>
          </cell>
          <cell r="DH132" t="str">
            <v>有</v>
          </cell>
          <cell r="DI132" t="str">
            <v>有</v>
          </cell>
          <cell r="DJ132" t="str">
            <v>有</v>
          </cell>
          <cell r="DK132" t="str">
            <v>-</v>
          </cell>
          <cell r="DL132" t="str">
            <v>-</v>
          </cell>
          <cell r="DM132" t="str">
            <v>-</v>
          </cell>
          <cell r="DN132" t="str">
            <v>-</v>
          </cell>
          <cell r="DO132" t="str">
            <v>-</v>
          </cell>
          <cell r="DP132" t="str">
            <v>-</v>
          </cell>
          <cell r="DQ132" t="str">
            <v>-</v>
          </cell>
          <cell r="DR132" t="str">
            <v>-</v>
          </cell>
          <cell r="DS132" t="str">
            <v>-</v>
          </cell>
          <cell r="DT132" t="str">
            <v>-</v>
          </cell>
          <cell r="DU132" t="str">
            <v>-</v>
          </cell>
          <cell r="DV132" t="str">
            <v>-</v>
          </cell>
          <cell r="DW132" t="str">
            <v>有</v>
          </cell>
          <cell r="DX132" t="str">
            <v>有</v>
          </cell>
          <cell r="DY132" t="str">
            <v>有</v>
          </cell>
          <cell r="DZ132" t="str">
            <v>有</v>
          </cell>
          <cell r="EA132" t="str">
            <v>有</v>
          </cell>
          <cell r="EB132" t="str">
            <v>有</v>
          </cell>
          <cell r="EC132" t="str">
            <v>有</v>
          </cell>
          <cell r="ED132" t="str">
            <v>有</v>
          </cell>
          <cell r="EE132" t="str">
            <v>有</v>
          </cell>
          <cell r="EF132" t="str">
            <v>有</v>
          </cell>
          <cell r="EG132" t="str">
            <v>有</v>
          </cell>
          <cell r="EH132" t="str">
            <v>有</v>
          </cell>
          <cell r="EI132" t="str">
            <v>配置</v>
          </cell>
          <cell r="EJ132" t="str">
            <v>配置</v>
          </cell>
          <cell r="EK132" t="str">
            <v>配置</v>
          </cell>
          <cell r="EL132" t="str">
            <v>配置</v>
          </cell>
          <cell r="EM132" t="str">
            <v>配置</v>
          </cell>
          <cell r="EN132" t="str">
            <v>配置</v>
          </cell>
          <cell r="EO132" t="str">
            <v>配置</v>
          </cell>
          <cell r="EP132" t="str">
            <v>配置</v>
          </cell>
          <cell r="EQ132" t="str">
            <v>配置</v>
          </cell>
          <cell r="ER132" t="str">
            <v>配置</v>
          </cell>
          <cell r="ES132" t="str">
            <v>配置</v>
          </cell>
          <cell r="ET132" t="str">
            <v>配置</v>
          </cell>
          <cell r="EU132">
            <v>76960</v>
          </cell>
          <cell r="EV132">
            <v>76960</v>
          </cell>
          <cell r="EW132">
            <v>76960</v>
          </cell>
          <cell r="EX132">
            <v>76960</v>
          </cell>
          <cell r="EY132">
            <v>76960</v>
          </cell>
          <cell r="EZ132">
            <v>76960</v>
          </cell>
          <cell r="FA132">
            <v>76960</v>
          </cell>
          <cell r="FB132">
            <v>76960</v>
          </cell>
          <cell r="FC132">
            <v>76960</v>
          </cell>
          <cell r="FD132">
            <v>76960</v>
          </cell>
          <cell r="FE132">
            <v>76960</v>
          </cell>
          <cell r="FF132">
            <v>76960</v>
          </cell>
        </row>
        <row r="133">
          <cell r="C133">
            <v>129</v>
          </cell>
          <cell r="D133" t="str">
            <v>つぐみ保育園</v>
          </cell>
          <cell r="E133" t="str">
            <v>無</v>
          </cell>
          <cell r="F133">
            <v>30</v>
          </cell>
          <cell r="H133">
            <v>17</v>
          </cell>
          <cell r="I133">
            <v>13</v>
          </cell>
          <cell r="O133">
            <v>1189000</v>
          </cell>
          <cell r="P133">
            <v>2627000</v>
          </cell>
          <cell r="Q133">
            <v>2627000</v>
          </cell>
          <cell r="R133">
            <v>0</v>
          </cell>
          <cell r="S133">
            <v>0</v>
          </cell>
          <cell r="T133">
            <v>0</v>
          </cell>
          <cell r="U133">
            <v>0</v>
          </cell>
          <cell r="V133">
            <v>0</v>
          </cell>
          <cell r="W133">
            <v>0</v>
          </cell>
          <cell r="X133">
            <v>0</v>
          </cell>
          <cell r="Y133">
            <v>0</v>
          </cell>
          <cell r="Z133">
            <v>0</v>
          </cell>
          <cell r="AA133">
            <v>0</v>
          </cell>
          <cell r="AB133">
            <v>0</v>
          </cell>
          <cell r="AC133">
            <v>1189000</v>
          </cell>
          <cell r="AD133">
            <v>2627000</v>
          </cell>
          <cell r="AE133">
            <v>2627000</v>
          </cell>
          <cell r="AF133">
            <v>0</v>
          </cell>
          <cell r="AG133">
            <v>0</v>
          </cell>
          <cell r="AH133">
            <v>0</v>
          </cell>
          <cell r="AI133">
            <v>0</v>
          </cell>
          <cell r="AJ133" t="str">
            <v>令和3年4月1日</v>
          </cell>
          <cell r="AL133" t="str">
            <v>令和3年10月29日交付</v>
          </cell>
          <cell r="AM133" t="str">
            <v>4号の44</v>
          </cell>
          <cell r="AN133" t="str">
            <v>有</v>
          </cell>
          <cell r="AO133" t="str">
            <v>-</v>
          </cell>
          <cell r="AP133" t="str">
            <v>-</v>
          </cell>
          <cell r="AQ133" t="str">
            <v>-</v>
          </cell>
          <cell r="AR133" t="str">
            <v>-</v>
          </cell>
          <cell r="AS133" t="str">
            <v>-</v>
          </cell>
          <cell r="AT133" t="str">
            <v>-</v>
          </cell>
          <cell r="AU133" t="str">
            <v>-</v>
          </cell>
          <cell r="AV133" t="str">
            <v>-</v>
          </cell>
          <cell r="AW133" t="str">
            <v>-</v>
          </cell>
          <cell r="AX133" t="str">
            <v>-</v>
          </cell>
          <cell r="AY133" t="str">
            <v>-</v>
          </cell>
          <cell r="AZ133" t="str">
            <v>-</v>
          </cell>
          <cell r="BA133" t="str">
            <v>-</v>
          </cell>
          <cell r="BB133" t="str">
            <v>-</v>
          </cell>
          <cell r="BC133" t="str">
            <v>-</v>
          </cell>
          <cell r="BD133" t="str">
            <v>-</v>
          </cell>
          <cell r="BE133" t="str">
            <v>-</v>
          </cell>
          <cell r="BF133" t="str">
            <v>-</v>
          </cell>
          <cell r="BG133" t="str">
            <v>-</v>
          </cell>
          <cell r="BH133" t="str">
            <v>-</v>
          </cell>
          <cell r="BI133" t="str">
            <v>-</v>
          </cell>
          <cell r="BJ133" t="str">
            <v>-</v>
          </cell>
          <cell r="BK133" t="str">
            <v>-</v>
          </cell>
          <cell r="BL133" t="str">
            <v>-</v>
          </cell>
          <cell r="CW133" t="str">
            <v>無</v>
          </cell>
          <cell r="CX133">
            <v>0</v>
          </cell>
          <cell r="CY133" t="str">
            <v>無</v>
          </cell>
          <cell r="CZ133" t="str">
            <v>無</v>
          </cell>
          <cell r="DA133" t="str">
            <v>無</v>
          </cell>
          <cell r="DB133" t="str">
            <v>無</v>
          </cell>
          <cell r="DC133" t="str">
            <v>無</v>
          </cell>
          <cell r="DD133" t="str">
            <v>無</v>
          </cell>
          <cell r="DE133" t="str">
            <v>無</v>
          </cell>
          <cell r="DF133" t="str">
            <v>無</v>
          </cell>
          <cell r="DG133" t="str">
            <v>無</v>
          </cell>
          <cell r="DH133" t="str">
            <v>無</v>
          </cell>
          <cell r="DI133" t="str">
            <v>無</v>
          </cell>
          <cell r="DJ133" t="str">
            <v>無</v>
          </cell>
          <cell r="DK133" t="str">
            <v>-</v>
          </cell>
          <cell r="DL133" t="str">
            <v>-</v>
          </cell>
          <cell r="DM133" t="str">
            <v>-</v>
          </cell>
          <cell r="DN133" t="str">
            <v>-</v>
          </cell>
          <cell r="DO133" t="str">
            <v>-</v>
          </cell>
          <cell r="DP133" t="str">
            <v>-</v>
          </cell>
          <cell r="DQ133" t="str">
            <v>-</v>
          </cell>
          <cell r="DR133" t="str">
            <v>-</v>
          </cell>
          <cell r="DS133" t="str">
            <v>-</v>
          </cell>
          <cell r="DT133" t="str">
            <v>-</v>
          </cell>
          <cell r="DU133" t="str">
            <v>-</v>
          </cell>
          <cell r="DV133" t="str">
            <v>-</v>
          </cell>
          <cell r="DW133" t="str">
            <v>有</v>
          </cell>
          <cell r="DX133" t="str">
            <v>有</v>
          </cell>
          <cell r="DY133" t="str">
            <v>有</v>
          </cell>
          <cell r="DZ133" t="str">
            <v>有</v>
          </cell>
          <cell r="EA133" t="str">
            <v>有</v>
          </cell>
          <cell r="EB133" t="str">
            <v>有</v>
          </cell>
          <cell r="EC133" t="str">
            <v>有</v>
          </cell>
          <cell r="ED133" t="str">
            <v>有</v>
          </cell>
          <cell r="EE133" t="str">
            <v>有</v>
          </cell>
          <cell r="EF133" t="str">
            <v>有</v>
          </cell>
          <cell r="EG133" t="str">
            <v>有</v>
          </cell>
          <cell r="EH133" t="str">
            <v>有</v>
          </cell>
          <cell r="EI133" t="str">
            <v>嘱託</v>
          </cell>
          <cell r="EJ133" t="str">
            <v>嘱託</v>
          </cell>
          <cell r="EK133" t="str">
            <v>嘱託</v>
          </cell>
          <cell r="EL133" t="str">
            <v>嘱託</v>
          </cell>
          <cell r="EM133" t="str">
            <v>嘱託</v>
          </cell>
          <cell r="EN133" t="str">
            <v>嘱託</v>
          </cell>
          <cell r="EO133" t="str">
            <v>嘱託</v>
          </cell>
          <cell r="EP133" t="str">
            <v>嘱託</v>
          </cell>
          <cell r="EQ133" t="str">
            <v>嘱託</v>
          </cell>
          <cell r="ER133" t="str">
            <v>嘱託</v>
          </cell>
          <cell r="ES133" t="str">
            <v>嘱託</v>
          </cell>
          <cell r="ET133" t="str">
            <v>嘱託</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C134">
            <v>130</v>
          </cell>
          <cell r="D134" t="str">
            <v>みつばち保育園　若葉</v>
          </cell>
          <cell r="E134" t="str">
            <v>無</v>
          </cell>
          <cell r="F134">
            <v>30</v>
          </cell>
          <cell r="H134">
            <v>18</v>
          </cell>
          <cell r="I134">
            <v>12</v>
          </cell>
          <cell r="O134">
            <v>1189000</v>
          </cell>
          <cell r="P134">
            <v>2627000</v>
          </cell>
          <cell r="Q134">
            <v>2627000</v>
          </cell>
          <cell r="R134">
            <v>1028000</v>
          </cell>
          <cell r="S134">
            <v>0</v>
          </cell>
          <cell r="T134">
            <v>1982000</v>
          </cell>
          <cell r="U134">
            <v>0</v>
          </cell>
          <cell r="V134">
            <v>792000</v>
          </cell>
          <cell r="W134">
            <v>1751000</v>
          </cell>
          <cell r="X134">
            <v>1751000</v>
          </cell>
          <cell r="Y134">
            <v>685000</v>
          </cell>
          <cell r="Z134">
            <v>0</v>
          </cell>
          <cell r="AA134">
            <v>1321000</v>
          </cell>
          <cell r="AB134">
            <v>0</v>
          </cell>
          <cell r="AC134">
            <v>397000</v>
          </cell>
          <cell r="AD134">
            <v>876000</v>
          </cell>
          <cell r="AE134">
            <v>876000</v>
          </cell>
          <cell r="AF134">
            <v>343000</v>
          </cell>
          <cell r="AG134">
            <v>0</v>
          </cell>
          <cell r="AH134">
            <v>661000</v>
          </cell>
          <cell r="AI134">
            <v>0</v>
          </cell>
          <cell r="AJ134" t="str">
            <v>令和3年4月1日</v>
          </cell>
          <cell r="AK134" t="str">
            <v>令和3年5月31日交付</v>
          </cell>
          <cell r="AL134" t="str">
            <v>令和3年10月29日交付</v>
          </cell>
          <cell r="AM134" t="str">
            <v>4号の45</v>
          </cell>
          <cell r="AN134" t="str">
            <v>有</v>
          </cell>
          <cell r="AO134" t="str">
            <v>余裕活用型</v>
          </cell>
          <cell r="AP134" t="str">
            <v>余裕活用型</v>
          </cell>
          <cell r="AQ134" t="str">
            <v>余裕活用型</v>
          </cell>
          <cell r="AR134" t="str">
            <v>余裕活用型</v>
          </cell>
          <cell r="AS134" t="str">
            <v>余裕活用型</v>
          </cell>
          <cell r="AT134" t="str">
            <v>余裕活用型</v>
          </cell>
          <cell r="AU134" t="str">
            <v>余裕活用型</v>
          </cell>
          <cell r="AV134" t="str">
            <v>余裕活用型</v>
          </cell>
          <cell r="AW134" t="str">
            <v>余裕活用型</v>
          </cell>
          <cell r="AX134" t="str">
            <v>余裕活用型</v>
          </cell>
          <cell r="AY134" t="str">
            <v>余裕活用型</v>
          </cell>
          <cell r="AZ134" t="str">
            <v>余裕活用型</v>
          </cell>
          <cell r="BA134" t="str">
            <v>-</v>
          </cell>
          <cell r="BB134" t="str">
            <v>-</v>
          </cell>
          <cell r="BC134" t="str">
            <v>-</v>
          </cell>
          <cell r="BD134" t="str">
            <v>-</v>
          </cell>
          <cell r="BE134" t="str">
            <v>-</v>
          </cell>
          <cell r="BF134" t="str">
            <v>-</v>
          </cell>
          <cell r="BG134" t="str">
            <v>-</v>
          </cell>
          <cell r="BH134" t="str">
            <v>-</v>
          </cell>
          <cell r="BI134" t="str">
            <v>-</v>
          </cell>
          <cell r="BJ134" t="str">
            <v>-</v>
          </cell>
          <cell r="BK134" t="str">
            <v>-</v>
          </cell>
          <cell r="BL134" t="str">
            <v>-</v>
          </cell>
          <cell r="BM134">
            <v>2</v>
          </cell>
          <cell r="BN134">
            <v>2</v>
          </cell>
          <cell r="BO134">
            <v>2</v>
          </cell>
          <cell r="BP134">
            <v>2</v>
          </cell>
          <cell r="BQ134">
            <v>2</v>
          </cell>
          <cell r="BR134">
            <v>2</v>
          </cell>
          <cell r="BS134">
            <v>2</v>
          </cell>
          <cell r="BT134">
            <v>2</v>
          </cell>
          <cell r="BU134">
            <v>2</v>
          </cell>
          <cell r="BV134">
            <v>2</v>
          </cell>
          <cell r="BW134">
            <v>2</v>
          </cell>
          <cell r="BX134">
            <v>2</v>
          </cell>
          <cell r="CK134">
            <v>0</v>
          </cell>
          <cell r="CL134">
            <v>0</v>
          </cell>
          <cell r="CM134">
            <v>0</v>
          </cell>
          <cell r="CN134">
            <v>0</v>
          </cell>
          <cell r="CO134">
            <v>0</v>
          </cell>
          <cell r="CP134">
            <v>0</v>
          </cell>
          <cell r="CQ134">
            <v>0</v>
          </cell>
          <cell r="CR134">
            <v>0</v>
          </cell>
          <cell r="CS134">
            <v>0</v>
          </cell>
          <cell r="CT134">
            <v>0</v>
          </cell>
          <cell r="CU134">
            <v>0</v>
          </cell>
          <cell r="CV134">
            <v>0</v>
          </cell>
          <cell r="CW134" t="str">
            <v>無</v>
          </cell>
          <cell r="CX134">
            <v>0</v>
          </cell>
          <cell r="CY134" t="str">
            <v>有</v>
          </cell>
          <cell r="CZ134" t="str">
            <v>有</v>
          </cell>
          <cell r="DA134" t="str">
            <v>有</v>
          </cell>
          <cell r="DB134" t="str">
            <v>有</v>
          </cell>
          <cell r="DC134" t="str">
            <v>有</v>
          </cell>
          <cell r="DD134" t="str">
            <v>有</v>
          </cell>
          <cell r="DE134" t="str">
            <v>有</v>
          </cell>
          <cell r="DF134" t="str">
            <v>有</v>
          </cell>
          <cell r="DG134" t="str">
            <v>有</v>
          </cell>
          <cell r="DH134" t="str">
            <v>有</v>
          </cell>
          <cell r="DI134" t="str">
            <v>有</v>
          </cell>
          <cell r="DJ134" t="str">
            <v>有</v>
          </cell>
          <cell r="DK134" t="str">
            <v>-</v>
          </cell>
          <cell r="DL134" t="str">
            <v>-</v>
          </cell>
          <cell r="DM134" t="str">
            <v>-</v>
          </cell>
          <cell r="DN134" t="str">
            <v>-</v>
          </cell>
          <cell r="DO134" t="str">
            <v>-</v>
          </cell>
          <cell r="DP134" t="str">
            <v>-</v>
          </cell>
          <cell r="DQ134" t="str">
            <v>-</v>
          </cell>
          <cell r="DR134" t="str">
            <v>-</v>
          </cell>
          <cell r="DS134" t="str">
            <v>-</v>
          </cell>
          <cell r="DT134" t="str">
            <v>-</v>
          </cell>
          <cell r="DU134" t="str">
            <v>-</v>
          </cell>
          <cell r="DV134" t="str">
            <v>-</v>
          </cell>
          <cell r="DW134" t="str">
            <v>有</v>
          </cell>
          <cell r="DX134" t="str">
            <v>有</v>
          </cell>
          <cell r="DY134" t="str">
            <v>有</v>
          </cell>
          <cell r="DZ134" t="str">
            <v>有</v>
          </cell>
          <cell r="EA134" t="str">
            <v>有</v>
          </cell>
          <cell r="EB134" t="str">
            <v>有</v>
          </cell>
          <cell r="EC134" t="str">
            <v>有</v>
          </cell>
          <cell r="ED134" t="str">
            <v>有</v>
          </cell>
          <cell r="EE134" t="str">
            <v>有</v>
          </cell>
          <cell r="EF134" t="str">
            <v>有</v>
          </cell>
          <cell r="EG134" t="str">
            <v>有</v>
          </cell>
          <cell r="EH134" t="str">
            <v>有</v>
          </cell>
          <cell r="EI134" t="str">
            <v>配置</v>
          </cell>
          <cell r="EJ134" t="str">
            <v>配置</v>
          </cell>
          <cell r="EK134" t="str">
            <v>配置</v>
          </cell>
          <cell r="EL134" t="str">
            <v>配置</v>
          </cell>
          <cell r="EM134" t="str">
            <v>配置</v>
          </cell>
          <cell r="EN134" t="str">
            <v>配置</v>
          </cell>
          <cell r="EO134" t="str">
            <v>配置</v>
          </cell>
          <cell r="EP134" t="str">
            <v>配置</v>
          </cell>
          <cell r="EQ134" t="str">
            <v>配置</v>
          </cell>
          <cell r="ER134" t="str">
            <v>配置</v>
          </cell>
          <cell r="ES134" t="str">
            <v>配置</v>
          </cell>
          <cell r="ET134" t="str">
            <v>配置</v>
          </cell>
          <cell r="EU134">
            <v>76960</v>
          </cell>
          <cell r="EV134">
            <v>76960</v>
          </cell>
          <cell r="EW134">
            <v>76960</v>
          </cell>
          <cell r="EX134">
            <v>76960</v>
          </cell>
          <cell r="EY134">
            <v>76960</v>
          </cell>
          <cell r="EZ134">
            <v>76960</v>
          </cell>
          <cell r="FA134">
            <v>76960</v>
          </cell>
          <cell r="FB134">
            <v>76960</v>
          </cell>
          <cell r="FC134">
            <v>76960</v>
          </cell>
          <cell r="FD134">
            <v>76960</v>
          </cell>
          <cell r="FE134">
            <v>76960</v>
          </cell>
          <cell r="FF134">
            <v>76960</v>
          </cell>
        </row>
        <row r="135">
          <cell r="C135">
            <v>131</v>
          </cell>
          <cell r="D135" t="str">
            <v>あすみ東保育園</v>
          </cell>
          <cell r="E135" t="str">
            <v>無</v>
          </cell>
          <cell r="F135">
            <v>50</v>
          </cell>
          <cell r="H135">
            <v>30</v>
          </cell>
          <cell r="I135">
            <v>20</v>
          </cell>
          <cell r="O135">
            <v>1189000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t="str">
            <v>令和3年4月1日</v>
          </cell>
          <cell r="AM135" t="str">
            <v>4号の46</v>
          </cell>
          <cell r="AN135" t="str">
            <v>有</v>
          </cell>
          <cell r="AO135" t="str">
            <v>-</v>
          </cell>
          <cell r="AP135" t="str">
            <v>-</v>
          </cell>
          <cell r="AQ135" t="str">
            <v>-</v>
          </cell>
          <cell r="AR135" t="str">
            <v>-</v>
          </cell>
          <cell r="AS135" t="str">
            <v>-</v>
          </cell>
          <cell r="AT135" t="str">
            <v>-</v>
          </cell>
          <cell r="AU135" t="str">
            <v>-</v>
          </cell>
          <cell r="AV135" t="str">
            <v>-</v>
          </cell>
          <cell r="AW135" t="str">
            <v>-</v>
          </cell>
          <cell r="AX135" t="str">
            <v>-</v>
          </cell>
          <cell r="AY135" t="str">
            <v>-</v>
          </cell>
          <cell r="AZ135" t="str">
            <v>-</v>
          </cell>
          <cell r="BA135" t="str">
            <v>-</v>
          </cell>
          <cell r="BB135" t="str">
            <v>-</v>
          </cell>
          <cell r="BC135" t="str">
            <v>-</v>
          </cell>
          <cell r="BD135" t="str">
            <v>-</v>
          </cell>
          <cell r="BE135" t="str">
            <v>-</v>
          </cell>
          <cell r="BF135" t="str">
            <v>-</v>
          </cell>
          <cell r="BG135" t="str">
            <v>-</v>
          </cell>
          <cell r="BH135" t="str">
            <v>-</v>
          </cell>
          <cell r="BI135" t="str">
            <v>-</v>
          </cell>
          <cell r="BJ135" t="str">
            <v>-</v>
          </cell>
          <cell r="BK135" t="str">
            <v>-</v>
          </cell>
          <cell r="BL135" t="str">
            <v>-</v>
          </cell>
          <cell r="BM135">
            <v>1</v>
          </cell>
          <cell r="BN135">
            <v>1</v>
          </cell>
          <cell r="BO135">
            <v>1</v>
          </cell>
          <cell r="BP135">
            <v>1</v>
          </cell>
          <cell r="BQ135">
            <v>1</v>
          </cell>
          <cell r="BR135">
            <v>1</v>
          </cell>
          <cell r="BS135">
            <v>1</v>
          </cell>
          <cell r="BT135">
            <v>1</v>
          </cell>
          <cell r="BU135">
            <v>1</v>
          </cell>
          <cell r="BV135">
            <v>1</v>
          </cell>
          <cell r="BW135">
            <v>1</v>
          </cell>
          <cell r="BX135">
            <v>1</v>
          </cell>
          <cell r="CK135">
            <v>0</v>
          </cell>
          <cell r="CL135">
            <v>0</v>
          </cell>
          <cell r="CM135">
            <v>0</v>
          </cell>
          <cell r="CN135">
            <v>0</v>
          </cell>
          <cell r="CO135">
            <v>0</v>
          </cell>
          <cell r="CP135">
            <v>0</v>
          </cell>
          <cell r="CQ135">
            <v>0</v>
          </cell>
          <cell r="CR135">
            <v>0</v>
          </cell>
          <cell r="CS135">
            <v>0</v>
          </cell>
          <cell r="CT135">
            <v>0</v>
          </cell>
          <cell r="CU135">
            <v>0</v>
          </cell>
          <cell r="CV135">
            <v>0</v>
          </cell>
          <cell r="CW135" t="str">
            <v>無</v>
          </cell>
          <cell r="CX135">
            <v>0</v>
          </cell>
          <cell r="CY135" t="str">
            <v>有</v>
          </cell>
          <cell r="CZ135" t="str">
            <v>有</v>
          </cell>
          <cell r="DA135" t="str">
            <v>有</v>
          </cell>
          <cell r="DB135" t="str">
            <v>有</v>
          </cell>
          <cell r="DC135" t="str">
            <v>有</v>
          </cell>
          <cell r="DD135" t="str">
            <v>有</v>
          </cell>
          <cell r="DE135" t="str">
            <v>有</v>
          </cell>
          <cell r="DF135" t="str">
            <v>有</v>
          </cell>
          <cell r="DG135" t="str">
            <v>有</v>
          </cell>
          <cell r="DH135" t="str">
            <v>有</v>
          </cell>
          <cell r="DI135" t="str">
            <v>有</v>
          </cell>
          <cell r="DJ135" t="str">
            <v>有</v>
          </cell>
          <cell r="DK135" t="str">
            <v>-</v>
          </cell>
          <cell r="DL135" t="str">
            <v>-</v>
          </cell>
          <cell r="DM135" t="str">
            <v>-</v>
          </cell>
          <cell r="DN135" t="str">
            <v>-</v>
          </cell>
          <cell r="DO135" t="str">
            <v>-</v>
          </cell>
          <cell r="DP135" t="str">
            <v>-</v>
          </cell>
          <cell r="DQ135" t="str">
            <v>-</v>
          </cell>
          <cell r="DR135" t="str">
            <v>-</v>
          </cell>
          <cell r="DS135" t="str">
            <v>-</v>
          </cell>
          <cell r="DT135" t="str">
            <v>-</v>
          </cell>
          <cell r="DU135" t="str">
            <v>-</v>
          </cell>
          <cell r="DV135" t="str">
            <v>-</v>
          </cell>
          <cell r="DW135" t="str">
            <v>有</v>
          </cell>
          <cell r="DX135" t="str">
            <v>有</v>
          </cell>
          <cell r="DY135" t="str">
            <v>有</v>
          </cell>
          <cell r="DZ135" t="str">
            <v>有</v>
          </cell>
          <cell r="EA135" t="str">
            <v>有</v>
          </cell>
          <cell r="EB135" t="str">
            <v>有</v>
          </cell>
          <cell r="EC135" t="str">
            <v>有</v>
          </cell>
          <cell r="ED135" t="str">
            <v>有</v>
          </cell>
          <cell r="EE135" t="str">
            <v>有</v>
          </cell>
          <cell r="EF135" t="str">
            <v>有</v>
          </cell>
          <cell r="EG135" t="str">
            <v>有</v>
          </cell>
          <cell r="EH135" t="str">
            <v>有</v>
          </cell>
          <cell r="EI135" t="str">
            <v>配置</v>
          </cell>
          <cell r="EJ135" t="str">
            <v>配置</v>
          </cell>
          <cell r="EK135" t="str">
            <v>配置</v>
          </cell>
          <cell r="EL135" t="str">
            <v>配置</v>
          </cell>
          <cell r="EM135" t="str">
            <v>配置</v>
          </cell>
          <cell r="EN135" t="str">
            <v>配置</v>
          </cell>
          <cell r="EO135" t="str">
            <v>配置</v>
          </cell>
          <cell r="EP135" t="str">
            <v>配置</v>
          </cell>
          <cell r="EQ135" t="str">
            <v>配置</v>
          </cell>
          <cell r="ER135" t="str">
            <v>配置</v>
          </cell>
          <cell r="ES135" t="str">
            <v>配置</v>
          </cell>
          <cell r="ET135" t="str">
            <v>配置</v>
          </cell>
          <cell r="EU135">
            <v>76960</v>
          </cell>
          <cell r="EV135">
            <v>76960</v>
          </cell>
          <cell r="EW135">
            <v>76960</v>
          </cell>
          <cell r="EX135">
            <v>76960</v>
          </cell>
          <cell r="EY135">
            <v>76960</v>
          </cell>
          <cell r="EZ135">
            <v>76960</v>
          </cell>
          <cell r="FA135">
            <v>76960</v>
          </cell>
          <cell r="FB135">
            <v>76960</v>
          </cell>
          <cell r="FC135">
            <v>76960</v>
          </cell>
          <cell r="FD135">
            <v>76960</v>
          </cell>
          <cell r="FE135">
            <v>76960</v>
          </cell>
          <cell r="FF135">
            <v>76960</v>
          </cell>
        </row>
        <row r="136">
          <cell r="C136">
            <v>132</v>
          </cell>
          <cell r="D136" t="str">
            <v>キートスチャイルドケアおゆみ野南</v>
          </cell>
          <cell r="E136" t="str">
            <v>無</v>
          </cell>
          <cell r="F136">
            <v>59</v>
          </cell>
          <cell r="H136">
            <v>33</v>
          </cell>
          <cell r="I136">
            <v>26</v>
          </cell>
          <cell r="O136">
            <v>1189000</v>
          </cell>
          <cell r="P136">
            <v>2627000</v>
          </cell>
          <cell r="Q136">
            <v>0</v>
          </cell>
          <cell r="R136">
            <v>1631000</v>
          </cell>
          <cell r="S136">
            <v>1028000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t="str">
            <v>令和3年4月1日</v>
          </cell>
          <cell r="AM136" t="str">
            <v>5号の5</v>
          </cell>
          <cell r="AN136" t="str">
            <v>有</v>
          </cell>
          <cell r="AO136" t="str">
            <v>-</v>
          </cell>
          <cell r="AP136" t="str">
            <v>-</v>
          </cell>
          <cell r="AQ136" t="str">
            <v>-</v>
          </cell>
          <cell r="AR136" t="str">
            <v>-</v>
          </cell>
          <cell r="AS136" t="str">
            <v>-</v>
          </cell>
          <cell r="AT136" t="str">
            <v>-</v>
          </cell>
          <cell r="AU136" t="str">
            <v>-</v>
          </cell>
          <cell r="AV136" t="str">
            <v>-</v>
          </cell>
          <cell r="AW136" t="str">
            <v>-</v>
          </cell>
          <cell r="AX136" t="str">
            <v>-</v>
          </cell>
          <cell r="AY136" t="str">
            <v>-</v>
          </cell>
          <cell r="AZ136" t="str">
            <v>-</v>
          </cell>
          <cell r="BA136" t="str">
            <v>-</v>
          </cell>
          <cell r="BB136" t="str">
            <v>-</v>
          </cell>
          <cell r="BC136" t="str">
            <v>-</v>
          </cell>
          <cell r="BD136" t="str">
            <v>-</v>
          </cell>
          <cell r="BE136" t="str">
            <v>-</v>
          </cell>
          <cell r="BF136" t="str">
            <v>-</v>
          </cell>
          <cell r="BG136" t="str">
            <v>-</v>
          </cell>
          <cell r="BH136" t="str">
            <v>-</v>
          </cell>
          <cell r="BI136" t="str">
            <v>-</v>
          </cell>
          <cell r="BJ136" t="str">
            <v>-</v>
          </cell>
          <cell r="BK136" t="str">
            <v>-</v>
          </cell>
          <cell r="BL136" t="str">
            <v>-</v>
          </cell>
          <cell r="CW136" t="str">
            <v>無</v>
          </cell>
          <cell r="CX136">
            <v>0</v>
          </cell>
          <cell r="CY136" t="str">
            <v>無</v>
          </cell>
          <cell r="CZ136" t="str">
            <v>無</v>
          </cell>
          <cell r="DA136" t="str">
            <v>無</v>
          </cell>
          <cell r="DB136" t="str">
            <v>無</v>
          </cell>
          <cell r="DC136" t="str">
            <v>無</v>
          </cell>
          <cell r="DD136" t="str">
            <v>無</v>
          </cell>
          <cell r="DE136" t="str">
            <v>無</v>
          </cell>
          <cell r="DF136" t="str">
            <v>無</v>
          </cell>
          <cell r="DG136" t="str">
            <v>無</v>
          </cell>
          <cell r="DH136" t="str">
            <v>無</v>
          </cell>
          <cell r="DI136" t="str">
            <v>無</v>
          </cell>
          <cell r="DJ136" t="str">
            <v>無</v>
          </cell>
          <cell r="DK136" t="str">
            <v>-</v>
          </cell>
          <cell r="DL136" t="str">
            <v>-</v>
          </cell>
          <cell r="DM136" t="str">
            <v>-</v>
          </cell>
          <cell r="DN136" t="str">
            <v>-</v>
          </cell>
          <cell r="DO136" t="str">
            <v>-</v>
          </cell>
          <cell r="DP136" t="str">
            <v>-</v>
          </cell>
          <cell r="DQ136" t="str">
            <v>-</v>
          </cell>
          <cell r="DR136" t="str">
            <v>-</v>
          </cell>
          <cell r="DS136" t="str">
            <v>-</v>
          </cell>
          <cell r="DT136" t="str">
            <v>-</v>
          </cell>
          <cell r="DU136" t="str">
            <v>-</v>
          </cell>
          <cell r="DV136" t="str">
            <v>-</v>
          </cell>
          <cell r="DW136" t="str">
            <v>有</v>
          </cell>
          <cell r="DX136" t="str">
            <v>有</v>
          </cell>
          <cell r="DY136" t="str">
            <v>有</v>
          </cell>
          <cell r="DZ136" t="str">
            <v>有</v>
          </cell>
          <cell r="EA136" t="str">
            <v>有</v>
          </cell>
          <cell r="EB136" t="str">
            <v>有</v>
          </cell>
          <cell r="EC136" t="str">
            <v>有</v>
          </cell>
          <cell r="ED136" t="str">
            <v>有</v>
          </cell>
          <cell r="EE136" t="str">
            <v>有</v>
          </cell>
          <cell r="EF136" t="str">
            <v>有</v>
          </cell>
          <cell r="EG136" t="str">
            <v>有</v>
          </cell>
          <cell r="EH136" t="str">
            <v>有</v>
          </cell>
          <cell r="EI136" t="str">
            <v>兼務</v>
          </cell>
          <cell r="EJ136" t="str">
            <v>兼務</v>
          </cell>
          <cell r="EK136" t="str">
            <v>兼務</v>
          </cell>
          <cell r="EL136" t="str">
            <v>兼務</v>
          </cell>
          <cell r="EM136" t="str">
            <v>兼務</v>
          </cell>
          <cell r="EN136" t="str">
            <v>兼務</v>
          </cell>
          <cell r="EO136" t="str">
            <v>兼務</v>
          </cell>
          <cell r="EP136" t="str">
            <v>兼務</v>
          </cell>
          <cell r="EQ136" t="str">
            <v>兼務</v>
          </cell>
          <cell r="ER136" t="str">
            <v>兼務</v>
          </cell>
          <cell r="ES136" t="str">
            <v>兼務</v>
          </cell>
          <cell r="ET136" t="str">
            <v>兼務</v>
          </cell>
          <cell r="EU136" t="str">
            <v/>
          </cell>
          <cell r="EV136" t="str">
            <v/>
          </cell>
          <cell r="EW136" t="str">
            <v/>
          </cell>
          <cell r="EX136" t="str">
            <v/>
          </cell>
          <cell r="EY136" t="str">
            <v/>
          </cell>
          <cell r="EZ136" t="str">
            <v/>
          </cell>
          <cell r="FA136" t="str">
            <v/>
          </cell>
          <cell r="FB136" t="str">
            <v/>
          </cell>
          <cell r="FC136" t="str">
            <v/>
          </cell>
          <cell r="FD136" t="str">
            <v/>
          </cell>
          <cell r="FE136" t="str">
            <v/>
          </cell>
          <cell r="FF136" t="str">
            <v/>
          </cell>
        </row>
        <row r="137">
          <cell r="C137">
            <v>133</v>
          </cell>
          <cell r="D137" t="str">
            <v>ししの子保育園　おゆみ野</v>
          </cell>
          <cell r="E137" t="str">
            <v>無</v>
          </cell>
          <cell r="F137">
            <v>59</v>
          </cell>
          <cell r="H137">
            <v>33</v>
          </cell>
          <cell r="I137">
            <v>26</v>
          </cell>
          <cell r="O137">
            <v>1189000</v>
          </cell>
          <cell r="P137">
            <v>1576000</v>
          </cell>
          <cell r="Q137">
            <v>0</v>
          </cell>
          <cell r="R137">
            <v>1631000</v>
          </cell>
          <cell r="S137">
            <v>0</v>
          </cell>
          <cell r="T137">
            <v>0</v>
          </cell>
          <cell r="U137">
            <v>0</v>
          </cell>
          <cell r="V137">
            <v>792000</v>
          </cell>
          <cell r="W137">
            <v>1050000</v>
          </cell>
          <cell r="X137">
            <v>0</v>
          </cell>
          <cell r="Y137">
            <v>1087000</v>
          </cell>
          <cell r="Z137">
            <v>0</v>
          </cell>
          <cell r="AA137">
            <v>0</v>
          </cell>
          <cell r="AB137">
            <v>0</v>
          </cell>
          <cell r="AC137">
            <v>0</v>
          </cell>
          <cell r="AD137">
            <v>0</v>
          </cell>
          <cell r="AE137">
            <v>0</v>
          </cell>
          <cell r="AF137">
            <v>0</v>
          </cell>
          <cell r="AG137">
            <v>0</v>
          </cell>
          <cell r="AH137">
            <v>0</v>
          </cell>
          <cell r="AI137">
            <v>0</v>
          </cell>
          <cell r="AJ137" t="str">
            <v>令和3年4月1日</v>
          </cell>
          <cell r="AK137" t="str">
            <v>令和3年5月31日交付</v>
          </cell>
          <cell r="AM137" t="str">
            <v>4号の47</v>
          </cell>
          <cell r="AN137" t="str">
            <v>有</v>
          </cell>
          <cell r="AO137" t="str">
            <v>-</v>
          </cell>
          <cell r="AP137" t="str">
            <v>-</v>
          </cell>
          <cell r="AQ137" t="str">
            <v>-</v>
          </cell>
          <cell r="AR137" t="str">
            <v>-</v>
          </cell>
          <cell r="AS137" t="str">
            <v>-</v>
          </cell>
          <cell r="AT137" t="str">
            <v>-</v>
          </cell>
          <cell r="AU137" t="str">
            <v>-</v>
          </cell>
          <cell r="AV137" t="str">
            <v>-</v>
          </cell>
          <cell r="AW137" t="str">
            <v>-</v>
          </cell>
          <cell r="AX137" t="str">
            <v>-</v>
          </cell>
          <cell r="AY137" t="str">
            <v>-</v>
          </cell>
          <cell r="AZ137" t="str">
            <v>-</v>
          </cell>
          <cell r="BA137" t="str">
            <v>-</v>
          </cell>
          <cell r="BB137" t="str">
            <v>-</v>
          </cell>
          <cell r="BC137" t="str">
            <v>-</v>
          </cell>
          <cell r="BD137" t="str">
            <v>-</v>
          </cell>
          <cell r="BE137" t="str">
            <v>-</v>
          </cell>
          <cell r="BF137" t="str">
            <v>-</v>
          </cell>
          <cell r="BG137" t="str">
            <v>-</v>
          </cell>
          <cell r="BH137" t="str">
            <v>-</v>
          </cell>
          <cell r="BI137" t="str">
            <v>-</v>
          </cell>
          <cell r="BJ137" t="str">
            <v>-</v>
          </cell>
          <cell r="BK137" t="str">
            <v>-</v>
          </cell>
          <cell r="BL137" t="str">
            <v>-</v>
          </cell>
          <cell r="BM137">
            <v>2</v>
          </cell>
          <cell r="BN137">
            <v>2</v>
          </cell>
          <cell r="BO137">
            <v>2</v>
          </cell>
          <cell r="BP137">
            <v>2</v>
          </cell>
          <cell r="BQ137">
            <v>2</v>
          </cell>
          <cell r="BR137">
            <v>2</v>
          </cell>
          <cell r="BS137">
            <v>2</v>
          </cell>
          <cell r="BT137">
            <v>2</v>
          </cell>
          <cell r="BU137">
            <v>2</v>
          </cell>
          <cell r="BV137">
            <v>2</v>
          </cell>
          <cell r="BW137">
            <v>2</v>
          </cell>
          <cell r="BX137">
            <v>2</v>
          </cell>
          <cell r="CK137">
            <v>0</v>
          </cell>
          <cell r="CL137">
            <v>0</v>
          </cell>
          <cell r="CM137">
            <v>0</v>
          </cell>
          <cell r="CN137">
            <v>0</v>
          </cell>
          <cell r="CO137">
            <v>0</v>
          </cell>
          <cell r="CP137">
            <v>0</v>
          </cell>
          <cell r="CQ137">
            <v>0</v>
          </cell>
          <cell r="CR137">
            <v>0</v>
          </cell>
          <cell r="CS137">
            <v>0</v>
          </cell>
          <cell r="CT137">
            <v>0</v>
          </cell>
          <cell r="CU137">
            <v>0</v>
          </cell>
          <cell r="CV137">
            <v>0</v>
          </cell>
          <cell r="CW137" t="str">
            <v>無</v>
          </cell>
          <cell r="CX137">
            <v>0</v>
          </cell>
          <cell r="CY137" t="str">
            <v>有</v>
          </cell>
          <cell r="CZ137" t="str">
            <v>有</v>
          </cell>
          <cell r="DA137" t="str">
            <v>有</v>
          </cell>
          <cell r="DB137" t="str">
            <v>有</v>
          </cell>
          <cell r="DC137" t="str">
            <v>有</v>
          </cell>
          <cell r="DD137" t="str">
            <v>有</v>
          </cell>
          <cell r="DE137" t="str">
            <v>有</v>
          </cell>
          <cell r="DF137" t="str">
            <v>有</v>
          </cell>
          <cell r="DG137" t="str">
            <v>有</v>
          </cell>
          <cell r="DH137" t="str">
            <v>有</v>
          </cell>
          <cell r="DI137" t="str">
            <v>有</v>
          </cell>
          <cell r="DJ137" t="str">
            <v>有</v>
          </cell>
          <cell r="DK137" t="str">
            <v>-</v>
          </cell>
          <cell r="DL137" t="str">
            <v>-</v>
          </cell>
          <cell r="DM137" t="str">
            <v>-</v>
          </cell>
          <cell r="DN137" t="str">
            <v>-</v>
          </cell>
          <cell r="DO137" t="str">
            <v>-</v>
          </cell>
          <cell r="DP137" t="str">
            <v>-</v>
          </cell>
          <cell r="DQ137" t="str">
            <v>-</v>
          </cell>
          <cell r="DR137" t="str">
            <v>-</v>
          </cell>
          <cell r="DS137" t="str">
            <v>-</v>
          </cell>
          <cell r="DT137" t="str">
            <v>-</v>
          </cell>
          <cell r="DU137" t="str">
            <v>-</v>
          </cell>
          <cell r="DV137" t="str">
            <v>-</v>
          </cell>
          <cell r="DW137" t="str">
            <v>有</v>
          </cell>
          <cell r="DX137" t="str">
            <v>有</v>
          </cell>
          <cell r="DY137" t="str">
            <v>有</v>
          </cell>
          <cell r="DZ137" t="str">
            <v>有</v>
          </cell>
          <cell r="EA137" t="str">
            <v>有</v>
          </cell>
          <cell r="EB137" t="str">
            <v>有</v>
          </cell>
          <cell r="EC137" t="str">
            <v>有</v>
          </cell>
          <cell r="ED137" t="str">
            <v>有</v>
          </cell>
          <cell r="EE137" t="str">
            <v>有</v>
          </cell>
          <cell r="EF137" t="str">
            <v>有</v>
          </cell>
          <cell r="EG137" t="str">
            <v>有</v>
          </cell>
          <cell r="EH137" t="str">
            <v>有</v>
          </cell>
          <cell r="EI137" t="str">
            <v>兼務</v>
          </cell>
          <cell r="EJ137" t="str">
            <v>兼務</v>
          </cell>
          <cell r="EK137" t="str">
            <v>兼務</v>
          </cell>
          <cell r="EL137" t="str">
            <v>兼務</v>
          </cell>
          <cell r="EM137" t="str">
            <v>兼務</v>
          </cell>
          <cell r="EN137" t="str">
            <v>兼務</v>
          </cell>
          <cell r="EO137" t="str">
            <v>兼務</v>
          </cell>
          <cell r="EP137" t="str">
            <v>兼務</v>
          </cell>
          <cell r="EQ137" t="str">
            <v>兼務</v>
          </cell>
          <cell r="ER137" t="str">
            <v>兼務</v>
          </cell>
          <cell r="ES137" t="str">
            <v>兼務</v>
          </cell>
          <cell r="ET137" t="str">
            <v>兼務</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C138">
            <v>134</v>
          </cell>
          <cell r="D138" t="str">
            <v>京進のほいくえん　HOPPA幕張ベイパーク</v>
          </cell>
          <cell r="E138" t="str">
            <v>無</v>
          </cell>
          <cell r="F138">
            <v>70</v>
          </cell>
          <cell r="H138">
            <v>39</v>
          </cell>
          <cell r="I138">
            <v>31</v>
          </cell>
          <cell r="O138">
            <v>1189000</v>
          </cell>
          <cell r="P138">
            <v>0</v>
          </cell>
          <cell r="Q138">
            <v>0</v>
          </cell>
          <cell r="R138">
            <v>1028000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t="str">
            <v>令和3年4月1日</v>
          </cell>
          <cell r="AM138" t="str">
            <v>4号の48</v>
          </cell>
          <cell r="AN138" t="str">
            <v>有</v>
          </cell>
          <cell r="AO138" t="str">
            <v>余裕活用型</v>
          </cell>
          <cell r="AP138" t="str">
            <v>余裕活用型</v>
          </cell>
          <cell r="AQ138" t="str">
            <v>余裕活用型</v>
          </cell>
          <cell r="AR138" t="str">
            <v>余裕活用型</v>
          </cell>
          <cell r="AS138" t="str">
            <v>余裕活用型</v>
          </cell>
          <cell r="AT138" t="str">
            <v>余裕活用型</v>
          </cell>
          <cell r="AU138" t="str">
            <v>余裕活用型</v>
          </cell>
          <cell r="AV138" t="str">
            <v>余裕活用型</v>
          </cell>
          <cell r="AW138" t="str">
            <v>余裕活用型</v>
          </cell>
          <cell r="AX138" t="str">
            <v>余裕活用型</v>
          </cell>
          <cell r="AY138" t="str">
            <v>余裕活用型</v>
          </cell>
          <cell r="AZ138" t="str">
            <v>余裕活用型</v>
          </cell>
          <cell r="BA138" t="str">
            <v>-</v>
          </cell>
          <cell r="BB138" t="str">
            <v>-</v>
          </cell>
          <cell r="BC138" t="str">
            <v>-</v>
          </cell>
          <cell r="BD138" t="str">
            <v>-</v>
          </cell>
          <cell r="BE138" t="str">
            <v>-</v>
          </cell>
          <cell r="BF138" t="str">
            <v>-</v>
          </cell>
          <cell r="BG138" t="str">
            <v>-</v>
          </cell>
          <cell r="BH138" t="str">
            <v>-</v>
          </cell>
          <cell r="BI138" t="str">
            <v>-</v>
          </cell>
          <cell r="BJ138" t="str">
            <v>-</v>
          </cell>
          <cell r="BK138" t="str">
            <v>-</v>
          </cell>
          <cell r="BL138" t="str">
            <v>-</v>
          </cell>
          <cell r="CW138" t="str">
            <v>無</v>
          </cell>
          <cell r="CX138">
            <v>0</v>
          </cell>
          <cell r="CY138" t="str">
            <v>無</v>
          </cell>
          <cell r="CZ138" t="str">
            <v>無</v>
          </cell>
          <cell r="DA138" t="str">
            <v>無</v>
          </cell>
          <cell r="DB138" t="str">
            <v>無</v>
          </cell>
          <cell r="DC138" t="str">
            <v>無</v>
          </cell>
          <cell r="DD138" t="str">
            <v>無</v>
          </cell>
          <cell r="DE138" t="str">
            <v>無</v>
          </cell>
          <cell r="DF138" t="str">
            <v>無</v>
          </cell>
          <cell r="DG138" t="str">
            <v>無</v>
          </cell>
          <cell r="DH138" t="str">
            <v>無</v>
          </cell>
          <cell r="DI138" t="str">
            <v>無</v>
          </cell>
          <cell r="DJ138" t="str">
            <v>無</v>
          </cell>
          <cell r="DK138" t="str">
            <v>-</v>
          </cell>
          <cell r="DL138" t="str">
            <v>-</v>
          </cell>
          <cell r="DM138" t="str">
            <v>-</v>
          </cell>
          <cell r="DN138" t="str">
            <v>-</v>
          </cell>
          <cell r="DO138" t="str">
            <v>-</v>
          </cell>
          <cell r="DP138" t="str">
            <v>-</v>
          </cell>
          <cell r="DQ138" t="str">
            <v>-</v>
          </cell>
          <cell r="DR138" t="str">
            <v>-</v>
          </cell>
          <cell r="DS138" t="str">
            <v>-</v>
          </cell>
          <cell r="DT138" t="str">
            <v>-</v>
          </cell>
          <cell r="DU138" t="str">
            <v>-</v>
          </cell>
          <cell r="DV138" t="str">
            <v>-</v>
          </cell>
          <cell r="DW138" t="str">
            <v>有</v>
          </cell>
          <cell r="DX138" t="str">
            <v>有</v>
          </cell>
          <cell r="DY138" t="str">
            <v>有</v>
          </cell>
          <cell r="DZ138" t="str">
            <v>有</v>
          </cell>
          <cell r="EA138" t="str">
            <v>有</v>
          </cell>
          <cell r="EB138" t="str">
            <v>有</v>
          </cell>
          <cell r="EC138" t="str">
            <v>有</v>
          </cell>
          <cell r="ED138" t="str">
            <v>有</v>
          </cell>
          <cell r="EE138" t="str">
            <v>有</v>
          </cell>
          <cell r="EF138" t="str">
            <v>有</v>
          </cell>
          <cell r="EG138" t="str">
            <v>有</v>
          </cell>
          <cell r="EH138" t="str">
            <v>有</v>
          </cell>
          <cell r="EI138" t="str">
            <v>配置</v>
          </cell>
          <cell r="EJ138" t="str">
            <v>配置</v>
          </cell>
          <cell r="EK138" t="str">
            <v>配置</v>
          </cell>
          <cell r="EL138" t="str">
            <v>配置</v>
          </cell>
          <cell r="EM138" t="str">
            <v>配置</v>
          </cell>
          <cell r="EN138" t="str">
            <v>配置</v>
          </cell>
          <cell r="EO138" t="str">
            <v>配置</v>
          </cell>
          <cell r="EP138" t="str">
            <v>配置</v>
          </cell>
          <cell r="EQ138" t="str">
            <v>配置</v>
          </cell>
          <cell r="ER138" t="str">
            <v>配置</v>
          </cell>
          <cell r="ES138" t="str">
            <v>配置</v>
          </cell>
          <cell r="ET138" t="str">
            <v>配置</v>
          </cell>
          <cell r="EU138">
            <v>76960</v>
          </cell>
          <cell r="EV138">
            <v>76960</v>
          </cell>
          <cell r="EW138">
            <v>76960</v>
          </cell>
          <cell r="EX138">
            <v>76960</v>
          </cell>
          <cell r="EY138">
            <v>76960</v>
          </cell>
          <cell r="EZ138">
            <v>76960</v>
          </cell>
          <cell r="FA138">
            <v>76960</v>
          </cell>
          <cell r="FB138">
            <v>76960</v>
          </cell>
          <cell r="FC138">
            <v>76960</v>
          </cell>
          <cell r="FD138">
            <v>76960</v>
          </cell>
          <cell r="FE138">
            <v>76960</v>
          </cell>
          <cell r="FF138">
            <v>76960</v>
          </cell>
        </row>
        <row r="139">
          <cell r="C139">
            <v>135</v>
          </cell>
          <cell r="D139" t="str">
            <v>あい・あい保育園　あすみが丘園</v>
          </cell>
          <cell r="E139" t="str">
            <v>無</v>
          </cell>
          <cell r="F139">
            <v>60</v>
          </cell>
          <cell r="H139">
            <v>33</v>
          </cell>
          <cell r="I139">
            <v>27</v>
          </cell>
          <cell r="O139">
            <v>1189000</v>
          </cell>
          <cell r="P139">
            <v>2627000</v>
          </cell>
          <cell r="Q139">
            <v>0</v>
          </cell>
          <cell r="R139">
            <v>1028000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t="str">
            <v>令和3年4月1日</v>
          </cell>
          <cell r="AM139" t="str">
            <v>4号の49</v>
          </cell>
          <cell r="AN139" t="str">
            <v>有</v>
          </cell>
          <cell r="AO139" t="str">
            <v>-</v>
          </cell>
          <cell r="AP139" t="str">
            <v>-</v>
          </cell>
          <cell r="AQ139" t="str">
            <v>-</v>
          </cell>
          <cell r="AR139" t="str">
            <v>-</v>
          </cell>
          <cell r="AS139" t="str">
            <v>-</v>
          </cell>
          <cell r="AT139" t="str">
            <v>-</v>
          </cell>
          <cell r="AU139" t="str">
            <v>-</v>
          </cell>
          <cell r="AV139" t="str">
            <v>-</v>
          </cell>
          <cell r="AW139" t="str">
            <v>-</v>
          </cell>
          <cell r="AX139" t="str">
            <v>-</v>
          </cell>
          <cell r="AY139" t="str">
            <v>-</v>
          </cell>
          <cell r="AZ139" t="str">
            <v>-</v>
          </cell>
          <cell r="BA139" t="str">
            <v>-</v>
          </cell>
          <cell r="BB139" t="str">
            <v>-</v>
          </cell>
          <cell r="BC139" t="str">
            <v>-</v>
          </cell>
          <cell r="BD139" t="str">
            <v>-</v>
          </cell>
          <cell r="BE139" t="str">
            <v>-</v>
          </cell>
          <cell r="BF139" t="str">
            <v>-</v>
          </cell>
          <cell r="BG139" t="str">
            <v>-</v>
          </cell>
          <cell r="BH139" t="str">
            <v>-</v>
          </cell>
          <cell r="BI139" t="str">
            <v>-</v>
          </cell>
          <cell r="BJ139" t="str">
            <v>-</v>
          </cell>
          <cell r="BK139" t="str">
            <v>-</v>
          </cell>
          <cell r="BL139" t="str">
            <v>-</v>
          </cell>
          <cell r="BM139">
            <v>4</v>
          </cell>
          <cell r="BN139">
            <v>4</v>
          </cell>
          <cell r="BO139">
            <v>4</v>
          </cell>
          <cell r="BP139">
            <v>4</v>
          </cell>
          <cell r="BQ139">
            <v>4</v>
          </cell>
          <cell r="BR139">
            <v>4</v>
          </cell>
          <cell r="BS139">
            <v>4</v>
          </cell>
          <cell r="BT139">
            <v>4</v>
          </cell>
          <cell r="BU139">
            <v>4</v>
          </cell>
          <cell r="BV139">
            <v>4</v>
          </cell>
          <cell r="BW139">
            <v>4</v>
          </cell>
          <cell r="BX139">
            <v>4</v>
          </cell>
          <cell r="CK139">
            <v>0</v>
          </cell>
          <cell r="CL139">
            <v>0</v>
          </cell>
          <cell r="CM139">
            <v>0</v>
          </cell>
          <cell r="CN139">
            <v>0</v>
          </cell>
          <cell r="CO139">
            <v>0</v>
          </cell>
          <cell r="CP139">
            <v>0</v>
          </cell>
          <cell r="CQ139">
            <v>0</v>
          </cell>
          <cell r="CR139">
            <v>0</v>
          </cell>
          <cell r="CS139">
            <v>0</v>
          </cell>
          <cell r="CT139">
            <v>0</v>
          </cell>
          <cell r="CU139">
            <v>0</v>
          </cell>
          <cell r="CV139">
            <v>0</v>
          </cell>
          <cell r="CW139" t="str">
            <v>無</v>
          </cell>
          <cell r="CX139">
            <v>0</v>
          </cell>
          <cell r="CY139" t="str">
            <v>無</v>
          </cell>
          <cell r="CZ139" t="str">
            <v>無</v>
          </cell>
          <cell r="DA139" t="str">
            <v>有</v>
          </cell>
          <cell r="DB139" t="str">
            <v>有</v>
          </cell>
          <cell r="DC139" t="str">
            <v>有</v>
          </cell>
          <cell r="DD139" t="str">
            <v>有</v>
          </cell>
          <cell r="DE139" t="str">
            <v>有</v>
          </cell>
          <cell r="DF139" t="str">
            <v>有</v>
          </cell>
          <cell r="DG139" t="str">
            <v>有</v>
          </cell>
          <cell r="DH139" t="str">
            <v>有</v>
          </cell>
          <cell r="DI139" t="str">
            <v>有</v>
          </cell>
          <cell r="DJ139" t="str">
            <v>有</v>
          </cell>
          <cell r="DK139" t="str">
            <v>-</v>
          </cell>
          <cell r="DL139" t="str">
            <v>-</v>
          </cell>
          <cell r="DM139" t="str">
            <v>-</v>
          </cell>
          <cell r="DN139" t="str">
            <v>-</v>
          </cell>
          <cell r="DO139" t="str">
            <v>-</v>
          </cell>
          <cell r="DP139" t="str">
            <v>-</v>
          </cell>
          <cell r="DQ139" t="str">
            <v>-</v>
          </cell>
          <cell r="DR139" t="str">
            <v>-</v>
          </cell>
          <cell r="DS139" t="str">
            <v>-</v>
          </cell>
          <cell r="DT139" t="str">
            <v>-</v>
          </cell>
          <cell r="DU139" t="str">
            <v>-</v>
          </cell>
          <cell r="DV139" t="str">
            <v>-</v>
          </cell>
          <cell r="DW139" t="str">
            <v>有</v>
          </cell>
          <cell r="DX139" t="str">
            <v>有</v>
          </cell>
          <cell r="DY139" t="str">
            <v>有</v>
          </cell>
          <cell r="DZ139" t="str">
            <v>有</v>
          </cell>
          <cell r="EA139" t="str">
            <v>有</v>
          </cell>
          <cell r="EB139" t="str">
            <v>有</v>
          </cell>
          <cell r="EC139" t="str">
            <v>有</v>
          </cell>
          <cell r="ED139" t="str">
            <v>有</v>
          </cell>
          <cell r="EE139" t="str">
            <v>有</v>
          </cell>
          <cell r="EF139" t="str">
            <v>有</v>
          </cell>
          <cell r="EG139" t="str">
            <v>有</v>
          </cell>
          <cell r="EH139" t="str">
            <v>有</v>
          </cell>
          <cell r="EI139" t="str">
            <v>配置</v>
          </cell>
          <cell r="EJ139" t="str">
            <v>配置</v>
          </cell>
          <cell r="EK139" t="str">
            <v>配置</v>
          </cell>
          <cell r="EL139" t="str">
            <v>配置</v>
          </cell>
          <cell r="EM139" t="str">
            <v>配置</v>
          </cell>
          <cell r="EN139" t="str">
            <v>配置</v>
          </cell>
          <cell r="EO139" t="str">
            <v>配置</v>
          </cell>
          <cell r="EP139" t="str">
            <v>配置</v>
          </cell>
          <cell r="EQ139" t="str">
            <v>配置</v>
          </cell>
          <cell r="ER139" t="str">
            <v>配置</v>
          </cell>
          <cell r="ES139" t="str">
            <v>配置</v>
          </cell>
          <cell r="ET139" t="str">
            <v>配置</v>
          </cell>
          <cell r="EU139">
            <v>76960</v>
          </cell>
          <cell r="EV139">
            <v>76960</v>
          </cell>
          <cell r="EW139">
            <v>76960</v>
          </cell>
          <cell r="EX139">
            <v>76960</v>
          </cell>
          <cell r="EY139">
            <v>76960</v>
          </cell>
          <cell r="EZ139">
            <v>76960</v>
          </cell>
          <cell r="FA139">
            <v>76960</v>
          </cell>
          <cell r="FB139">
            <v>76960</v>
          </cell>
          <cell r="FC139">
            <v>76960</v>
          </cell>
          <cell r="FD139">
            <v>76960</v>
          </cell>
          <cell r="FE139">
            <v>76960</v>
          </cell>
          <cell r="FF139">
            <v>76960</v>
          </cell>
        </row>
        <row r="140">
          <cell r="C140">
            <v>136</v>
          </cell>
          <cell r="D140" t="str">
            <v>K's garden蘇我保育園</v>
          </cell>
          <cell r="E140" t="str">
            <v>無</v>
          </cell>
          <cell r="F140">
            <v>39</v>
          </cell>
          <cell r="H140">
            <v>21</v>
          </cell>
          <cell r="I140">
            <v>18</v>
          </cell>
          <cell r="O140">
            <v>1189000</v>
          </cell>
          <cell r="P140">
            <v>2627000</v>
          </cell>
          <cell r="Q140">
            <v>2627000</v>
          </cell>
          <cell r="R140">
            <v>1028000</v>
          </cell>
          <cell r="S140">
            <v>0</v>
          </cell>
          <cell r="T140">
            <v>0</v>
          </cell>
          <cell r="U140">
            <v>0</v>
          </cell>
          <cell r="V140">
            <v>792000</v>
          </cell>
          <cell r="W140">
            <v>1751000</v>
          </cell>
          <cell r="X140">
            <v>1751000</v>
          </cell>
          <cell r="Y140">
            <v>685000</v>
          </cell>
          <cell r="Z140">
            <v>0</v>
          </cell>
          <cell r="AA140">
            <v>0</v>
          </cell>
          <cell r="AB140">
            <v>0</v>
          </cell>
          <cell r="AC140">
            <v>0</v>
          </cell>
          <cell r="AD140">
            <v>0</v>
          </cell>
          <cell r="AE140">
            <v>0</v>
          </cell>
          <cell r="AF140">
            <v>0</v>
          </cell>
          <cell r="AG140">
            <v>0</v>
          </cell>
          <cell r="AH140">
            <v>0</v>
          </cell>
          <cell r="AI140">
            <v>0</v>
          </cell>
          <cell r="AJ140" t="str">
            <v>令和3年4月1日</v>
          </cell>
          <cell r="AK140" t="str">
            <v>令和3年5月31日交付</v>
          </cell>
          <cell r="AM140" t="str">
            <v>4号の50</v>
          </cell>
          <cell r="AN140" t="str">
            <v>有</v>
          </cell>
          <cell r="AO140" t="str">
            <v>-</v>
          </cell>
          <cell r="AP140" t="str">
            <v>-</v>
          </cell>
          <cell r="AQ140" t="str">
            <v>-</v>
          </cell>
          <cell r="AR140" t="str">
            <v>-</v>
          </cell>
          <cell r="AS140" t="str">
            <v>-</v>
          </cell>
          <cell r="AT140" t="str">
            <v>-</v>
          </cell>
          <cell r="AU140" t="str">
            <v>-</v>
          </cell>
          <cell r="AV140" t="str">
            <v>-</v>
          </cell>
          <cell r="AW140" t="str">
            <v>-</v>
          </cell>
          <cell r="AX140" t="str">
            <v>-</v>
          </cell>
          <cell r="AY140" t="str">
            <v>-</v>
          </cell>
          <cell r="AZ140" t="str">
            <v>-</v>
          </cell>
          <cell r="BA140" t="str">
            <v>-</v>
          </cell>
          <cell r="BB140" t="str">
            <v>-</v>
          </cell>
          <cell r="BC140" t="str">
            <v>-</v>
          </cell>
          <cell r="BD140" t="str">
            <v>-</v>
          </cell>
          <cell r="BE140" t="str">
            <v>-</v>
          </cell>
          <cell r="BF140" t="str">
            <v>-</v>
          </cell>
          <cell r="BG140" t="str">
            <v>-</v>
          </cell>
          <cell r="BH140" t="str">
            <v>-</v>
          </cell>
          <cell r="BI140" t="str">
            <v>-</v>
          </cell>
          <cell r="BJ140" t="str">
            <v>-</v>
          </cell>
          <cell r="BK140" t="str">
            <v>-</v>
          </cell>
          <cell r="BL140" t="str">
            <v>-</v>
          </cell>
          <cell r="CW140" t="str">
            <v>無</v>
          </cell>
          <cell r="CX140">
            <v>0</v>
          </cell>
          <cell r="CY140" t="str">
            <v>無</v>
          </cell>
          <cell r="CZ140" t="str">
            <v>有</v>
          </cell>
          <cell r="DA140" t="str">
            <v>有</v>
          </cell>
          <cell r="DB140" t="str">
            <v>有</v>
          </cell>
          <cell r="DC140" t="str">
            <v>有</v>
          </cell>
          <cell r="DD140" t="str">
            <v>有</v>
          </cell>
          <cell r="DE140" t="str">
            <v>有</v>
          </cell>
          <cell r="DF140" t="str">
            <v>有</v>
          </cell>
          <cell r="DG140" t="str">
            <v>有</v>
          </cell>
          <cell r="DH140" t="str">
            <v>有</v>
          </cell>
          <cell r="DI140" t="str">
            <v>有</v>
          </cell>
          <cell r="DJ140" t="str">
            <v>有</v>
          </cell>
          <cell r="DK140" t="str">
            <v>-</v>
          </cell>
          <cell r="DL140" t="str">
            <v>-</v>
          </cell>
          <cell r="DM140" t="str">
            <v>-</v>
          </cell>
          <cell r="DN140" t="str">
            <v>-</v>
          </cell>
          <cell r="DO140" t="str">
            <v>-</v>
          </cell>
          <cell r="DP140" t="str">
            <v>-</v>
          </cell>
          <cell r="DQ140" t="str">
            <v>-</v>
          </cell>
          <cell r="DR140" t="str">
            <v>-</v>
          </cell>
          <cell r="DS140" t="str">
            <v>-</v>
          </cell>
          <cell r="DT140" t="str">
            <v>-</v>
          </cell>
          <cell r="DU140" t="str">
            <v>-</v>
          </cell>
          <cell r="DV140" t="str">
            <v>-</v>
          </cell>
          <cell r="DW140" t="str">
            <v>有</v>
          </cell>
          <cell r="DX140" t="str">
            <v>有</v>
          </cell>
          <cell r="DY140" t="str">
            <v>有</v>
          </cell>
          <cell r="DZ140" t="str">
            <v>有</v>
          </cell>
          <cell r="EA140" t="str">
            <v>有</v>
          </cell>
          <cell r="EB140" t="str">
            <v>有</v>
          </cell>
          <cell r="EC140" t="str">
            <v>有</v>
          </cell>
          <cell r="ED140" t="str">
            <v>有</v>
          </cell>
          <cell r="EE140" t="str">
            <v>有</v>
          </cell>
          <cell r="EF140" t="str">
            <v>有</v>
          </cell>
          <cell r="EG140" t="str">
            <v>有</v>
          </cell>
          <cell r="EH140" t="str">
            <v>有</v>
          </cell>
          <cell r="EI140" t="str">
            <v>配置</v>
          </cell>
          <cell r="EJ140" t="str">
            <v>配置</v>
          </cell>
          <cell r="EK140" t="str">
            <v>配置</v>
          </cell>
          <cell r="EL140" t="str">
            <v>配置</v>
          </cell>
          <cell r="EM140" t="str">
            <v>配置</v>
          </cell>
          <cell r="EN140" t="str">
            <v>配置</v>
          </cell>
          <cell r="EO140" t="str">
            <v>配置</v>
          </cell>
          <cell r="EP140" t="str">
            <v>配置</v>
          </cell>
          <cell r="EQ140" t="str">
            <v>配置</v>
          </cell>
          <cell r="ER140" t="str">
            <v>配置</v>
          </cell>
          <cell r="ES140" t="str">
            <v>配置</v>
          </cell>
          <cell r="ET140" t="str">
            <v>配置</v>
          </cell>
          <cell r="EU140">
            <v>76960</v>
          </cell>
          <cell r="EV140">
            <v>76960</v>
          </cell>
          <cell r="EW140">
            <v>76960</v>
          </cell>
          <cell r="EX140">
            <v>76960</v>
          </cell>
          <cell r="EY140">
            <v>76960</v>
          </cell>
          <cell r="EZ140">
            <v>76960</v>
          </cell>
          <cell r="FA140">
            <v>76960</v>
          </cell>
          <cell r="FB140">
            <v>76960</v>
          </cell>
          <cell r="FC140">
            <v>76960</v>
          </cell>
          <cell r="FD140">
            <v>76960</v>
          </cell>
          <cell r="FE140">
            <v>76960</v>
          </cell>
          <cell r="FF140">
            <v>76960</v>
          </cell>
        </row>
        <row r="141">
          <cell r="C141">
            <v>137</v>
          </cell>
          <cell r="D141" t="str">
            <v>子どものまきば保育園</v>
          </cell>
          <cell r="E141" t="str">
            <v>無</v>
          </cell>
          <cell r="F141">
            <v>30</v>
          </cell>
          <cell r="H141">
            <v>17</v>
          </cell>
          <cell r="I141">
            <v>13</v>
          </cell>
          <cell r="O141">
            <v>1189000</v>
          </cell>
          <cell r="P141">
            <v>2627000</v>
          </cell>
          <cell r="Q141">
            <v>0</v>
          </cell>
          <cell r="R141">
            <v>1631000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t="str">
            <v>令和3年4月1日</v>
          </cell>
          <cell r="AM141" t="str">
            <v>4号の51</v>
          </cell>
          <cell r="AN141" t="str">
            <v>有</v>
          </cell>
          <cell r="AO141" t="str">
            <v>-</v>
          </cell>
          <cell r="AP141" t="str">
            <v>-</v>
          </cell>
          <cell r="AQ141" t="str">
            <v>-</v>
          </cell>
          <cell r="AR141" t="str">
            <v>-</v>
          </cell>
          <cell r="AS141" t="str">
            <v>-</v>
          </cell>
          <cell r="AT141" t="str">
            <v>-</v>
          </cell>
          <cell r="AU141" t="str">
            <v>-</v>
          </cell>
          <cell r="AV141" t="str">
            <v>-</v>
          </cell>
          <cell r="AW141" t="str">
            <v>-</v>
          </cell>
          <cell r="AX141" t="str">
            <v>-</v>
          </cell>
          <cell r="AY141" t="str">
            <v>-</v>
          </cell>
          <cell r="AZ141" t="str">
            <v>-</v>
          </cell>
          <cell r="BA141" t="str">
            <v>-</v>
          </cell>
          <cell r="BB141" t="str">
            <v>-</v>
          </cell>
          <cell r="BC141" t="str">
            <v>-</v>
          </cell>
          <cell r="BD141" t="str">
            <v>-</v>
          </cell>
          <cell r="BE141" t="str">
            <v>-</v>
          </cell>
          <cell r="BF141" t="str">
            <v>-</v>
          </cell>
          <cell r="BG141" t="str">
            <v>-</v>
          </cell>
          <cell r="BH141" t="str">
            <v>-</v>
          </cell>
          <cell r="BI141" t="str">
            <v>-</v>
          </cell>
          <cell r="BJ141" t="str">
            <v>-</v>
          </cell>
          <cell r="BK141" t="str">
            <v>-</v>
          </cell>
          <cell r="BL141" t="str">
            <v>-</v>
          </cell>
          <cell r="CW141" t="str">
            <v>無</v>
          </cell>
          <cell r="CX141">
            <v>0</v>
          </cell>
          <cell r="CY141" t="str">
            <v>無</v>
          </cell>
          <cell r="CZ141" t="str">
            <v>無</v>
          </cell>
          <cell r="DA141" t="str">
            <v>無</v>
          </cell>
          <cell r="DB141" t="str">
            <v>無</v>
          </cell>
          <cell r="DC141" t="str">
            <v>無</v>
          </cell>
          <cell r="DD141" t="str">
            <v>無</v>
          </cell>
          <cell r="DE141" t="str">
            <v>無</v>
          </cell>
          <cell r="DF141" t="str">
            <v>無</v>
          </cell>
          <cell r="DG141" t="str">
            <v>無</v>
          </cell>
          <cell r="DH141" t="str">
            <v>無</v>
          </cell>
          <cell r="DI141" t="str">
            <v>無</v>
          </cell>
          <cell r="DJ141" t="str">
            <v>無</v>
          </cell>
          <cell r="DK141" t="str">
            <v>-</v>
          </cell>
          <cell r="DL141" t="str">
            <v>-</v>
          </cell>
          <cell r="DM141" t="str">
            <v>-</v>
          </cell>
          <cell r="DN141" t="str">
            <v>-</v>
          </cell>
          <cell r="DO141" t="str">
            <v>-</v>
          </cell>
          <cell r="DP141" t="str">
            <v>-</v>
          </cell>
          <cell r="DQ141" t="str">
            <v>-</v>
          </cell>
          <cell r="DR141" t="str">
            <v>-</v>
          </cell>
          <cell r="DS141" t="str">
            <v>-</v>
          </cell>
          <cell r="DT141" t="str">
            <v>-</v>
          </cell>
          <cell r="DU141" t="str">
            <v>-</v>
          </cell>
          <cell r="DV141" t="str">
            <v>-</v>
          </cell>
          <cell r="DW141" t="str">
            <v>無</v>
          </cell>
          <cell r="DX141" t="str">
            <v>無</v>
          </cell>
          <cell r="DY141" t="str">
            <v>無</v>
          </cell>
          <cell r="DZ141" t="str">
            <v>無</v>
          </cell>
          <cell r="EA141" t="str">
            <v>無</v>
          </cell>
          <cell r="EB141" t="str">
            <v>無</v>
          </cell>
          <cell r="EC141" t="str">
            <v>無</v>
          </cell>
          <cell r="ED141" t="str">
            <v>無</v>
          </cell>
          <cell r="EE141" t="str">
            <v>無</v>
          </cell>
          <cell r="EF141" t="str">
            <v>無</v>
          </cell>
          <cell r="EG141" t="str">
            <v>無</v>
          </cell>
          <cell r="EH141" t="str">
            <v>無</v>
          </cell>
          <cell r="EU141" t="str">
            <v/>
          </cell>
          <cell r="EV141" t="str">
            <v/>
          </cell>
          <cell r="EW141" t="str">
            <v/>
          </cell>
          <cell r="EX141" t="str">
            <v/>
          </cell>
          <cell r="EY141" t="str">
            <v/>
          </cell>
          <cell r="EZ141" t="str">
            <v/>
          </cell>
          <cell r="FA141" t="str">
            <v/>
          </cell>
          <cell r="FB141" t="str">
            <v/>
          </cell>
          <cell r="FC141" t="str">
            <v/>
          </cell>
          <cell r="FD141" t="str">
            <v/>
          </cell>
          <cell r="FE141" t="str">
            <v/>
          </cell>
          <cell r="FF141" t="str">
            <v/>
          </cell>
        </row>
        <row r="142">
          <cell r="C142">
            <v>138</v>
          </cell>
          <cell r="D142" t="str">
            <v>ほしのこ保育園</v>
          </cell>
          <cell r="E142" t="str">
            <v>無</v>
          </cell>
          <cell r="F142">
            <v>30</v>
          </cell>
          <cell r="H142">
            <v>18</v>
          </cell>
          <cell r="I142">
            <v>12</v>
          </cell>
          <cell r="O142">
            <v>1189000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t="str">
            <v>令和3年4月1日</v>
          </cell>
          <cell r="AM142" t="str">
            <v>4号の52</v>
          </cell>
          <cell r="AN142" t="str">
            <v>有</v>
          </cell>
          <cell r="AO142" t="str">
            <v>余裕活用型</v>
          </cell>
          <cell r="AP142" t="str">
            <v>余裕活用型</v>
          </cell>
          <cell r="AQ142" t="str">
            <v>余裕活用型</v>
          </cell>
          <cell r="AR142" t="str">
            <v>余裕活用型</v>
          </cell>
          <cell r="AS142" t="str">
            <v>余裕活用型</v>
          </cell>
          <cell r="AT142" t="str">
            <v>余裕活用型</v>
          </cell>
          <cell r="AU142" t="str">
            <v>余裕活用型</v>
          </cell>
          <cell r="AV142" t="str">
            <v>余裕活用型</v>
          </cell>
          <cell r="AW142" t="str">
            <v>余裕活用型</v>
          </cell>
          <cell r="AX142" t="str">
            <v>余裕活用型</v>
          </cell>
          <cell r="AY142" t="str">
            <v>余裕活用型</v>
          </cell>
          <cell r="AZ142" t="str">
            <v>余裕活用型</v>
          </cell>
          <cell r="BA142" t="str">
            <v>-</v>
          </cell>
          <cell r="BB142" t="str">
            <v>-</v>
          </cell>
          <cell r="BC142" t="str">
            <v>-</v>
          </cell>
          <cell r="BD142" t="str">
            <v>-</v>
          </cell>
          <cell r="BE142" t="str">
            <v>-</v>
          </cell>
          <cell r="BF142" t="str">
            <v>-</v>
          </cell>
          <cell r="BG142" t="str">
            <v>-</v>
          </cell>
          <cell r="BH142" t="str">
            <v>-</v>
          </cell>
          <cell r="BI142" t="str">
            <v>-</v>
          </cell>
          <cell r="BJ142" t="str">
            <v>-</v>
          </cell>
          <cell r="BK142" t="str">
            <v>-</v>
          </cell>
          <cell r="BL142" t="str">
            <v>-</v>
          </cell>
          <cell r="CW142" t="str">
            <v>無</v>
          </cell>
          <cell r="CX142">
            <v>0</v>
          </cell>
          <cell r="CY142" t="str">
            <v>有</v>
          </cell>
          <cell r="CZ142" t="str">
            <v>有</v>
          </cell>
          <cell r="DA142" t="str">
            <v>有</v>
          </cell>
          <cell r="DB142" t="str">
            <v>無</v>
          </cell>
          <cell r="DC142" t="str">
            <v>無</v>
          </cell>
          <cell r="DD142" t="str">
            <v>無</v>
          </cell>
          <cell r="DE142" t="str">
            <v>無</v>
          </cell>
          <cell r="DF142" t="str">
            <v>無</v>
          </cell>
          <cell r="DG142" t="str">
            <v>無</v>
          </cell>
          <cell r="DH142" t="str">
            <v>無</v>
          </cell>
          <cell r="DI142" t="str">
            <v>無</v>
          </cell>
          <cell r="DJ142" t="str">
            <v>無</v>
          </cell>
          <cell r="DK142" t="str">
            <v>-</v>
          </cell>
          <cell r="DL142" t="str">
            <v>-</v>
          </cell>
          <cell r="DM142" t="str">
            <v>-</v>
          </cell>
          <cell r="DN142" t="str">
            <v>-</v>
          </cell>
          <cell r="DO142" t="str">
            <v>-</v>
          </cell>
          <cell r="DP142" t="str">
            <v>-</v>
          </cell>
          <cell r="DQ142" t="str">
            <v>-</v>
          </cell>
          <cell r="DR142" t="str">
            <v>-</v>
          </cell>
          <cell r="DS142" t="str">
            <v>-</v>
          </cell>
          <cell r="DT142" t="str">
            <v>-</v>
          </cell>
          <cell r="DU142" t="str">
            <v>-</v>
          </cell>
          <cell r="DV142" t="str">
            <v>-</v>
          </cell>
          <cell r="DW142" t="str">
            <v>有</v>
          </cell>
          <cell r="DX142" t="str">
            <v>有</v>
          </cell>
          <cell r="DY142" t="str">
            <v>有</v>
          </cell>
          <cell r="DZ142" t="str">
            <v>有</v>
          </cell>
          <cell r="EA142" t="str">
            <v>有</v>
          </cell>
          <cell r="EB142" t="str">
            <v>有</v>
          </cell>
          <cell r="EC142" t="str">
            <v>有</v>
          </cell>
          <cell r="ED142" t="str">
            <v>有</v>
          </cell>
          <cell r="EE142" t="str">
            <v>有</v>
          </cell>
          <cell r="EF142" t="str">
            <v>有</v>
          </cell>
          <cell r="EG142" t="str">
            <v>有</v>
          </cell>
          <cell r="EH142" t="str">
            <v>有</v>
          </cell>
          <cell r="EI142" t="str">
            <v>配置</v>
          </cell>
          <cell r="EJ142" t="str">
            <v>配置</v>
          </cell>
          <cell r="EK142" t="str">
            <v>配置</v>
          </cell>
          <cell r="EL142" t="str">
            <v>配置</v>
          </cell>
          <cell r="EM142" t="str">
            <v>配置</v>
          </cell>
          <cell r="EN142" t="str">
            <v>配置</v>
          </cell>
          <cell r="EO142" t="str">
            <v>配置</v>
          </cell>
          <cell r="EP142" t="str">
            <v>配置</v>
          </cell>
          <cell r="EQ142" t="str">
            <v>配置</v>
          </cell>
          <cell r="ER142" t="str">
            <v>配置</v>
          </cell>
          <cell r="ES142" t="str">
            <v>配置</v>
          </cell>
          <cell r="ET142" t="str">
            <v>配置</v>
          </cell>
          <cell r="EU142">
            <v>76960</v>
          </cell>
          <cell r="EV142">
            <v>76960</v>
          </cell>
          <cell r="EW142">
            <v>76960</v>
          </cell>
          <cell r="EX142">
            <v>76960</v>
          </cell>
          <cell r="EY142">
            <v>76960</v>
          </cell>
          <cell r="EZ142">
            <v>76960</v>
          </cell>
          <cell r="FA142">
            <v>76960</v>
          </cell>
          <cell r="FB142">
            <v>76960</v>
          </cell>
          <cell r="FC142">
            <v>76960</v>
          </cell>
          <cell r="FD142">
            <v>76960</v>
          </cell>
          <cell r="FE142">
            <v>76960</v>
          </cell>
          <cell r="FF142">
            <v>76960</v>
          </cell>
        </row>
        <row r="143">
          <cell r="C143">
            <v>139</v>
          </cell>
          <cell r="D143" t="str">
            <v>椿森保育園</v>
          </cell>
          <cell r="E143" t="str">
            <v>無</v>
          </cell>
          <cell r="F143">
            <v>30</v>
          </cell>
          <cell r="H143">
            <v>18</v>
          </cell>
          <cell r="I143">
            <v>12</v>
          </cell>
          <cell r="O143">
            <v>1189000</v>
          </cell>
          <cell r="P143">
            <v>2627000</v>
          </cell>
          <cell r="Q143">
            <v>2627000</v>
          </cell>
          <cell r="R143">
            <v>1631000</v>
          </cell>
          <cell r="S143">
            <v>0</v>
          </cell>
          <cell r="T143">
            <v>1982000</v>
          </cell>
          <cell r="U143">
            <v>0</v>
          </cell>
          <cell r="V143">
            <v>792000</v>
          </cell>
          <cell r="W143">
            <v>1751000</v>
          </cell>
          <cell r="X143">
            <v>1751000</v>
          </cell>
          <cell r="Y143">
            <v>1087000</v>
          </cell>
          <cell r="Z143">
            <v>0</v>
          </cell>
          <cell r="AA143">
            <v>1321000</v>
          </cell>
          <cell r="AB143">
            <v>0</v>
          </cell>
          <cell r="AC143">
            <v>397000</v>
          </cell>
          <cell r="AD143">
            <v>876000</v>
          </cell>
          <cell r="AE143">
            <v>876000</v>
          </cell>
          <cell r="AF143">
            <v>544000</v>
          </cell>
          <cell r="AG143">
            <v>0</v>
          </cell>
          <cell r="AH143">
            <v>661000</v>
          </cell>
          <cell r="AI143">
            <v>0</v>
          </cell>
          <cell r="AJ143" t="str">
            <v>令和3年4月1日</v>
          </cell>
          <cell r="AK143" t="str">
            <v>令和3年5月31日交付</v>
          </cell>
          <cell r="AL143" t="str">
            <v>令和3年10月29日交付</v>
          </cell>
          <cell r="AM143" t="str">
            <v>4号の53</v>
          </cell>
          <cell r="AN143" t="str">
            <v>有</v>
          </cell>
          <cell r="AO143" t="str">
            <v>-</v>
          </cell>
          <cell r="AP143" t="str">
            <v>-</v>
          </cell>
          <cell r="AQ143" t="str">
            <v>-</v>
          </cell>
          <cell r="AR143" t="str">
            <v>-</v>
          </cell>
          <cell r="AS143" t="str">
            <v>-</v>
          </cell>
          <cell r="AT143" t="str">
            <v>-</v>
          </cell>
          <cell r="AU143" t="str">
            <v>-</v>
          </cell>
          <cell r="AV143" t="str">
            <v>-</v>
          </cell>
          <cell r="AW143" t="str">
            <v>-</v>
          </cell>
          <cell r="AX143" t="str">
            <v>-</v>
          </cell>
          <cell r="AY143" t="str">
            <v>-</v>
          </cell>
          <cell r="AZ143" t="str">
            <v>-</v>
          </cell>
          <cell r="BA143" t="str">
            <v>-</v>
          </cell>
          <cell r="BB143" t="str">
            <v>-</v>
          </cell>
          <cell r="BC143" t="str">
            <v>-</v>
          </cell>
          <cell r="BD143" t="str">
            <v>-</v>
          </cell>
          <cell r="BE143" t="str">
            <v>-</v>
          </cell>
          <cell r="BF143" t="str">
            <v>-</v>
          </cell>
          <cell r="BG143" t="str">
            <v>-</v>
          </cell>
          <cell r="BH143" t="str">
            <v>-</v>
          </cell>
          <cell r="BI143" t="str">
            <v>-</v>
          </cell>
          <cell r="BJ143" t="str">
            <v>-</v>
          </cell>
          <cell r="BK143" t="str">
            <v>-</v>
          </cell>
          <cell r="BL143" t="str">
            <v>-</v>
          </cell>
          <cell r="CW143" t="str">
            <v>無</v>
          </cell>
          <cell r="CX143">
            <v>0</v>
          </cell>
          <cell r="CY143" t="str">
            <v>有</v>
          </cell>
          <cell r="CZ143" t="str">
            <v>有</v>
          </cell>
          <cell r="DA143" t="str">
            <v>有</v>
          </cell>
          <cell r="DB143" t="str">
            <v>有</v>
          </cell>
          <cell r="DC143" t="str">
            <v>有</v>
          </cell>
          <cell r="DD143" t="str">
            <v>有</v>
          </cell>
          <cell r="DE143" t="str">
            <v>有</v>
          </cell>
          <cell r="DF143" t="str">
            <v>有</v>
          </cell>
          <cell r="DG143" t="str">
            <v>有</v>
          </cell>
          <cell r="DH143" t="str">
            <v>有</v>
          </cell>
          <cell r="DI143" t="str">
            <v>有</v>
          </cell>
          <cell r="DJ143" t="str">
            <v>有</v>
          </cell>
          <cell r="DK143" t="str">
            <v>-</v>
          </cell>
          <cell r="DL143" t="str">
            <v>-</v>
          </cell>
          <cell r="DM143" t="str">
            <v>-</v>
          </cell>
          <cell r="DN143" t="str">
            <v>-</v>
          </cell>
          <cell r="DO143" t="str">
            <v>-</v>
          </cell>
          <cell r="DP143" t="str">
            <v>-</v>
          </cell>
          <cell r="DQ143" t="str">
            <v>-</v>
          </cell>
          <cell r="DR143" t="str">
            <v>-</v>
          </cell>
          <cell r="DS143" t="str">
            <v>-</v>
          </cell>
          <cell r="DT143" t="str">
            <v>-</v>
          </cell>
          <cell r="DU143" t="str">
            <v>-</v>
          </cell>
          <cell r="DV143" t="str">
            <v>-</v>
          </cell>
          <cell r="DW143" t="str">
            <v>有</v>
          </cell>
          <cell r="DX143" t="str">
            <v>有</v>
          </cell>
          <cell r="DY143" t="str">
            <v>有</v>
          </cell>
          <cell r="DZ143" t="str">
            <v>有</v>
          </cell>
          <cell r="EA143" t="str">
            <v>有</v>
          </cell>
          <cell r="EB143" t="str">
            <v>有</v>
          </cell>
          <cell r="EC143" t="str">
            <v>有</v>
          </cell>
          <cell r="ED143" t="str">
            <v>有</v>
          </cell>
          <cell r="EE143" t="str">
            <v>有</v>
          </cell>
          <cell r="EF143" t="str">
            <v>有</v>
          </cell>
          <cell r="EG143" t="str">
            <v>有</v>
          </cell>
          <cell r="EH143" t="str">
            <v>有</v>
          </cell>
          <cell r="EU143" t="str">
            <v/>
          </cell>
          <cell r="EV143" t="str">
            <v/>
          </cell>
          <cell r="EW143" t="str">
            <v/>
          </cell>
          <cell r="EX143" t="str">
            <v/>
          </cell>
          <cell r="EY143" t="str">
            <v/>
          </cell>
          <cell r="EZ143" t="str">
            <v/>
          </cell>
          <cell r="FA143" t="str">
            <v/>
          </cell>
          <cell r="FB143" t="str">
            <v/>
          </cell>
          <cell r="FC143" t="str">
            <v/>
          </cell>
          <cell r="FD143" t="str">
            <v/>
          </cell>
          <cell r="FE143" t="str">
            <v/>
          </cell>
          <cell r="FF143" t="str">
            <v/>
          </cell>
        </row>
        <row r="144">
          <cell r="C144">
            <v>140</v>
          </cell>
          <cell r="D144" t="str">
            <v>アンファンジュール保育園弁天</v>
          </cell>
          <cell r="E144" t="str">
            <v>無</v>
          </cell>
          <cell r="F144">
            <v>30</v>
          </cell>
          <cell r="H144">
            <v>17</v>
          </cell>
          <cell r="I144">
            <v>13</v>
          </cell>
          <cell r="O144">
            <v>1189000</v>
          </cell>
          <cell r="P144">
            <v>0</v>
          </cell>
          <cell r="Q144">
            <v>0</v>
          </cell>
          <cell r="R144">
            <v>1028000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t="str">
            <v>令和3年4月1日</v>
          </cell>
          <cell r="AM144" t="str">
            <v>4号の54</v>
          </cell>
          <cell r="AN144" t="str">
            <v>有</v>
          </cell>
          <cell r="AO144" t="str">
            <v>余裕活用型</v>
          </cell>
          <cell r="AP144" t="str">
            <v>余裕活用型</v>
          </cell>
          <cell r="AQ144" t="str">
            <v>余裕活用型</v>
          </cell>
          <cell r="AR144" t="str">
            <v>余裕活用型</v>
          </cell>
          <cell r="AS144" t="str">
            <v>余裕活用型</v>
          </cell>
          <cell r="AT144" t="str">
            <v>余裕活用型</v>
          </cell>
          <cell r="AU144" t="str">
            <v>余裕活用型</v>
          </cell>
          <cell r="AV144" t="str">
            <v>余裕活用型</v>
          </cell>
          <cell r="AW144" t="str">
            <v>余裕活用型</v>
          </cell>
          <cell r="AX144" t="str">
            <v>余裕活用型</v>
          </cell>
          <cell r="AY144" t="str">
            <v>余裕活用型</v>
          </cell>
          <cell r="AZ144" t="str">
            <v>余裕活用型</v>
          </cell>
          <cell r="BA144" t="str">
            <v>-</v>
          </cell>
          <cell r="BB144" t="str">
            <v>-</v>
          </cell>
          <cell r="BC144" t="str">
            <v>-</v>
          </cell>
          <cell r="BD144" t="str">
            <v>-</v>
          </cell>
          <cell r="BE144" t="str">
            <v>-</v>
          </cell>
          <cell r="BF144" t="str">
            <v>-</v>
          </cell>
          <cell r="BG144" t="str">
            <v>-</v>
          </cell>
          <cell r="BH144" t="str">
            <v>-</v>
          </cell>
          <cell r="BI144" t="str">
            <v>-</v>
          </cell>
          <cell r="BJ144" t="str">
            <v>-</v>
          </cell>
          <cell r="BK144" t="str">
            <v>-</v>
          </cell>
          <cell r="BL144" t="str">
            <v>-</v>
          </cell>
          <cell r="CW144" t="str">
            <v>無</v>
          </cell>
          <cell r="CX144">
            <v>0</v>
          </cell>
          <cell r="CY144" t="str">
            <v>無</v>
          </cell>
          <cell r="CZ144" t="str">
            <v>無</v>
          </cell>
          <cell r="DA144" t="str">
            <v>無</v>
          </cell>
          <cell r="DB144" t="str">
            <v>無</v>
          </cell>
          <cell r="DC144" t="str">
            <v>無</v>
          </cell>
          <cell r="DD144" t="str">
            <v>無</v>
          </cell>
          <cell r="DE144" t="str">
            <v>無</v>
          </cell>
          <cell r="DF144" t="str">
            <v>無</v>
          </cell>
          <cell r="DG144" t="str">
            <v>無</v>
          </cell>
          <cell r="DH144" t="str">
            <v>無</v>
          </cell>
          <cell r="DI144" t="str">
            <v>無</v>
          </cell>
          <cell r="DJ144" t="str">
            <v>無</v>
          </cell>
          <cell r="DK144" t="str">
            <v>-</v>
          </cell>
          <cell r="DL144" t="str">
            <v>-</v>
          </cell>
          <cell r="DM144" t="str">
            <v>-</v>
          </cell>
          <cell r="DN144" t="str">
            <v>-</v>
          </cell>
          <cell r="DO144" t="str">
            <v>-</v>
          </cell>
          <cell r="DP144" t="str">
            <v>-</v>
          </cell>
          <cell r="DQ144" t="str">
            <v>-</v>
          </cell>
          <cell r="DR144" t="str">
            <v>-</v>
          </cell>
          <cell r="DS144" t="str">
            <v>-</v>
          </cell>
          <cell r="DT144" t="str">
            <v>-</v>
          </cell>
          <cell r="DU144" t="str">
            <v>-</v>
          </cell>
          <cell r="DV144" t="str">
            <v>-</v>
          </cell>
          <cell r="DW144" t="str">
            <v>無</v>
          </cell>
          <cell r="DX144" t="str">
            <v>無</v>
          </cell>
          <cell r="DY144" t="str">
            <v>無</v>
          </cell>
          <cell r="DZ144" t="str">
            <v>無</v>
          </cell>
          <cell r="EA144" t="str">
            <v>無</v>
          </cell>
          <cell r="EB144" t="str">
            <v>無</v>
          </cell>
          <cell r="EC144" t="str">
            <v>無</v>
          </cell>
          <cell r="ED144" t="str">
            <v>無</v>
          </cell>
          <cell r="EE144" t="str">
            <v>無</v>
          </cell>
          <cell r="EF144" t="str">
            <v>無</v>
          </cell>
          <cell r="EG144" t="str">
            <v>無</v>
          </cell>
          <cell r="EH144" t="str">
            <v>無</v>
          </cell>
          <cell r="EI144" t="str">
            <v>配置</v>
          </cell>
          <cell r="EJ144" t="str">
            <v>配置</v>
          </cell>
          <cell r="EK144" t="str">
            <v>配置</v>
          </cell>
          <cell r="EL144" t="str">
            <v>配置</v>
          </cell>
          <cell r="EM144" t="str">
            <v>配置</v>
          </cell>
          <cell r="EN144" t="str">
            <v>配置</v>
          </cell>
          <cell r="EO144" t="str">
            <v>配置</v>
          </cell>
          <cell r="EP144" t="str">
            <v>配置</v>
          </cell>
          <cell r="EQ144" t="str">
            <v>配置</v>
          </cell>
          <cell r="ER144" t="str">
            <v>配置</v>
          </cell>
          <cell r="ES144" t="str">
            <v>配置</v>
          </cell>
          <cell r="ET144" t="str">
            <v>配置</v>
          </cell>
          <cell r="EU144">
            <v>76960</v>
          </cell>
          <cell r="EV144">
            <v>76960</v>
          </cell>
          <cell r="EW144">
            <v>76960</v>
          </cell>
          <cell r="EX144">
            <v>76960</v>
          </cell>
          <cell r="EY144">
            <v>76960</v>
          </cell>
          <cell r="EZ144">
            <v>76960</v>
          </cell>
          <cell r="FA144">
            <v>76960</v>
          </cell>
          <cell r="FB144">
            <v>76960</v>
          </cell>
          <cell r="FC144">
            <v>76960</v>
          </cell>
          <cell r="FD144">
            <v>76960</v>
          </cell>
          <cell r="FE144">
            <v>76960</v>
          </cell>
          <cell r="FF144">
            <v>76960</v>
          </cell>
        </row>
        <row r="145">
          <cell r="C145">
            <v>141</v>
          </cell>
          <cell r="D145" t="str">
            <v>かえで保育園まくはり</v>
          </cell>
          <cell r="E145" t="str">
            <v>無</v>
          </cell>
          <cell r="F145">
            <v>50</v>
          </cell>
          <cell r="H145">
            <v>27</v>
          </cell>
          <cell r="I145">
            <v>23</v>
          </cell>
          <cell r="O145">
            <v>1189000</v>
          </cell>
          <cell r="P145">
            <v>0</v>
          </cell>
          <cell r="Q145">
            <v>0</v>
          </cell>
          <cell r="R145">
            <v>0</v>
          </cell>
          <cell r="S145">
            <v>0</v>
          </cell>
          <cell r="T145">
            <v>0</v>
          </cell>
          <cell r="U145">
            <v>0</v>
          </cell>
          <cell r="V145">
            <v>792000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t="str">
            <v>令和3年4月1日</v>
          </cell>
          <cell r="AK145" t="str">
            <v>令和3年5月31日交付</v>
          </cell>
          <cell r="AM145" t="str">
            <v>4号の55</v>
          </cell>
          <cell r="AN145" t="str">
            <v>有</v>
          </cell>
          <cell r="AO145" t="str">
            <v>-</v>
          </cell>
          <cell r="AP145" t="str">
            <v>-</v>
          </cell>
          <cell r="AQ145" t="str">
            <v>-</v>
          </cell>
          <cell r="AR145" t="str">
            <v>-</v>
          </cell>
          <cell r="AS145" t="str">
            <v>-</v>
          </cell>
          <cell r="AT145" t="str">
            <v>-</v>
          </cell>
          <cell r="AU145" t="str">
            <v>-</v>
          </cell>
          <cell r="AV145" t="str">
            <v>-</v>
          </cell>
          <cell r="AW145" t="str">
            <v>-</v>
          </cell>
          <cell r="AX145" t="str">
            <v>-</v>
          </cell>
          <cell r="AY145" t="str">
            <v>-</v>
          </cell>
          <cell r="AZ145" t="str">
            <v>-</v>
          </cell>
          <cell r="BA145" t="str">
            <v>-</v>
          </cell>
          <cell r="BB145" t="str">
            <v>-</v>
          </cell>
          <cell r="BC145" t="str">
            <v>-</v>
          </cell>
          <cell r="BD145" t="str">
            <v>-</v>
          </cell>
          <cell r="BE145" t="str">
            <v>-</v>
          </cell>
          <cell r="BF145" t="str">
            <v>-</v>
          </cell>
          <cell r="BG145" t="str">
            <v>-</v>
          </cell>
          <cell r="BH145" t="str">
            <v>-</v>
          </cell>
          <cell r="BI145" t="str">
            <v>-</v>
          </cell>
          <cell r="BJ145" t="str">
            <v>-</v>
          </cell>
          <cell r="BK145" t="str">
            <v>-</v>
          </cell>
          <cell r="BL145" t="str">
            <v>-</v>
          </cell>
          <cell r="BM145">
            <v>2</v>
          </cell>
          <cell r="BN145">
            <v>2</v>
          </cell>
          <cell r="BO145">
            <v>2</v>
          </cell>
          <cell r="BP145">
            <v>2</v>
          </cell>
          <cell r="BQ145">
            <v>2</v>
          </cell>
          <cell r="BR145">
            <v>2</v>
          </cell>
          <cell r="BS145">
            <v>2</v>
          </cell>
          <cell r="BT145">
            <v>2</v>
          </cell>
          <cell r="BU145">
            <v>2</v>
          </cell>
          <cell r="BV145">
            <v>2</v>
          </cell>
          <cell r="BW145">
            <v>2</v>
          </cell>
          <cell r="BX145">
            <v>2</v>
          </cell>
          <cell r="CK145">
            <v>0</v>
          </cell>
          <cell r="CL145">
            <v>0</v>
          </cell>
          <cell r="CM145">
            <v>0</v>
          </cell>
          <cell r="CN145">
            <v>0</v>
          </cell>
          <cell r="CO145">
            <v>0</v>
          </cell>
          <cell r="CP145">
            <v>0</v>
          </cell>
          <cell r="CQ145">
            <v>0</v>
          </cell>
          <cell r="CR145">
            <v>0</v>
          </cell>
          <cell r="CS145">
            <v>0</v>
          </cell>
          <cell r="CT145">
            <v>0</v>
          </cell>
          <cell r="CU145">
            <v>0</v>
          </cell>
          <cell r="CV145">
            <v>0</v>
          </cell>
          <cell r="CW145" t="str">
            <v>無</v>
          </cell>
          <cell r="CX145">
            <v>0</v>
          </cell>
          <cell r="CY145" t="str">
            <v>有</v>
          </cell>
          <cell r="CZ145" t="str">
            <v>有</v>
          </cell>
          <cell r="DA145" t="str">
            <v>有</v>
          </cell>
          <cell r="DB145" t="str">
            <v>有</v>
          </cell>
          <cell r="DC145" t="str">
            <v>有</v>
          </cell>
          <cell r="DD145" t="str">
            <v>有</v>
          </cell>
          <cell r="DE145" t="str">
            <v>有</v>
          </cell>
          <cell r="DF145" t="str">
            <v>有</v>
          </cell>
          <cell r="DG145" t="str">
            <v>有</v>
          </cell>
          <cell r="DH145" t="str">
            <v>有</v>
          </cell>
          <cell r="DI145" t="str">
            <v>有</v>
          </cell>
          <cell r="DJ145" t="str">
            <v>有</v>
          </cell>
          <cell r="DK145" t="str">
            <v>-</v>
          </cell>
          <cell r="DL145" t="str">
            <v>-</v>
          </cell>
          <cell r="DM145" t="str">
            <v>-</v>
          </cell>
          <cell r="DN145" t="str">
            <v>-</v>
          </cell>
          <cell r="DO145" t="str">
            <v>-</v>
          </cell>
          <cell r="DP145" t="str">
            <v>-</v>
          </cell>
          <cell r="DQ145" t="str">
            <v>-</v>
          </cell>
          <cell r="DR145" t="str">
            <v>-</v>
          </cell>
          <cell r="DS145" t="str">
            <v>-</v>
          </cell>
          <cell r="DT145" t="str">
            <v>-</v>
          </cell>
          <cell r="DU145" t="str">
            <v>-</v>
          </cell>
          <cell r="DV145" t="str">
            <v>-</v>
          </cell>
          <cell r="DW145" t="str">
            <v>有</v>
          </cell>
          <cell r="DX145" t="str">
            <v>有</v>
          </cell>
          <cell r="DY145" t="str">
            <v>有</v>
          </cell>
          <cell r="DZ145" t="str">
            <v>有</v>
          </cell>
          <cell r="EA145" t="str">
            <v>有</v>
          </cell>
          <cell r="EB145" t="str">
            <v>有</v>
          </cell>
          <cell r="EC145" t="str">
            <v>有</v>
          </cell>
          <cell r="ED145" t="str">
            <v>有</v>
          </cell>
          <cell r="EE145" t="str">
            <v>有</v>
          </cell>
          <cell r="EF145" t="str">
            <v>有</v>
          </cell>
          <cell r="EG145" t="str">
            <v>有</v>
          </cell>
          <cell r="EH145" t="str">
            <v>有</v>
          </cell>
          <cell r="EI145" t="str">
            <v>兼務</v>
          </cell>
          <cell r="EJ145" t="str">
            <v>兼務</v>
          </cell>
          <cell r="EK145" t="str">
            <v>兼務</v>
          </cell>
          <cell r="EL145" t="str">
            <v>兼務</v>
          </cell>
          <cell r="EM145" t="str">
            <v>兼務</v>
          </cell>
          <cell r="EN145" t="str">
            <v>兼務</v>
          </cell>
          <cell r="EO145" t="str">
            <v>兼務</v>
          </cell>
          <cell r="EP145" t="str">
            <v>兼務</v>
          </cell>
          <cell r="EQ145" t="str">
            <v>兼務</v>
          </cell>
          <cell r="ER145" t="str">
            <v>兼務</v>
          </cell>
          <cell r="ES145" t="str">
            <v>兼務</v>
          </cell>
          <cell r="ET145" t="str">
            <v>兼務</v>
          </cell>
          <cell r="EU145" t="str">
            <v/>
          </cell>
          <cell r="EV145" t="str">
            <v/>
          </cell>
          <cell r="EW145" t="str">
            <v/>
          </cell>
          <cell r="EX145" t="str">
            <v/>
          </cell>
          <cell r="EY145" t="str">
            <v/>
          </cell>
          <cell r="EZ145" t="str">
            <v/>
          </cell>
          <cell r="FA145" t="str">
            <v/>
          </cell>
          <cell r="FB145" t="str">
            <v/>
          </cell>
          <cell r="FC145" t="str">
            <v/>
          </cell>
          <cell r="FD145" t="str">
            <v/>
          </cell>
          <cell r="FE145" t="str">
            <v/>
          </cell>
          <cell r="FF145" t="str">
            <v/>
          </cell>
        </row>
        <row r="146">
          <cell r="C146">
            <v>142</v>
          </cell>
          <cell r="D146" t="str">
            <v>かえで保育園はなぞの</v>
          </cell>
          <cell r="E146" t="str">
            <v>無</v>
          </cell>
          <cell r="F146">
            <v>30</v>
          </cell>
          <cell r="H146">
            <v>15</v>
          </cell>
          <cell r="I146">
            <v>15</v>
          </cell>
          <cell r="O146">
            <v>1189000</v>
          </cell>
          <cell r="P146">
            <v>2627000</v>
          </cell>
          <cell r="Q146">
            <v>2627000</v>
          </cell>
          <cell r="R146">
            <v>1028000</v>
          </cell>
          <cell r="S146">
            <v>0</v>
          </cell>
          <cell r="T146">
            <v>0</v>
          </cell>
          <cell r="U146">
            <v>0</v>
          </cell>
          <cell r="V146">
            <v>792000</v>
          </cell>
          <cell r="W146">
            <v>1751000</v>
          </cell>
          <cell r="X146">
            <v>1751000</v>
          </cell>
          <cell r="Y146">
            <v>685000</v>
          </cell>
          <cell r="Z146">
            <v>0</v>
          </cell>
          <cell r="AA146">
            <v>0</v>
          </cell>
          <cell r="AB146">
            <v>0</v>
          </cell>
          <cell r="AC146">
            <v>0</v>
          </cell>
          <cell r="AD146">
            <v>0</v>
          </cell>
          <cell r="AE146">
            <v>0</v>
          </cell>
          <cell r="AF146">
            <v>0</v>
          </cell>
          <cell r="AG146">
            <v>0</v>
          </cell>
          <cell r="AH146">
            <v>0</v>
          </cell>
          <cell r="AI146">
            <v>0</v>
          </cell>
          <cell r="AJ146" t="str">
            <v>令和3年4月1日</v>
          </cell>
          <cell r="AK146" t="str">
            <v>令和3年5月31日交付</v>
          </cell>
          <cell r="AM146" t="str">
            <v>4号の56</v>
          </cell>
          <cell r="AN146" t="str">
            <v>有</v>
          </cell>
          <cell r="AO146" t="str">
            <v>-</v>
          </cell>
          <cell r="AP146" t="str">
            <v>-</v>
          </cell>
          <cell r="AQ146" t="str">
            <v>-</v>
          </cell>
          <cell r="AR146" t="str">
            <v>-</v>
          </cell>
          <cell r="AS146" t="str">
            <v>-</v>
          </cell>
          <cell r="AT146" t="str">
            <v>-</v>
          </cell>
          <cell r="AU146" t="str">
            <v>-</v>
          </cell>
          <cell r="AV146" t="str">
            <v>-</v>
          </cell>
          <cell r="AW146" t="str">
            <v>-</v>
          </cell>
          <cell r="AX146" t="str">
            <v>-</v>
          </cell>
          <cell r="AY146" t="str">
            <v>-</v>
          </cell>
          <cell r="AZ146" t="str">
            <v>-</v>
          </cell>
          <cell r="BA146" t="str">
            <v>-</v>
          </cell>
          <cell r="BB146" t="str">
            <v>-</v>
          </cell>
          <cell r="BC146" t="str">
            <v>-</v>
          </cell>
          <cell r="BD146" t="str">
            <v>-</v>
          </cell>
          <cell r="BE146" t="str">
            <v>-</v>
          </cell>
          <cell r="BF146" t="str">
            <v>-</v>
          </cell>
          <cell r="BG146" t="str">
            <v>-</v>
          </cell>
          <cell r="BH146" t="str">
            <v>-</v>
          </cell>
          <cell r="BI146" t="str">
            <v>-</v>
          </cell>
          <cell r="BJ146" t="str">
            <v>-</v>
          </cell>
          <cell r="BK146" t="str">
            <v>-</v>
          </cell>
          <cell r="BL146" t="str">
            <v>-</v>
          </cell>
          <cell r="CW146" t="str">
            <v>無</v>
          </cell>
          <cell r="CX146">
            <v>0</v>
          </cell>
          <cell r="CY146" t="str">
            <v>有</v>
          </cell>
          <cell r="CZ146" t="str">
            <v>有</v>
          </cell>
          <cell r="DA146" t="str">
            <v>有</v>
          </cell>
          <cell r="DB146" t="str">
            <v>有</v>
          </cell>
          <cell r="DC146" t="str">
            <v>有</v>
          </cell>
          <cell r="DD146" t="str">
            <v>有</v>
          </cell>
          <cell r="DE146" t="str">
            <v>有</v>
          </cell>
          <cell r="DF146" t="str">
            <v>有</v>
          </cell>
          <cell r="DG146" t="str">
            <v>有</v>
          </cell>
          <cell r="DH146" t="str">
            <v>有</v>
          </cell>
          <cell r="DI146" t="str">
            <v>有</v>
          </cell>
          <cell r="DJ146" t="str">
            <v>有</v>
          </cell>
          <cell r="DK146" t="str">
            <v>-</v>
          </cell>
          <cell r="DL146" t="str">
            <v>-</v>
          </cell>
          <cell r="DM146" t="str">
            <v>-</v>
          </cell>
          <cell r="DN146" t="str">
            <v>-</v>
          </cell>
          <cell r="DO146" t="str">
            <v>-</v>
          </cell>
          <cell r="DP146" t="str">
            <v>-</v>
          </cell>
          <cell r="DQ146" t="str">
            <v>-</v>
          </cell>
          <cell r="DR146" t="str">
            <v>-</v>
          </cell>
          <cell r="DS146" t="str">
            <v>-</v>
          </cell>
          <cell r="DT146" t="str">
            <v>-</v>
          </cell>
          <cell r="DU146" t="str">
            <v>-</v>
          </cell>
          <cell r="DV146" t="str">
            <v>-</v>
          </cell>
          <cell r="DW146" t="str">
            <v>有</v>
          </cell>
          <cell r="DX146" t="str">
            <v>有</v>
          </cell>
          <cell r="DY146" t="str">
            <v>有</v>
          </cell>
          <cell r="DZ146" t="str">
            <v>有</v>
          </cell>
          <cell r="EA146" t="str">
            <v>有</v>
          </cell>
          <cell r="EB146" t="str">
            <v>有</v>
          </cell>
          <cell r="EC146" t="str">
            <v>有</v>
          </cell>
          <cell r="ED146" t="str">
            <v>有</v>
          </cell>
          <cell r="EE146" t="str">
            <v>有</v>
          </cell>
          <cell r="EF146" t="str">
            <v>有</v>
          </cell>
          <cell r="EG146" t="str">
            <v>有</v>
          </cell>
          <cell r="EH146" t="str">
            <v>有</v>
          </cell>
          <cell r="EI146" t="str">
            <v>配置</v>
          </cell>
          <cell r="EJ146" t="str">
            <v>配置</v>
          </cell>
          <cell r="EK146" t="str">
            <v>配置</v>
          </cell>
          <cell r="EL146" t="str">
            <v>配置</v>
          </cell>
          <cell r="EM146" t="str">
            <v>配置</v>
          </cell>
          <cell r="EN146" t="str">
            <v>配置</v>
          </cell>
          <cell r="EO146" t="str">
            <v>配置</v>
          </cell>
          <cell r="EP146" t="str">
            <v>配置</v>
          </cell>
          <cell r="EQ146" t="str">
            <v>配置</v>
          </cell>
          <cell r="ER146" t="str">
            <v>配置</v>
          </cell>
          <cell r="ES146" t="str">
            <v>配置</v>
          </cell>
          <cell r="ET146" t="str">
            <v>配置</v>
          </cell>
          <cell r="EU146">
            <v>76960</v>
          </cell>
          <cell r="EV146">
            <v>76960</v>
          </cell>
          <cell r="EW146">
            <v>76960</v>
          </cell>
          <cell r="EX146">
            <v>76960</v>
          </cell>
          <cell r="EY146">
            <v>76960</v>
          </cell>
          <cell r="EZ146">
            <v>76960</v>
          </cell>
          <cell r="FA146">
            <v>76960</v>
          </cell>
          <cell r="FB146">
            <v>76960</v>
          </cell>
          <cell r="FC146">
            <v>76960</v>
          </cell>
          <cell r="FD146">
            <v>76960</v>
          </cell>
          <cell r="FE146">
            <v>76960</v>
          </cell>
          <cell r="FF146">
            <v>76960</v>
          </cell>
        </row>
        <row r="147">
          <cell r="C147">
            <v>143</v>
          </cell>
          <cell r="D147" t="str">
            <v>アストロベースキャンプ保育園</v>
          </cell>
          <cell r="E147" t="str">
            <v>無</v>
          </cell>
          <cell r="F147">
            <v>102</v>
          </cell>
          <cell r="H147">
            <v>60</v>
          </cell>
          <cell r="I147">
            <v>42</v>
          </cell>
          <cell r="O147">
            <v>1189000</v>
          </cell>
          <cell r="P147">
            <v>2627000</v>
          </cell>
          <cell r="Q147">
            <v>2627000</v>
          </cell>
          <cell r="R147">
            <v>1631000</v>
          </cell>
          <cell r="S147">
            <v>0</v>
          </cell>
          <cell r="T147">
            <v>1982000</v>
          </cell>
          <cell r="U147">
            <v>1982000</v>
          </cell>
          <cell r="V147">
            <v>792000</v>
          </cell>
          <cell r="W147">
            <v>1751000</v>
          </cell>
          <cell r="X147">
            <v>1751000</v>
          </cell>
          <cell r="Y147">
            <v>1087000</v>
          </cell>
          <cell r="Z147">
            <v>0</v>
          </cell>
          <cell r="AA147">
            <v>1321000</v>
          </cell>
          <cell r="AB147">
            <v>1321000</v>
          </cell>
          <cell r="AC147">
            <v>397000</v>
          </cell>
          <cell r="AD147">
            <v>876000</v>
          </cell>
          <cell r="AE147">
            <v>876000</v>
          </cell>
          <cell r="AF147">
            <v>544000</v>
          </cell>
          <cell r="AG147">
            <v>0</v>
          </cell>
          <cell r="AH147">
            <v>661000</v>
          </cell>
          <cell r="AI147">
            <v>661000</v>
          </cell>
          <cell r="AJ147" t="str">
            <v>令和3年4月1日</v>
          </cell>
          <cell r="AK147" t="str">
            <v>令和3年5月31日交付</v>
          </cell>
          <cell r="AL147" t="str">
            <v>令和3年10月29日交付</v>
          </cell>
          <cell r="AM147" t="str">
            <v>4号の57</v>
          </cell>
          <cell r="AN147" t="str">
            <v>有</v>
          </cell>
          <cell r="AO147" t="str">
            <v>一般型</v>
          </cell>
          <cell r="AP147" t="str">
            <v>一般型</v>
          </cell>
          <cell r="AQ147" t="str">
            <v>一般型</v>
          </cell>
          <cell r="AR147" t="str">
            <v>一般型</v>
          </cell>
          <cell r="AS147" t="str">
            <v>一般型</v>
          </cell>
          <cell r="AT147" t="str">
            <v>一般型</v>
          </cell>
          <cell r="AU147" t="str">
            <v>一般型</v>
          </cell>
          <cell r="AV147" t="str">
            <v>一般型</v>
          </cell>
          <cell r="AW147" t="str">
            <v>一般型</v>
          </cell>
          <cell r="AX147" t="str">
            <v>一般型</v>
          </cell>
          <cell r="AY147" t="str">
            <v>一般型</v>
          </cell>
          <cell r="AZ147" t="str">
            <v>一般型</v>
          </cell>
          <cell r="BA147" t="str">
            <v>有</v>
          </cell>
          <cell r="BB147" t="str">
            <v>有</v>
          </cell>
          <cell r="BC147" t="str">
            <v>有</v>
          </cell>
          <cell r="BD147" t="str">
            <v>有</v>
          </cell>
          <cell r="BE147" t="str">
            <v>有</v>
          </cell>
          <cell r="BF147" t="str">
            <v>有</v>
          </cell>
          <cell r="BG147" t="str">
            <v>有</v>
          </cell>
          <cell r="BH147" t="str">
            <v>有</v>
          </cell>
          <cell r="BI147" t="str">
            <v>有</v>
          </cell>
          <cell r="BJ147" t="str">
            <v>有</v>
          </cell>
          <cell r="BK147" t="str">
            <v>有</v>
          </cell>
          <cell r="BL147" t="str">
            <v>有</v>
          </cell>
          <cell r="BM147">
            <v>1</v>
          </cell>
          <cell r="BN147">
            <v>1</v>
          </cell>
          <cell r="BO147">
            <v>2</v>
          </cell>
          <cell r="BP147">
            <v>2</v>
          </cell>
          <cell r="BQ147">
            <v>2</v>
          </cell>
          <cell r="BR147">
            <v>2</v>
          </cell>
          <cell r="BS147">
            <v>2</v>
          </cell>
          <cell r="BT147">
            <v>2</v>
          </cell>
          <cell r="BU147">
            <v>2</v>
          </cell>
          <cell r="BV147">
            <v>2</v>
          </cell>
          <cell r="BW147">
            <v>2</v>
          </cell>
          <cell r="BX147">
            <v>2</v>
          </cell>
          <cell r="CK147">
            <v>0</v>
          </cell>
          <cell r="CL147">
            <v>0</v>
          </cell>
          <cell r="CM147">
            <v>0</v>
          </cell>
          <cell r="CN147">
            <v>0</v>
          </cell>
          <cell r="CO147">
            <v>0</v>
          </cell>
          <cell r="CP147">
            <v>0</v>
          </cell>
          <cell r="CQ147">
            <v>0</v>
          </cell>
          <cell r="CR147">
            <v>0</v>
          </cell>
          <cell r="CS147">
            <v>0</v>
          </cell>
          <cell r="CT147">
            <v>0</v>
          </cell>
          <cell r="CU147">
            <v>0</v>
          </cell>
          <cell r="CV147">
            <v>0</v>
          </cell>
          <cell r="CW147" t="str">
            <v>無</v>
          </cell>
          <cell r="CX147">
            <v>3</v>
          </cell>
          <cell r="CY147" t="str">
            <v>有</v>
          </cell>
          <cell r="CZ147" t="str">
            <v>有</v>
          </cell>
          <cell r="DA147" t="str">
            <v>有</v>
          </cell>
          <cell r="DB147" t="str">
            <v>有</v>
          </cell>
          <cell r="DC147" t="str">
            <v>有</v>
          </cell>
          <cell r="DD147" t="str">
            <v>有</v>
          </cell>
          <cell r="DE147" t="str">
            <v>有</v>
          </cell>
          <cell r="DF147" t="str">
            <v>有</v>
          </cell>
          <cell r="DG147" t="str">
            <v>有</v>
          </cell>
          <cell r="DH147" t="str">
            <v>有</v>
          </cell>
          <cell r="DI147" t="str">
            <v>有</v>
          </cell>
          <cell r="DJ147" t="str">
            <v>有</v>
          </cell>
          <cell r="DK147" t="str">
            <v>-</v>
          </cell>
          <cell r="DL147" t="str">
            <v>-</v>
          </cell>
          <cell r="DM147" t="str">
            <v>-</v>
          </cell>
          <cell r="DN147" t="str">
            <v>-</v>
          </cell>
          <cell r="DO147" t="str">
            <v>-</v>
          </cell>
          <cell r="DP147" t="str">
            <v>-</v>
          </cell>
          <cell r="DQ147" t="str">
            <v>-</v>
          </cell>
          <cell r="DR147" t="str">
            <v>-</v>
          </cell>
          <cell r="DS147" t="str">
            <v>-</v>
          </cell>
          <cell r="DT147" t="str">
            <v>-</v>
          </cell>
          <cell r="DU147" t="str">
            <v>-</v>
          </cell>
          <cell r="DV147" t="str">
            <v>-</v>
          </cell>
          <cell r="DW147" t="str">
            <v>有</v>
          </cell>
          <cell r="DX147" t="str">
            <v>有</v>
          </cell>
          <cell r="DY147" t="str">
            <v>有</v>
          </cell>
          <cell r="DZ147" t="str">
            <v>有</v>
          </cell>
          <cell r="EA147" t="str">
            <v>有</v>
          </cell>
          <cell r="EB147" t="str">
            <v>有</v>
          </cell>
          <cell r="EC147" t="str">
            <v>有</v>
          </cell>
          <cell r="ED147" t="str">
            <v>有</v>
          </cell>
          <cell r="EE147" t="str">
            <v>有</v>
          </cell>
          <cell r="EF147" t="str">
            <v>有</v>
          </cell>
          <cell r="EG147" t="str">
            <v>有</v>
          </cell>
          <cell r="EH147" t="str">
            <v>有</v>
          </cell>
          <cell r="EI147" t="str">
            <v>配置</v>
          </cell>
          <cell r="EJ147" t="str">
            <v>配置</v>
          </cell>
          <cell r="EK147" t="str">
            <v>配置</v>
          </cell>
          <cell r="EL147" t="str">
            <v>配置</v>
          </cell>
          <cell r="EM147" t="str">
            <v>配置</v>
          </cell>
          <cell r="EN147" t="str">
            <v>配置</v>
          </cell>
          <cell r="EO147" t="str">
            <v>配置</v>
          </cell>
          <cell r="EP147" t="str">
            <v>配置</v>
          </cell>
          <cell r="EQ147" t="str">
            <v>配置</v>
          </cell>
          <cell r="ER147" t="str">
            <v>配置</v>
          </cell>
          <cell r="ES147" t="str">
            <v>配置</v>
          </cell>
          <cell r="ET147" t="str">
            <v>配置</v>
          </cell>
          <cell r="EU147">
            <v>76960</v>
          </cell>
          <cell r="EV147">
            <v>76960</v>
          </cell>
          <cell r="EW147">
            <v>76960</v>
          </cell>
          <cell r="EX147">
            <v>76960</v>
          </cell>
          <cell r="EY147">
            <v>76960</v>
          </cell>
          <cell r="EZ147">
            <v>76960</v>
          </cell>
          <cell r="FA147">
            <v>76960</v>
          </cell>
          <cell r="FB147">
            <v>76960</v>
          </cell>
          <cell r="FC147">
            <v>76960</v>
          </cell>
          <cell r="FD147">
            <v>76960</v>
          </cell>
          <cell r="FE147">
            <v>76960</v>
          </cell>
          <cell r="FF147">
            <v>76960</v>
          </cell>
        </row>
        <row r="148">
          <cell r="C148">
            <v>144</v>
          </cell>
          <cell r="D148" t="str">
            <v>かるがも保育園　鎌取園</v>
          </cell>
          <cell r="E148" t="str">
            <v>無</v>
          </cell>
          <cell r="F148">
            <v>49</v>
          </cell>
          <cell r="H148">
            <v>25</v>
          </cell>
          <cell r="I148">
            <v>24</v>
          </cell>
          <cell r="O148">
            <v>1189000</v>
          </cell>
          <cell r="P148">
            <v>2627000</v>
          </cell>
          <cell r="Q148">
            <v>2627000</v>
          </cell>
          <cell r="R148">
            <v>1631000</v>
          </cell>
          <cell r="S148">
            <v>0</v>
          </cell>
          <cell r="T148">
            <v>1982000</v>
          </cell>
          <cell r="U148">
            <v>0</v>
          </cell>
          <cell r="V148">
            <v>792000</v>
          </cell>
          <cell r="W148">
            <v>1751000</v>
          </cell>
          <cell r="X148">
            <v>1751000</v>
          </cell>
          <cell r="Y148">
            <v>1087000</v>
          </cell>
          <cell r="Z148">
            <v>0</v>
          </cell>
          <cell r="AA148">
            <v>1321000</v>
          </cell>
          <cell r="AB148">
            <v>0</v>
          </cell>
          <cell r="AC148">
            <v>397000</v>
          </cell>
          <cell r="AD148">
            <v>876000</v>
          </cell>
          <cell r="AE148">
            <v>876000</v>
          </cell>
          <cell r="AF148">
            <v>544000</v>
          </cell>
          <cell r="AG148">
            <v>0</v>
          </cell>
          <cell r="AH148">
            <v>661000</v>
          </cell>
          <cell r="AI148">
            <v>0</v>
          </cell>
          <cell r="AJ148" t="str">
            <v>令和3年4月1日</v>
          </cell>
          <cell r="AK148" t="str">
            <v>令和3年5月31日交付</v>
          </cell>
          <cell r="AL148" t="str">
            <v>令和3年10月29日交付</v>
          </cell>
          <cell r="AM148" t="str">
            <v>4号の58</v>
          </cell>
          <cell r="AN148" t="str">
            <v>有</v>
          </cell>
          <cell r="AO148" t="str">
            <v>余裕活用型</v>
          </cell>
          <cell r="AP148" t="str">
            <v>余裕活用型</v>
          </cell>
          <cell r="AQ148" t="str">
            <v>余裕活用型</v>
          </cell>
          <cell r="AR148" t="str">
            <v>余裕活用型</v>
          </cell>
          <cell r="AS148" t="str">
            <v>余裕活用型</v>
          </cell>
          <cell r="AT148" t="str">
            <v>余裕活用型</v>
          </cell>
          <cell r="AU148" t="str">
            <v>余裕活用型</v>
          </cell>
          <cell r="AV148" t="str">
            <v>余裕活用型</v>
          </cell>
          <cell r="AW148" t="str">
            <v>余裕活用型</v>
          </cell>
          <cell r="AX148" t="str">
            <v>余裕活用型</v>
          </cell>
          <cell r="AY148" t="str">
            <v>余裕活用型</v>
          </cell>
          <cell r="AZ148" t="str">
            <v>余裕活用型</v>
          </cell>
          <cell r="BA148" t="str">
            <v>-</v>
          </cell>
          <cell r="BB148" t="str">
            <v>-</v>
          </cell>
          <cell r="BC148" t="str">
            <v>-</v>
          </cell>
          <cell r="BD148" t="str">
            <v>-</v>
          </cell>
          <cell r="BE148" t="str">
            <v>-</v>
          </cell>
          <cell r="BF148" t="str">
            <v>-</v>
          </cell>
          <cell r="BG148" t="str">
            <v>-</v>
          </cell>
          <cell r="BH148" t="str">
            <v>-</v>
          </cell>
          <cell r="BI148" t="str">
            <v>-</v>
          </cell>
          <cell r="BJ148" t="str">
            <v>-</v>
          </cell>
          <cell r="BK148" t="str">
            <v>-</v>
          </cell>
          <cell r="BL148" t="str">
            <v>-</v>
          </cell>
          <cell r="BM148">
            <v>1</v>
          </cell>
          <cell r="BN148">
            <v>1</v>
          </cell>
          <cell r="BO148">
            <v>2</v>
          </cell>
          <cell r="BP148">
            <v>2</v>
          </cell>
          <cell r="BQ148">
            <v>2</v>
          </cell>
          <cell r="BR148">
            <v>2</v>
          </cell>
          <cell r="BS148">
            <v>2</v>
          </cell>
          <cell r="BT148">
            <v>2</v>
          </cell>
          <cell r="BU148">
            <v>2</v>
          </cell>
          <cell r="BV148">
            <v>2</v>
          </cell>
          <cell r="BW148">
            <v>2</v>
          </cell>
          <cell r="BX148">
            <v>2</v>
          </cell>
          <cell r="CK148">
            <v>0</v>
          </cell>
          <cell r="CL148">
            <v>0</v>
          </cell>
          <cell r="CM148">
            <v>0</v>
          </cell>
          <cell r="CN148">
            <v>0</v>
          </cell>
          <cell r="CO148">
            <v>0</v>
          </cell>
          <cell r="CP148">
            <v>0</v>
          </cell>
          <cell r="CQ148">
            <v>0</v>
          </cell>
          <cell r="CR148">
            <v>0</v>
          </cell>
          <cell r="CS148">
            <v>0</v>
          </cell>
          <cell r="CT148">
            <v>0</v>
          </cell>
          <cell r="CU148">
            <v>0</v>
          </cell>
          <cell r="CV148">
            <v>0</v>
          </cell>
          <cell r="CW148" t="str">
            <v>無</v>
          </cell>
          <cell r="CX148">
            <v>1</v>
          </cell>
          <cell r="CY148" t="str">
            <v>有</v>
          </cell>
          <cell r="CZ148" t="str">
            <v>有</v>
          </cell>
          <cell r="DA148" t="str">
            <v>有</v>
          </cell>
          <cell r="DB148" t="str">
            <v>有</v>
          </cell>
          <cell r="DC148" t="str">
            <v>有</v>
          </cell>
          <cell r="DD148" t="str">
            <v>有</v>
          </cell>
          <cell r="DE148" t="str">
            <v>有</v>
          </cell>
          <cell r="DF148" t="str">
            <v>有</v>
          </cell>
          <cell r="DG148" t="str">
            <v>有</v>
          </cell>
          <cell r="DH148" t="str">
            <v>有</v>
          </cell>
          <cell r="DI148" t="str">
            <v>有</v>
          </cell>
          <cell r="DJ148" t="str">
            <v>有</v>
          </cell>
          <cell r="DK148" t="str">
            <v>-</v>
          </cell>
          <cell r="DL148" t="str">
            <v>-</v>
          </cell>
          <cell r="DM148" t="str">
            <v>-</v>
          </cell>
          <cell r="DN148" t="str">
            <v>-</v>
          </cell>
          <cell r="DO148" t="str">
            <v>-</v>
          </cell>
          <cell r="DP148" t="str">
            <v>-</v>
          </cell>
          <cell r="DQ148" t="str">
            <v>-</v>
          </cell>
          <cell r="DR148" t="str">
            <v>-</v>
          </cell>
          <cell r="DS148" t="str">
            <v>-</v>
          </cell>
          <cell r="DT148" t="str">
            <v>-</v>
          </cell>
          <cell r="DU148" t="str">
            <v>-</v>
          </cell>
          <cell r="DV148" t="str">
            <v>-</v>
          </cell>
          <cell r="DW148" t="str">
            <v>有</v>
          </cell>
          <cell r="DX148" t="str">
            <v>有</v>
          </cell>
          <cell r="DY148" t="str">
            <v>有</v>
          </cell>
          <cell r="DZ148" t="str">
            <v>有</v>
          </cell>
          <cell r="EA148" t="str">
            <v>有</v>
          </cell>
          <cell r="EB148" t="str">
            <v>有</v>
          </cell>
          <cell r="EC148" t="str">
            <v>有</v>
          </cell>
          <cell r="ED148" t="str">
            <v>有</v>
          </cell>
          <cell r="EE148" t="str">
            <v>有</v>
          </cell>
          <cell r="EF148" t="str">
            <v>有</v>
          </cell>
          <cell r="EG148" t="str">
            <v>有</v>
          </cell>
          <cell r="EH148" t="str">
            <v>有</v>
          </cell>
          <cell r="EI148" t="str">
            <v>配置</v>
          </cell>
          <cell r="EJ148" t="str">
            <v>配置</v>
          </cell>
          <cell r="EK148" t="str">
            <v>配置</v>
          </cell>
          <cell r="EL148" t="str">
            <v>配置</v>
          </cell>
          <cell r="EM148" t="str">
            <v>配置</v>
          </cell>
          <cell r="EN148" t="str">
            <v>配置</v>
          </cell>
          <cell r="EO148" t="str">
            <v>配置</v>
          </cell>
          <cell r="EP148" t="str">
            <v>配置</v>
          </cell>
          <cell r="EQ148" t="str">
            <v>配置</v>
          </cell>
          <cell r="ER148" t="str">
            <v>配置</v>
          </cell>
          <cell r="ES148" t="str">
            <v>配置</v>
          </cell>
          <cell r="ET148" t="str">
            <v>配置</v>
          </cell>
          <cell r="EU148">
            <v>76960</v>
          </cell>
          <cell r="EV148">
            <v>76960</v>
          </cell>
          <cell r="EW148">
            <v>76960</v>
          </cell>
          <cell r="EX148">
            <v>76960</v>
          </cell>
          <cell r="EY148">
            <v>76960</v>
          </cell>
          <cell r="EZ148">
            <v>76960</v>
          </cell>
          <cell r="FA148">
            <v>76960</v>
          </cell>
          <cell r="FB148">
            <v>76960</v>
          </cell>
          <cell r="FC148">
            <v>76960</v>
          </cell>
          <cell r="FD148">
            <v>76960</v>
          </cell>
          <cell r="FE148">
            <v>76960</v>
          </cell>
          <cell r="FF148">
            <v>76960</v>
          </cell>
        </row>
        <row r="149">
          <cell r="C149">
            <v>145</v>
          </cell>
          <cell r="D149" t="str">
            <v>クニナたかだの森保育園</v>
          </cell>
          <cell r="E149" t="str">
            <v>無</v>
          </cell>
          <cell r="F149">
            <v>59</v>
          </cell>
          <cell r="H149">
            <v>35</v>
          </cell>
          <cell r="I149">
            <v>24</v>
          </cell>
          <cell r="O149">
            <v>1189000</v>
          </cell>
          <cell r="P149">
            <v>2627000</v>
          </cell>
          <cell r="Q149">
            <v>2627000</v>
          </cell>
          <cell r="R149">
            <v>1028000</v>
          </cell>
          <cell r="S149">
            <v>0</v>
          </cell>
          <cell r="T149">
            <v>1982000</v>
          </cell>
          <cell r="U149">
            <v>0</v>
          </cell>
          <cell r="V149">
            <v>792000</v>
          </cell>
          <cell r="W149">
            <v>1751000</v>
          </cell>
          <cell r="X149">
            <v>1751000</v>
          </cell>
          <cell r="Y149">
            <v>685000</v>
          </cell>
          <cell r="Z149">
            <v>0</v>
          </cell>
          <cell r="AA149">
            <v>1321000</v>
          </cell>
          <cell r="AB149">
            <v>0</v>
          </cell>
          <cell r="AC149">
            <v>0</v>
          </cell>
          <cell r="AD149">
            <v>0</v>
          </cell>
          <cell r="AE149">
            <v>0</v>
          </cell>
          <cell r="AF149">
            <v>0</v>
          </cell>
          <cell r="AG149">
            <v>0</v>
          </cell>
          <cell r="AH149">
            <v>0</v>
          </cell>
          <cell r="AI149">
            <v>0</v>
          </cell>
          <cell r="AJ149" t="str">
            <v>令和3年4月1日</v>
          </cell>
          <cell r="AK149" t="str">
            <v>令和3年5月31日交付</v>
          </cell>
          <cell r="AM149" t="str">
            <v>4号の59</v>
          </cell>
          <cell r="AN149" t="str">
            <v>有</v>
          </cell>
          <cell r="AO149" t="str">
            <v>余裕活用型</v>
          </cell>
          <cell r="AP149" t="str">
            <v>余裕活用型</v>
          </cell>
          <cell r="AQ149" t="str">
            <v>余裕活用型</v>
          </cell>
          <cell r="AR149" t="str">
            <v>余裕活用型</v>
          </cell>
          <cell r="AS149" t="str">
            <v>余裕活用型</v>
          </cell>
          <cell r="AT149" t="str">
            <v>余裕活用型</v>
          </cell>
          <cell r="AU149" t="str">
            <v>余裕活用型</v>
          </cell>
          <cell r="AV149" t="str">
            <v>余裕活用型</v>
          </cell>
          <cell r="AW149" t="str">
            <v>余裕活用型</v>
          </cell>
          <cell r="AX149" t="str">
            <v>余裕活用型</v>
          </cell>
          <cell r="AY149" t="str">
            <v>余裕活用型</v>
          </cell>
          <cell r="AZ149" t="str">
            <v>余裕活用型</v>
          </cell>
          <cell r="BA149" t="str">
            <v>-</v>
          </cell>
          <cell r="BB149" t="str">
            <v>-</v>
          </cell>
          <cell r="BC149" t="str">
            <v>-</v>
          </cell>
          <cell r="BD149" t="str">
            <v>-</v>
          </cell>
          <cell r="BE149" t="str">
            <v>-</v>
          </cell>
          <cell r="BF149" t="str">
            <v>-</v>
          </cell>
          <cell r="BG149" t="str">
            <v>-</v>
          </cell>
          <cell r="BH149" t="str">
            <v>-</v>
          </cell>
          <cell r="BI149" t="str">
            <v>-</v>
          </cell>
          <cell r="BJ149" t="str">
            <v>-</v>
          </cell>
          <cell r="BK149" t="str">
            <v>-</v>
          </cell>
          <cell r="BL149" t="str">
            <v>-</v>
          </cell>
          <cell r="BM149">
            <v>1</v>
          </cell>
          <cell r="BN149">
            <v>1</v>
          </cell>
          <cell r="BO149">
            <v>1</v>
          </cell>
          <cell r="BP149">
            <v>1</v>
          </cell>
          <cell r="BQ149">
            <v>1</v>
          </cell>
          <cell r="BR149">
            <v>1</v>
          </cell>
          <cell r="BS149">
            <v>1</v>
          </cell>
          <cell r="BT149">
            <v>1</v>
          </cell>
          <cell r="BU149">
            <v>1</v>
          </cell>
          <cell r="BV149">
            <v>1</v>
          </cell>
          <cell r="BW149">
            <v>1</v>
          </cell>
          <cell r="BX149">
            <v>1</v>
          </cell>
          <cell r="CK149">
            <v>0</v>
          </cell>
          <cell r="CL149">
            <v>0</v>
          </cell>
          <cell r="CM149">
            <v>0</v>
          </cell>
          <cell r="CN149">
            <v>0</v>
          </cell>
          <cell r="CO149">
            <v>0</v>
          </cell>
          <cell r="CP149">
            <v>0</v>
          </cell>
          <cell r="CQ149">
            <v>0</v>
          </cell>
          <cell r="CR149">
            <v>0</v>
          </cell>
          <cell r="CS149">
            <v>0</v>
          </cell>
          <cell r="CT149">
            <v>0</v>
          </cell>
          <cell r="CU149">
            <v>0</v>
          </cell>
          <cell r="CV149">
            <v>0</v>
          </cell>
          <cell r="CW149" t="str">
            <v>無</v>
          </cell>
          <cell r="CX149">
            <v>3</v>
          </cell>
          <cell r="CY149" t="str">
            <v>有</v>
          </cell>
          <cell r="CZ149" t="str">
            <v>有</v>
          </cell>
          <cell r="DA149" t="str">
            <v>有</v>
          </cell>
          <cell r="DB149" t="str">
            <v>有</v>
          </cell>
          <cell r="DC149" t="str">
            <v>有</v>
          </cell>
          <cell r="DD149" t="str">
            <v>有</v>
          </cell>
          <cell r="DE149" t="str">
            <v>有</v>
          </cell>
          <cell r="DF149" t="str">
            <v>有</v>
          </cell>
          <cell r="DG149" t="str">
            <v>有</v>
          </cell>
          <cell r="DH149" t="str">
            <v>有</v>
          </cell>
          <cell r="DI149" t="str">
            <v>有</v>
          </cell>
          <cell r="DJ149" t="str">
            <v>有</v>
          </cell>
          <cell r="DK149" t="str">
            <v>賃金改善</v>
          </cell>
          <cell r="DL149" t="str">
            <v>賃金改善</v>
          </cell>
          <cell r="DM149" t="str">
            <v>賃金改善</v>
          </cell>
          <cell r="DN149" t="str">
            <v>賃金改善</v>
          </cell>
          <cell r="DO149" t="str">
            <v>賃金改善</v>
          </cell>
          <cell r="DP149" t="str">
            <v>賃金改善</v>
          </cell>
          <cell r="DQ149" t="str">
            <v>賃金改善</v>
          </cell>
          <cell r="DR149" t="str">
            <v>賃金改善</v>
          </cell>
          <cell r="DS149" t="str">
            <v>賃金改善</v>
          </cell>
          <cell r="DT149" t="str">
            <v>賃金改善</v>
          </cell>
          <cell r="DU149" t="str">
            <v>賃金改善</v>
          </cell>
          <cell r="DV149" t="str">
            <v>賃金改善</v>
          </cell>
          <cell r="DW149" t="str">
            <v>有</v>
          </cell>
          <cell r="DX149" t="str">
            <v>有</v>
          </cell>
          <cell r="DY149" t="str">
            <v>有</v>
          </cell>
          <cell r="DZ149" t="str">
            <v>有</v>
          </cell>
          <cell r="EA149" t="str">
            <v>有</v>
          </cell>
          <cell r="EB149" t="str">
            <v>有</v>
          </cell>
          <cell r="EC149" t="str">
            <v>有</v>
          </cell>
          <cell r="ED149" t="str">
            <v>有</v>
          </cell>
          <cell r="EE149" t="str">
            <v>有</v>
          </cell>
          <cell r="EF149" t="str">
            <v>有</v>
          </cell>
          <cell r="EG149" t="str">
            <v>有</v>
          </cell>
          <cell r="EH149" t="str">
            <v>有</v>
          </cell>
          <cell r="EI149" t="str">
            <v>配置</v>
          </cell>
          <cell r="EJ149" t="str">
            <v>配置</v>
          </cell>
          <cell r="EK149" t="str">
            <v>配置</v>
          </cell>
          <cell r="EL149" t="str">
            <v>配置</v>
          </cell>
          <cell r="EM149" t="str">
            <v>配置</v>
          </cell>
          <cell r="EN149" t="str">
            <v>配置</v>
          </cell>
          <cell r="EO149" t="str">
            <v>配置</v>
          </cell>
          <cell r="EP149" t="str">
            <v>配置</v>
          </cell>
          <cell r="EQ149" t="str">
            <v>配置</v>
          </cell>
          <cell r="ER149" t="str">
            <v>配置</v>
          </cell>
          <cell r="ES149" t="str">
            <v>配置</v>
          </cell>
          <cell r="ET149" t="str">
            <v>配置</v>
          </cell>
          <cell r="EU149">
            <v>76960</v>
          </cell>
          <cell r="EV149">
            <v>76960</v>
          </cell>
          <cell r="EW149">
            <v>76960</v>
          </cell>
          <cell r="EX149">
            <v>76960</v>
          </cell>
          <cell r="EY149">
            <v>76960</v>
          </cell>
          <cell r="EZ149">
            <v>76960</v>
          </cell>
          <cell r="FA149">
            <v>76960</v>
          </cell>
          <cell r="FB149">
            <v>76960</v>
          </cell>
          <cell r="FC149">
            <v>76960</v>
          </cell>
          <cell r="FD149">
            <v>76960</v>
          </cell>
          <cell r="FE149">
            <v>76960</v>
          </cell>
          <cell r="FF149">
            <v>76960</v>
          </cell>
        </row>
        <row r="150">
          <cell r="C150">
            <v>146</v>
          </cell>
          <cell r="D150" t="str">
            <v>京進のほいくえんHOPPAガーデンビュー千葉駅前</v>
          </cell>
          <cell r="E150" t="str">
            <v>無</v>
          </cell>
          <cell r="F150">
            <v>59</v>
          </cell>
          <cell r="H150">
            <v>35</v>
          </cell>
          <cell r="I150">
            <v>24</v>
          </cell>
          <cell r="O150">
            <v>586000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t="str">
            <v>令和3年4月1日</v>
          </cell>
          <cell r="AM150" t="str">
            <v>4号の60</v>
          </cell>
          <cell r="AN150" t="str">
            <v>有</v>
          </cell>
          <cell r="AO150" t="str">
            <v>余裕活用型</v>
          </cell>
          <cell r="AP150" t="str">
            <v>余裕活用型</v>
          </cell>
          <cell r="AQ150" t="str">
            <v>余裕活用型</v>
          </cell>
          <cell r="AR150" t="str">
            <v>余裕活用型</v>
          </cell>
          <cell r="AS150" t="str">
            <v>余裕活用型</v>
          </cell>
          <cell r="AT150" t="str">
            <v>余裕活用型</v>
          </cell>
          <cell r="AU150" t="str">
            <v>余裕活用型</v>
          </cell>
          <cell r="AV150" t="str">
            <v>余裕活用型</v>
          </cell>
          <cell r="AW150" t="str">
            <v>余裕活用型</v>
          </cell>
          <cell r="AX150" t="str">
            <v>余裕活用型</v>
          </cell>
          <cell r="AY150" t="str">
            <v>余裕活用型</v>
          </cell>
          <cell r="AZ150" t="str">
            <v>余裕活用型</v>
          </cell>
          <cell r="BA150" t="str">
            <v>-</v>
          </cell>
          <cell r="BB150" t="str">
            <v>-</v>
          </cell>
          <cell r="BC150" t="str">
            <v>-</v>
          </cell>
          <cell r="BD150" t="str">
            <v>-</v>
          </cell>
          <cell r="BE150" t="str">
            <v>-</v>
          </cell>
          <cell r="BF150" t="str">
            <v>-</v>
          </cell>
          <cell r="BG150" t="str">
            <v>-</v>
          </cell>
          <cell r="BH150" t="str">
            <v>-</v>
          </cell>
          <cell r="BI150" t="str">
            <v>-</v>
          </cell>
          <cell r="BJ150" t="str">
            <v>-</v>
          </cell>
          <cell r="BK150" t="str">
            <v>-</v>
          </cell>
          <cell r="BL150" t="str">
            <v>-</v>
          </cell>
          <cell r="BM150">
            <v>1</v>
          </cell>
          <cell r="BN150">
            <v>1</v>
          </cell>
          <cell r="BO150">
            <v>1</v>
          </cell>
          <cell r="BP150">
            <v>1</v>
          </cell>
          <cell r="BQ150">
            <v>1</v>
          </cell>
          <cell r="BR150">
            <v>1</v>
          </cell>
          <cell r="BS150">
            <v>1</v>
          </cell>
          <cell r="BT150">
            <v>1</v>
          </cell>
          <cell r="BU150">
            <v>1</v>
          </cell>
          <cell r="BV150">
            <v>1</v>
          </cell>
          <cell r="BW150">
            <v>1</v>
          </cell>
          <cell r="BX150">
            <v>1</v>
          </cell>
          <cell r="CK150">
            <v>0</v>
          </cell>
          <cell r="CL150">
            <v>0</v>
          </cell>
          <cell r="CM150">
            <v>0</v>
          </cell>
          <cell r="CN150">
            <v>0</v>
          </cell>
          <cell r="CO150">
            <v>0</v>
          </cell>
          <cell r="CP150">
            <v>0</v>
          </cell>
          <cell r="CQ150">
            <v>0</v>
          </cell>
          <cell r="CR150">
            <v>0</v>
          </cell>
          <cell r="CS150">
            <v>0</v>
          </cell>
          <cell r="CT150">
            <v>0</v>
          </cell>
          <cell r="CU150">
            <v>0</v>
          </cell>
          <cell r="CV150">
            <v>0</v>
          </cell>
          <cell r="CW150" t="str">
            <v>無</v>
          </cell>
          <cell r="CX150">
            <v>0</v>
          </cell>
          <cell r="CY150" t="str">
            <v>無</v>
          </cell>
          <cell r="CZ150" t="str">
            <v>無</v>
          </cell>
          <cell r="DA150" t="str">
            <v>無</v>
          </cell>
          <cell r="DB150" t="str">
            <v>無</v>
          </cell>
          <cell r="DC150" t="str">
            <v>無</v>
          </cell>
          <cell r="DD150" t="str">
            <v>無</v>
          </cell>
          <cell r="DE150" t="str">
            <v>無</v>
          </cell>
          <cell r="DF150" t="str">
            <v>無</v>
          </cell>
          <cell r="DG150" t="str">
            <v>無</v>
          </cell>
          <cell r="DH150" t="str">
            <v>無</v>
          </cell>
          <cell r="DI150" t="str">
            <v>無</v>
          </cell>
          <cell r="DJ150" t="str">
            <v>無</v>
          </cell>
          <cell r="DK150" t="str">
            <v>-</v>
          </cell>
          <cell r="DL150" t="str">
            <v>-</v>
          </cell>
          <cell r="DM150" t="str">
            <v>-</v>
          </cell>
          <cell r="DN150" t="str">
            <v>-</v>
          </cell>
          <cell r="DO150" t="str">
            <v>-</v>
          </cell>
          <cell r="DP150" t="str">
            <v>-</v>
          </cell>
          <cell r="DQ150" t="str">
            <v>-</v>
          </cell>
          <cell r="DR150" t="str">
            <v>-</v>
          </cell>
          <cell r="DS150" t="str">
            <v>-</v>
          </cell>
          <cell r="DT150" t="str">
            <v>-</v>
          </cell>
          <cell r="DU150" t="str">
            <v>-</v>
          </cell>
          <cell r="DV150" t="str">
            <v>-</v>
          </cell>
          <cell r="DW150" t="str">
            <v>有</v>
          </cell>
          <cell r="DX150" t="str">
            <v>有</v>
          </cell>
          <cell r="DY150" t="str">
            <v>有</v>
          </cell>
          <cell r="DZ150" t="str">
            <v>有</v>
          </cell>
          <cell r="EA150" t="str">
            <v>有</v>
          </cell>
          <cell r="EB150" t="str">
            <v>有</v>
          </cell>
          <cell r="EC150" t="str">
            <v>有</v>
          </cell>
          <cell r="ED150" t="str">
            <v>有</v>
          </cell>
          <cell r="EE150" t="str">
            <v>有</v>
          </cell>
          <cell r="EF150" t="str">
            <v>有</v>
          </cell>
          <cell r="EG150" t="str">
            <v>有</v>
          </cell>
          <cell r="EH150" t="str">
            <v>有</v>
          </cell>
          <cell r="EI150" t="str">
            <v>配置</v>
          </cell>
          <cell r="EJ150" t="str">
            <v>配置</v>
          </cell>
          <cell r="EK150" t="str">
            <v>配置</v>
          </cell>
          <cell r="EL150" t="str">
            <v>配置</v>
          </cell>
          <cell r="EM150" t="str">
            <v>配置</v>
          </cell>
          <cell r="EN150" t="str">
            <v>配置</v>
          </cell>
          <cell r="EO150" t="str">
            <v>配置</v>
          </cell>
          <cell r="EP150" t="str">
            <v>配置</v>
          </cell>
          <cell r="EQ150" t="str">
            <v>配置</v>
          </cell>
          <cell r="ER150" t="str">
            <v>配置</v>
          </cell>
          <cell r="ES150" t="str">
            <v>配置</v>
          </cell>
          <cell r="ET150" t="str">
            <v>配置</v>
          </cell>
          <cell r="EU150">
            <v>76960</v>
          </cell>
          <cell r="EV150">
            <v>76960</v>
          </cell>
          <cell r="EW150">
            <v>76960</v>
          </cell>
          <cell r="EX150">
            <v>76960</v>
          </cell>
          <cell r="EY150">
            <v>76960</v>
          </cell>
          <cell r="EZ150">
            <v>76960</v>
          </cell>
          <cell r="FA150">
            <v>76960</v>
          </cell>
          <cell r="FB150">
            <v>76960</v>
          </cell>
          <cell r="FC150">
            <v>76960</v>
          </cell>
          <cell r="FD150">
            <v>76960</v>
          </cell>
          <cell r="FE150">
            <v>76960</v>
          </cell>
          <cell r="FF150">
            <v>76960</v>
          </cell>
        </row>
        <row r="151">
          <cell r="C151">
            <v>147</v>
          </cell>
          <cell r="D151" t="str">
            <v>希望の子保育園</v>
          </cell>
          <cell r="E151" t="str">
            <v>無</v>
          </cell>
          <cell r="F151">
            <v>46</v>
          </cell>
          <cell r="H151">
            <v>26</v>
          </cell>
          <cell r="I151">
            <v>20</v>
          </cell>
          <cell r="O151">
            <v>1189000</v>
          </cell>
          <cell r="P151">
            <v>2627000</v>
          </cell>
          <cell r="Q151">
            <v>2627000</v>
          </cell>
          <cell r="R151">
            <v>1631000</v>
          </cell>
          <cell r="S151">
            <v>0</v>
          </cell>
          <cell r="T151">
            <v>0</v>
          </cell>
          <cell r="U151">
            <v>0</v>
          </cell>
          <cell r="V151">
            <v>792000</v>
          </cell>
          <cell r="W151">
            <v>1751000</v>
          </cell>
          <cell r="X151">
            <v>1751000</v>
          </cell>
          <cell r="Y151">
            <v>1087000</v>
          </cell>
          <cell r="Z151">
            <v>0</v>
          </cell>
          <cell r="AA151">
            <v>0</v>
          </cell>
          <cell r="AB151">
            <v>0</v>
          </cell>
          <cell r="AC151">
            <v>397000</v>
          </cell>
          <cell r="AD151">
            <v>876000</v>
          </cell>
          <cell r="AE151">
            <v>876000</v>
          </cell>
          <cell r="AF151">
            <v>544000</v>
          </cell>
          <cell r="AG151">
            <v>0</v>
          </cell>
          <cell r="AH151">
            <v>0</v>
          </cell>
          <cell r="AI151">
            <v>0</v>
          </cell>
          <cell r="AJ151" t="str">
            <v>令和3年4月1日</v>
          </cell>
          <cell r="AK151" t="str">
            <v>令和3年5月31日交付</v>
          </cell>
          <cell r="AL151" t="str">
            <v>令和3年10月29日交付</v>
          </cell>
          <cell r="AM151" t="str">
            <v>4号の61</v>
          </cell>
          <cell r="AN151" t="str">
            <v>有</v>
          </cell>
          <cell r="AO151" t="str">
            <v>余裕活用型</v>
          </cell>
          <cell r="AP151" t="str">
            <v>余裕活用型</v>
          </cell>
          <cell r="AQ151" t="str">
            <v>余裕活用型</v>
          </cell>
          <cell r="AR151" t="str">
            <v>余裕活用型</v>
          </cell>
          <cell r="AS151" t="str">
            <v>余裕活用型</v>
          </cell>
          <cell r="AT151" t="str">
            <v>余裕活用型</v>
          </cell>
          <cell r="AU151" t="str">
            <v>余裕活用型</v>
          </cell>
          <cell r="AV151" t="str">
            <v>余裕活用型</v>
          </cell>
          <cell r="AW151" t="str">
            <v>余裕活用型</v>
          </cell>
          <cell r="AX151" t="str">
            <v>余裕活用型</v>
          </cell>
          <cell r="AY151" t="str">
            <v>余裕活用型</v>
          </cell>
          <cell r="AZ151" t="str">
            <v>余裕活用型</v>
          </cell>
          <cell r="BA151" t="str">
            <v>-</v>
          </cell>
          <cell r="BB151" t="str">
            <v>-</v>
          </cell>
          <cell r="BC151" t="str">
            <v>-</v>
          </cell>
          <cell r="BD151" t="str">
            <v>-</v>
          </cell>
          <cell r="BE151" t="str">
            <v>-</v>
          </cell>
          <cell r="BF151" t="str">
            <v>-</v>
          </cell>
          <cell r="BG151" t="str">
            <v>-</v>
          </cell>
          <cell r="BH151" t="str">
            <v>-</v>
          </cell>
          <cell r="BI151" t="str">
            <v>-</v>
          </cell>
          <cell r="BJ151" t="str">
            <v>-</v>
          </cell>
          <cell r="BK151" t="str">
            <v>-</v>
          </cell>
          <cell r="BL151" t="str">
            <v>-</v>
          </cell>
          <cell r="CW151" t="str">
            <v>無</v>
          </cell>
          <cell r="CX151">
            <v>0</v>
          </cell>
          <cell r="CY151" t="str">
            <v>有</v>
          </cell>
          <cell r="CZ151" t="str">
            <v>有</v>
          </cell>
          <cell r="DA151" t="str">
            <v>有</v>
          </cell>
          <cell r="DB151" t="str">
            <v>有</v>
          </cell>
          <cell r="DC151" t="str">
            <v>有</v>
          </cell>
          <cell r="DD151" t="str">
            <v>有</v>
          </cell>
          <cell r="DE151" t="str">
            <v>有</v>
          </cell>
          <cell r="DF151" t="str">
            <v>有</v>
          </cell>
          <cell r="DG151" t="str">
            <v>有</v>
          </cell>
          <cell r="DH151" t="str">
            <v>有</v>
          </cell>
          <cell r="DI151" t="str">
            <v>有</v>
          </cell>
          <cell r="DJ151" t="str">
            <v>有</v>
          </cell>
          <cell r="DK151" t="str">
            <v>-</v>
          </cell>
          <cell r="DL151" t="str">
            <v>-</v>
          </cell>
          <cell r="DM151" t="str">
            <v>-</v>
          </cell>
          <cell r="DN151" t="str">
            <v>-</v>
          </cell>
          <cell r="DO151" t="str">
            <v>-</v>
          </cell>
          <cell r="DP151" t="str">
            <v>-</v>
          </cell>
          <cell r="DQ151" t="str">
            <v>-</v>
          </cell>
          <cell r="DR151" t="str">
            <v>-</v>
          </cell>
          <cell r="DS151" t="str">
            <v>-</v>
          </cell>
          <cell r="DT151" t="str">
            <v>-</v>
          </cell>
          <cell r="DU151" t="str">
            <v>-</v>
          </cell>
          <cell r="DV151" t="str">
            <v>-</v>
          </cell>
          <cell r="DW151" t="str">
            <v>有</v>
          </cell>
          <cell r="DX151" t="str">
            <v>有</v>
          </cell>
          <cell r="DY151" t="str">
            <v>有</v>
          </cell>
          <cell r="DZ151" t="str">
            <v>有</v>
          </cell>
          <cell r="EA151" t="str">
            <v>有</v>
          </cell>
          <cell r="EB151" t="str">
            <v>有</v>
          </cell>
          <cell r="EC151" t="str">
            <v>有</v>
          </cell>
          <cell r="ED151" t="str">
            <v>有</v>
          </cell>
          <cell r="EE151" t="str">
            <v>有</v>
          </cell>
          <cell r="EF151" t="str">
            <v>有</v>
          </cell>
          <cell r="EG151" t="str">
            <v>有</v>
          </cell>
          <cell r="EH151" t="str">
            <v>有</v>
          </cell>
          <cell r="EI151" t="str">
            <v>兼務</v>
          </cell>
          <cell r="EJ151" t="str">
            <v>兼務</v>
          </cell>
          <cell r="EK151" t="str">
            <v>兼務</v>
          </cell>
          <cell r="EL151" t="str">
            <v>兼務</v>
          </cell>
          <cell r="EM151" t="str">
            <v>兼務</v>
          </cell>
          <cell r="EN151" t="str">
            <v>兼務</v>
          </cell>
          <cell r="EO151" t="str">
            <v>兼務</v>
          </cell>
          <cell r="EP151" t="str">
            <v>兼務</v>
          </cell>
          <cell r="EQ151" t="str">
            <v>兼務</v>
          </cell>
          <cell r="ER151" t="str">
            <v>兼務</v>
          </cell>
          <cell r="ES151" t="str">
            <v>兼務</v>
          </cell>
          <cell r="ET151" t="str">
            <v>兼務</v>
          </cell>
          <cell r="EU151" t="str">
            <v/>
          </cell>
          <cell r="EV151" t="str">
            <v/>
          </cell>
          <cell r="EW151" t="str">
            <v/>
          </cell>
          <cell r="EX151" t="str">
            <v/>
          </cell>
          <cell r="EY151" t="str">
            <v/>
          </cell>
          <cell r="EZ151" t="str">
            <v/>
          </cell>
          <cell r="FA151" t="str">
            <v/>
          </cell>
          <cell r="FB151" t="str">
            <v/>
          </cell>
          <cell r="FC151" t="str">
            <v/>
          </cell>
          <cell r="FD151" t="str">
            <v/>
          </cell>
          <cell r="FE151" t="str">
            <v/>
          </cell>
          <cell r="FF151" t="str">
            <v/>
          </cell>
        </row>
        <row r="152">
          <cell r="C152">
            <v>148</v>
          </cell>
          <cell r="D152" t="str">
            <v>そがチャイルドハウス保育園</v>
          </cell>
          <cell r="E152" t="str">
            <v>無</v>
          </cell>
          <cell r="F152">
            <v>40</v>
          </cell>
          <cell r="H152">
            <v>21</v>
          </cell>
          <cell r="I152">
            <v>19</v>
          </cell>
          <cell r="O152">
            <v>1189000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1189000</v>
          </cell>
          <cell r="AD152">
            <v>0</v>
          </cell>
          <cell r="AE152">
            <v>0</v>
          </cell>
          <cell r="AF152">
            <v>0</v>
          </cell>
          <cell r="AG152">
            <v>0</v>
          </cell>
          <cell r="AH152">
            <v>0</v>
          </cell>
          <cell r="AI152">
            <v>0</v>
          </cell>
          <cell r="AJ152" t="str">
            <v>令和3年4月1日</v>
          </cell>
          <cell r="AL152" t="str">
            <v>令和3年10月29日交付</v>
          </cell>
          <cell r="AM152" t="str">
            <v>4号の62</v>
          </cell>
          <cell r="AN152" t="str">
            <v>有</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S152">
            <v>1</v>
          </cell>
          <cell r="BT152">
            <v>1</v>
          </cell>
          <cell r="BU152">
            <v>1</v>
          </cell>
          <cell r="BV152">
            <v>1</v>
          </cell>
          <cell r="BW152">
            <v>1</v>
          </cell>
          <cell r="BX152">
            <v>1</v>
          </cell>
          <cell r="CQ152">
            <v>0</v>
          </cell>
          <cell r="CR152">
            <v>0</v>
          </cell>
          <cell r="CS152">
            <v>0</v>
          </cell>
          <cell r="CT152">
            <v>0</v>
          </cell>
          <cell r="CU152">
            <v>0</v>
          </cell>
          <cell r="CV152">
            <v>0</v>
          </cell>
          <cell r="CW152" t="str">
            <v>無</v>
          </cell>
          <cell r="CX152">
            <v>0</v>
          </cell>
          <cell r="CY152" t="str">
            <v>有</v>
          </cell>
          <cell r="CZ152" t="str">
            <v>有</v>
          </cell>
          <cell r="DA152" t="str">
            <v>有</v>
          </cell>
          <cell r="DB152" t="str">
            <v>有</v>
          </cell>
          <cell r="DC152" t="str">
            <v>有</v>
          </cell>
          <cell r="DD152" t="str">
            <v>有</v>
          </cell>
          <cell r="DE152" t="str">
            <v>有</v>
          </cell>
          <cell r="DF152" t="str">
            <v>有</v>
          </cell>
          <cell r="DG152" t="str">
            <v>有</v>
          </cell>
          <cell r="DH152" t="str">
            <v>有</v>
          </cell>
          <cell r="DI152" t="str">
            <v>有</v>
          </cell>
          <cell r="DJ152" t="str">
            <v>有</v>
          </cell>
          <cell r="DK152" t="str">
            <v>-</v>
          </cell>
          <cell r="DL152" t="str">
            <v>-</v>
          </cell>
          <cell r="DM152" t="str">
            <v>-</v>
          </cell>
          <cell r="DN152" t="str">
            <v>-</v>
          </cell>
          <cell r="DO152" t="str">
            <v>-</v>
          </cell>
          <cell r="DP152" t="str">
            <v>-</v>
          </cell>
          <cell r="DQ152" t="str">
            <v>-</v>
          </cell>
          <cell r="DR152" t="str">
            <v>-</v>
          </cell>
          <cell r="DS152" t="str">
            <v>-</v>
          </cell>
          <cell r="DT152" t="str">
            <v>-</v>
          </cell>
          <cell r="DU152" t="str">
            <v>-</v>
          </cell>
          <cell r="DV152" t="str">
            <v>-</v>
          </cell>
          <cell r="DW152" t="str">
            <v>有</v>
          </cell>
          <cell r="DX152" t="str">
            <v>有</v>
          </cell>
          <cell r="DY152" t="str">
            <v>有</v>
          </cell>
          <cell r="DZ152" t="str">
            <v>有</v>
          </cell>
          <cell r="EA152" t="str">
            <v>有</v>
          </cell>
          <cell r="EB152" t="str">
            <v>有</v>
          </cell>
          <cell r="EC152" t="str">
            <v>有</v>
          </cell>
          <cell r="ED152" t="str">
            <v>有</v>
          </cell>
          <cell r="EE152" t="str">
            <v>有</v>
          </cell>
          <cell r="EF152" t="str">
            <v>有</v>
          </cell>
          <cell r="EG152" t="str">
            <v>有</v>
          </cell>
          <cell r="EH152" t="str">
            <v>有</v>
          </cell>
          <cell r="EI152" t="str">
            <v>配置</v>
          </cell>
          <cell r="EJ152" t="str">
            <v>配置</v>
          </cell>
          <cell r="EK152" t="str">
            <v>配置</v>
          </cell>
          <cell r="EL152" t="str">
            <v>配置</v>
          </cell>
          <cell r="EM152" t="str">
            <v>配置</v>
          </cell>
          <cell r="EN152" t="str">
            <v>配置</v>
          </cell>
          <cell r="EO152" t="str">
            <v>配置</v>
          </cell>
          <cell r="EP152" t="str">
            <v>配置</v>
          </cell>
          <cell r="EQ152" t="str">
            <v>配置</v>
          </cell>
          <cell r="ER152" t="str">
            <v>配置</v>
          </cell>
          <cell r="ES152" t="str">
            <v>配置</v>
          </cell>
          <cell r="ET152" t="str">
            <v>配置</v>
          </cell>
          <cell r="EU152">
            <v>76960</v>
          </cell>
          <cell r="EV152">
            <v>76960</v>
          </cell>
          <cell r="EW152">
            <v>76960</v>
          </cell>
          <cell r="EX152">
            <v>76960</v>
          </cell>
          <cell r="EY152">
            <v>76960</v>
          </cell>
          <cell r="EZ152">
            <v>76960</v>
          </cell>
          <cell r="FA152">
            <v>76960</v>
          </cell>
          <cell r="FB152">
            <v>76960</v>
          </cell>
          <cell r="FC152">
            <v>76960</v>
          </cell>
          <cell r="FD152">
            <v>76960</v>
          </cell>
          <cell r="FE152">
            <v>76960</v>
          </cell>
          <cell r="FF152">
            <v>76960</v>
          </cell>
        </row>
        <row r="153">
          <cell r="C153">
            <v>149</v>
          </cell>
          <cell r="D153" t="str">
            <v>オンジュ ソリール保育園　
そが駅前園</v>
          </cell>
          <cell r="E153" t="str">
            <v>無</v>
          </cell>
          <cell r="F153">
            <v>58</v>
          </cell>
          <cell r="H153">
            <v>33</v>
          </cell>
          <cell r="I153">
            <v>25</v>
          </cell>
          <cell r="O153">
            <v>1189000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t="str">
            <v>令和3年4月1日</v>
          </cell>
          <cell r="AM153" t="str">
            <v>4号の63</v>
          </cell>
          <cell r="AN153" t="str">
            <v>有</v>
          </cell>
          <cell r="AO153" t="str">
            <v>余裕活用型</v>
          </cell>
          <cell r="AP153" t="str">
            <v>余裕活用型</v>
          </cell>
          <cell r="AQ153" t="str">
            <v>余裕活用型</v>
          </cell>
          <cell r="AR153" t="str">
            <v>余裕活用型</v>
          </cell>
          <cell r="AS153" t="str">
            <v>余裕活用型</v>
          </cell>
          <cell r="AT153" t="str">
            <v>余裕活用型</v>
          </cell>
          <cell r="AU153" t="str">
            <v>余裕活用型</v>
          </cell>
          <cell r="AV153" t="str">
            <v>余裕活用型</v>
          </cell>
          <cell r="AW153" t="str">
            <v>余裕活用型</v>
          </cell>
          <cell r="AX153" t="str">
            <v>余裕活用型</v>
          </cell>
          <cell r="AY153" t="str">
            <v>余裕活用型</v>
          </cell>
          <cell r="AZ153" t="str">
            <v>余裕活用型</v>
          </cell>
          <cell r="BA153" t="str">
            <v>-</v>
          </cell>
          <cell r="BB153" t="str">
            <v>-</v>
          </cell>
          <cell r="BC153" t="str">
            <v>-</v>
          </cell>
          <cell r="BD153" t="str">
            <v>-</v>
          </cell>
          <cell r="BE153" t="str">
            <v>-</v>
          </cell>
          <cell r="BF153" t="str">
            <v>-</v>
          </cell>
          <cell r="BG153" t="str">
            <v>-</v>
          </cell>
          <cell r="BH153" t="str">
            <v>-</v>
          </cell>
          <cell r="BI153" t="str">
            <v>-</v>
          </cell>
          <cell r="BJ153" t="str">
            <v>-</v>
          </cell>
          <cell r="BK153" t="str">
            <v>-</v>
          </cell>
          <cell r="BL153" t="str">
            <v>-</v>
          </cell>
          <cell r="BM153">
            <v>1</v>
          </cell>
          <cell r="BN153">
            <v>1</v>
          </cell>
          <cell r="BO153">
            <v>1</v>
          </cell>
          <cell r="BP153">
            <v>1</v>
          </cell>
          <cell r="BQ153">
            <v>1</v>
          </cell>
          <cell r="BR153">
            <v>1</v>
          </cell>
          <cell r="BS153">
            <v>1</v>
          </cell>
          <cell r="BT153">
            <v>1</v>
          </cell>
          <cell r="BU153">
            <v>1</v>
          </cell>
          <cell r="BV153">
            <v>1</v>
          </cell>
          <cell r="BW153">
            <v>1</v>
          </cell>
          <cell r="BX153">
            <v>1</v>
          </cell>
          <cell r="CK153">
            <v>0</v>
          </cell>
          <cell r="CL153">
            <v>0</v>
          </cell>
          <cell r="CM153">
            <v>0</v>
          </cell>
          <cell r="CN153">
            <v>0</v>
          </cell>
          <cell r="CO153">
            <v>0</v>
          </cell>
          <cell r="CP153">
            <v>0</v>
          </cell>
          <cell r="CQ153">
            <v>0</v>
          </cell>
          <cell r="CR153">
            <v>0</v>
          </cell>
          <cell r="CS153">
            <v>0</v>
          </cell>
          <cell r="CT153">
            <v>0</v>
          </cell>
          <cell r="CU153">
            <v>0</v>
          </cell>
          <cell r="CV153">
            <v>0</v>
          </cell>
          <cell r="CW153" t="str">
            <v>無</v>
          </cell>
          <cell r="CX153">
            <v>0</v>
          </cell>
          <cell r="CY153" t="str">
            <v>有</v>
          </cell>
          <cell r="CZ153" t="str">
            <v>有</v>
          </cell>
          <cell r="DA153" t="str">
            <v>有</v>
          </cell>
          <cell r="DB153" t="str">
            <v>有</v>
          </cell>
          <cell r="DC153" t="str">
            <v>有</v>
          </cell>
          <cell r="DD153" t="str">
            <v>有</v>
          </cell>
          <cell r="DE153" t="str">
            <v>有</v>
          </cell>
          <cell r="DF153" t="str">
            <v>有</v>
          </cell>
          <cell r="DG153" t="str">
            <v>有</v>
          </cell>
          <cell r="DH153" t="str">
            <v>有</v>
          </cell>
          <cell r="DI153" t="str">
            <v>有</v>
          </cell>
          <cell r="DJ153" t="str">
            <v>有</v>
          </cell>
          <cell r="DK153" t="str">
            <v>-</v>
          </cell>
          <cell r="DL153" t="str">
            <v>-</v>
          </cell>
          <cell r="DM153" t="str">
            <v>-</v>
          </cell>
          <cell r="DN153" t="str">
            <v>-</v>
          </cell>
          <cell r="DO153" t="str">
            <v>-</v>
          </cell>
          <cell r="DP153" t="str">
            <v>-</v>
          </cell>
          <cell r="DQ153" t="str">
            <v>-</v>
          </cell>
          <cell r="DR153" t="str">
            <v>-</v>
          </cell>
          <cell r="DS153" t="str">
            <v>-</v>
          </cell>
          <cell r="DT153" t="str">
            <v>-</v>
          </cell>
          <cell r="DU153" t="str">
            <v>-</v>
          </cell>
          <cell r="DV153" t="str">
            <v>-</v>
          </cell>
          <cell r="DW153" t="str">
            <v>有</v>
          </cell>
          <cell r="DX153" t="str">
            <v>有</v>
          </cell>
          <cell r="DY153" t="str">
            <v>有</v>
          </cell>
          <cell r="DZ153" t="str">
            <v>有</v>
          </cell>
          <cell r="EA153" t="str">
            <v>有</v>
          </cell>
          <cell r="EB153" t="str">
            <v>有</v>
          </cell>
          <cell r="EC153" t="str">
            <v>有</v>
          </cell>
          <cell r="ED153" t="str">
            <v>有</v>
          </cell>
          <cell r="EE153" t="str">
            <v>有</v>
          </cell>
          <cell r="EF153" t="str">
            <v>有</v>
          </cell>
          <cell r="EG153" t="str">
            <v>有</v>
          </cell>
          <cell r="EH153" t="str">
            <v>有</v>
          </cell>
          <cell r="EI153" t="str">
            <v>配置</v>
          </cell>
          <cell r="EJ153" t="str">
            <v>配置</v>
          </cell>
          <cell r="EK153" t="str">
            <v>配置</v>
          </cell>
          <cell r="EL153" t="str">
            <v>配置</v>
          </cell>
          <cell r="EM153" t="str">
            <v>配置</v>
          </cell>
          <cell r="EN153" t="str">
            <v>配置</v>
          </cell>
          <cell r="EO153" t="str">
            <v>配置</v>
          </cell>
          <cell r="EP153" t="str">
            <v>配置</v>
          </cell>
          <cell r="EQ153" t="str">
            <v>配置</v>
          </cell>
          <cell r="ER153" t="str">
            <v>配置</v>
          </cell>
          <cell r="ES153" t="str">
            <v>配置</v>
          </cell>
          <cell r="ET153" t="str">
            <v>配置</v>
          </cell>
          <cell r="EU153">
            <v>76960</v>
          </cell>
          <cell r="EV153">
            <v>76960</v>
          </cell>
          <cell r="EW153">
            <v>76960</v>
          </cell>
          <cell r="EX153">
            <v>76960</v>
          </cell>
          <cell r="EY153">
            <v>76960</v>
          </cell>
          <cell r="EZ153">
            <v>76960</v>
          </cell>
          <cell r="FA153">
            <v>76960</v>
          </cell>
          <cell r="FB153">
            <v>76960</v>
          </cell>
          <cell r="FC153">
            <v>76960</v>
          </cell>
          <cell r="FD153">
            <v>76960</v>
          </cell>
          <cell r="FE153">
            <v>76960</v>
          </cell>
          <cell r="FF153">
            <v>76960</v>
          </cell>
        </row>
        <row r="154">
          <cell r="C154">
            <v>150</v>
          </cell>
          <cell r="D154" t="str">
            <v>松波アーク保育園</v>
          </cell>
          <cell r="E154" t="str">
            <v>有</v>
          </cell>
          <cell r="F154">
            <v>20</v>
          </cell>
          <cell r="H154">
            <v>20</v>
          </cell>
          <cell r="I154">
            <v>0</v>
          </cell>
          <cell r="J154">
            <v>13</v>
          </cell>
          <cell r="L154">
            <v>0</v>
          </cell>
          <cell r="M154">
            <v>13</v>
          </cell>
          <cell r="O154">
            <v>1189000</v>
          </cell>
          <cell r="P154">
            <v>2627000</v>
          </cell>
          <cell r="Q154">
            <v>0</v>
          </cell>
          <cell r="R154">
            <v>0</v>
          </cell>
          <cell r="S154">
            <v>0</v>
          </cell>
          <cell r="T154">
            <v>0</v>
          </cell>
          <cell r="U154">
            <v>0</v>
          </cell>
          <cell r="V154">
            <v>792000</v>
          </cell>
          <cell r="W154">
            <v>1751000</v>
          </cell>
          <cell r="X154">
            <v>0</v>
          </cell>
          <cell r="Y154">
            <v>0</v>
          </cell>
          <cell r="Z154">
            <v>0</v>
          </cell>
          <cell r="AA154">
            <v>0</v>
          </cell>
          <cell r="AB154">
            <v>0</v>
          </cell>
          <cell r="AC154">
            <v>0</v>
          </cell>
          <cell r="AD154">
            <v>0</v>
          </cell>
          <cell r="AE154">
            <v>0</v>
          </cell>
          <cell r="AF154">
            <v>0</v>
          </cell>
          <cell r="AG154">
            <v>0</v>
          </cell>
          <cell r="AH154">
            <v>0</v>
          </cell>
          <cell r="AI154">
            <v>0</v>
          </cell>
          <cell r="AJ154" t="str">
            <v>令和3年4月1日</v>
          </cell>
          <cell r="AK154" t="str">
            <v>令和3年5月31日交付</v>
          </cell>
          <cell r="AM154" t="str">
            <v>4号の64</v>
          </cell>
          <cell r="AN154" t="str">
            <v>有</v>
          </cell>
          <cell r="AO154" t="str">
            <v>余裕活用型</v>
          </cell>
          <cell r="AP154" t="str">
            <v>余裕活用型</v>
          </cell>
          <cell r="AQ154" t="str">
            <v>余裕活用型</v>
          </cell>
          <cell r="AR154" t="str">
            <v>余裕活用型</v>
          </cell>
          <cell r="AS154" t="str">
            <v>余裕活用型</v>
          </cell>
          <cell r="AT154" t="str">
            <v>余裕活用型</v>
          </cell>
          <cell r="AU154" t="str">
            <v>余裕活用型</v>
          </cell>
          <cell r="AV154" t="str">
            <v>余裕活用型</v>
          </cell>
          <cell r="AW154" t="str">
            <v>余裕活用型</v>
          </cell>
          <cell r="AX154" t="str">
            <v>余裕活用型</v>
          </cell>
          <cell r="AY154" t="str">
            <v>余裕活用型</v>
          </cell>
          <cell r="AZ154" t="str">
            <v>余裕活用型</v>
          </cell>
          <cell r="BA154" t="str">
            <v>-</v>
          </cell>
          <cell r="BB154" t="str">
            <v>-</v>
          </cell>
          <cell r="BC154" t="str">
            <v>-</v>
          </cell>
          <cell r="BD154" t="str">
            <v>-</v>
          </cell>
          <cell r="BE154" t="str">
            <v>-</v>
          </cell>
          <cell r="BF154" t="str">
            <v>-</v>
          </cell>
          <cell r="BG154" t="str">
            <v>-</v>
          </cell>
          <cell r="BH154" t="str">
            <v>-</v>
          </cell>
          <cell r="BI154" t="str">
            <v>-</v>
          </cell>
          <cell r="BJ154" t="str">
            <v>-</v>
          </cell>
          <cell r="BK154" t="str">
            <v>-</v>
          </cell>
          <cell r="BL154" t="str">
            <v>-</v>
          </cell>
          <cell r="BR154">
            <v>1</v>
          </cell>
          <cell r="BS154">
            <v>1</v>
          </cell>
          <cell r="BT154">
            <v>1</v>
          </cell>
          <cell r="BU154">
            <v>1</v>
          </cell>
          <cell r="BV154">
            <v>1</v>
          </cell>
          <cell r="BW154">
            <v>1</v>
          </cell>
          <cell r="BX154">
            <v>1</v>
          </cell>
          <cell r="CP154">
            <v>0</v>
          </cell>
          <cell r="CQ154">
            <v>0</v>
          </cell>
          <cell r="CR154">
            <v>0</v>
          </cell>
          <cell r="CS154">
            <v>0</v>
          </cell>
          <cell r="CT154">
            <v>0</v>
          </cell>
          <cell r="CU154">
            <v>0</v>
          </cell>
          <cell r="CV154">
            <v>0</v>
          </cell>
          <cell r="CW154" t="str">
            <v>無</v>
          </cell>
          <cell r="CX154">
            <v>1</v>
          </cell>
          <cell r="CY154" t="str">
            <v>無</v>
          </cell>
          <cell r="CZ154" t="str">
            <v>無</v>
          </cell>
          <cell r="DA154" t="str">
            <v>無</v>
          </cell>
          <cell r="DB154" t="str">
            <v>無</v>
          </cell>
          <cell r="DC154" t="str">
            <v>無</v>
          </cell>
          <cell r="DD154" t="str">
            <v>無</v>
          </cell>
          <cell r="DE154" t="str">
            <v>無</v>
          </cell>
          <cell r="DF154" t="str">
            <v>無</v>
          </cell>
          <cell r="DG154" t="str">
            <v>無</v>
          </cell>
          <cell r="DH154" t="str">
            <v>無</v>
          </cell>
          <cell r="DI154" t="str">
            <v>無</v>
          </cell>
          <cell r="DJ154" t="str">
            <v>無</v>
          </cell>
          <cell r="DK154" t="str">
            <v>-</v>
          </cell>
          <cell r="DL154" t="str">
            <v>-</v>
          </cell>
          <cell r="DM154" t="str">
            <v>-</v>
          </cell>
          <cell r="DN154" t="str">
            <v>-</v>
          </cell>
          <cell r="DO154" t="str">
            <v>-</v>
          </cell>
          <cell r="DP154" t="str">
            <v>-</v>
          </cell>
          <cell r="DQ154" t="str">
            <v>-</v>
          </cell>
          <cell r="DR154" t="str">
            <v>-</v>
          </cell>
          <cell r="DS154" t="str">
            <v>-</v>
          </cell>
          <cell r="DT154" t="str">
            <v>-</v>
          </cell>
          <cell r="DU154" t="str">
            <v>-</v>
          </cell>
          <cell r="DV154" t="str">
            <v>-</v>
          </cell>
          <cell r="DW154" t="str">
            <v>有</v>
          </cell>
          <cell r="DX154" t="str">
            <v>有</v>
          </cell>
          <cell r="DY154" t="str">
            <v>有</v>
          </cell>
          <cell r="DZ154" t="str">
            <v>有</v>
          </cell>
          <cell r="EA154" t="str">
            <v>有</v>
          </cell>
          <cell r="EB154" t="str">
            <v>有</v>
          </cell>
          <cell r="EC154" t="str">
            <v>有</v>
          </cell>
          <cell r="ED154" t="str">
            <v>有</v>
          </cell>
          <cell r="EE154" t="str">
            <v>有</v>
          </cell>
          <cell r="EF154" t="str">
            <v>有</v>
          </cell>
          <cell r="EG154" t="str">
            <v>有</v>
          </cell>
          <cell r="EH154" t="str">
            <v>有</v>
          </cell>
          <cell r="EI154" t="str">
            <v>配置</v>
          </cell>
          <cell r="EJ154" t="str">
            <v>配置</v>
          </cell>
          <cell r="EK154" t="str">
            <v>配置</v>
          </cell>
          <cell r="EL154" t="str">
            <v>配置</v>
          </cell>
          <cell r="EM154" t="str">
            <v>配置</v>
          </cell>
          <cell r="EN154" t="str">
            <v>配置</v>
          </cell>
          <cell r="EO154" t="str">
            <v>配置</v>
          </cell>
          <cell r="EP154" t="str">
            <v>配置</v>
          </cell>
          <cell r="EQ154" t="str">
            <v>配置</v>
          </cell>
          <cell r="ER154" t="str">
            <v>配置</v>
          </cell>
          <cell r="ES154" t="str">
            <v>配置</v>
          </cell>
          <cell r="ET154" t="str">
            <v>配置</v>
          </cell>
          <cell r="EU154">
            <v>76960</v>
          </cell>
          <cell r="EV154">
            <v>76960</v>
          </cell>
          <cell r="EW154">
            <v>76960</v>
          </cell>
          <cell r="EX154">
            <v>76960</v>
          </cell>
          <cell r="EY154">
            <v>76960</v>
          </cell>
          <cell r="EZ154">
            <v>76960</v>
          </cell>
          <cell r="FA154">
            <v>76960</v>
          </cell>
          <cell r="FB154">
            <v>76960</v>
          </cell>
          <cell r="FC154">
            <v>76960</v>
          </cell>
          <cell r="FD154">
            <v>76960</v>
          </cell>
          <cell r="FE154">
            <v>76960</v>
          </cell>
          <cell r="FF154">
            <v>76960</v>
          </cell>
        </row>
        <row r="155">
          <cell r="C155">
            <v>151</v>
          </cell>
          <cell r="D155" t="str">
            <v>つぼみ保育園</v>
          </cell>
          <cell r="E155" t="str">
            <v>有</v>
          </cell>
          <cell r="F155">
            <v>20</v>
          </cell>
          <cell r="H155">
            <v>20</v>
          </cell>
          <cell r="I155">
            <v>0</v>
          </cell>
          <cell r="J155">
            <v>18</v>
          </cell>
          <cell r="L155">
            <v>0</v>
          </cell>
          <cell r="M155">
            <v>18</v>
          </cell>
          <cell r="O155">
            <v>1189000</v>
          </cell>
          <cell r="P155">
            <v>2627000</v>
          </cell>
          <cell r="Q155">
            <v>0</v>
          </cell>
          <cell r="R155">
            <v>1631000</v>
          </cell>
          <cell r="S155">
            <v>1631000</v>
          </cell>
          <cell r="T155">
            <v>0</v>
          </cell>
          <cell r="U155">
            <v>0</v>
          </cell>
          <cell r="V155">
            <v>792000</v>
          </cell>
          <cell r="W155">
            <v>1751000</v>
          </cell>
          <cell r="X155">
            <v>0</v>
          </cell>
          <cell r="Y155">
            <v>1087000</v>
          </cell>
          <cell r="Z155">
            <v>1087000</v>
          </cell>
          <cell r="AA155">
            <v>0</v>
          </cell>
          <cell r="AB155">
            <v>0</v>
          </cell>
          <cell r="AC155">
            <v>0</v>
          </cell>
          <cell r="AD155">
            <v>0</v>
          </cell>
          <cell r="AE155">
            <v>0</v>
          </cell>
          <cell r="AF155">
            <v>0</v>
          </cell>
          <cell r="AG155">
            <v>0</v>
          </cell>
          <cell r="AH155">
            <v>0</v>
          </cell>
          <cell r="AI155">
            <v>0</v>
          </cell>
          <cell r="AJ155" t="str">
            <v>令和3年4月1日</v>
          </cell>
          <cell r="AK155" t="str">
            <v>令和3年5月31日交付</v>
          </cell>
          <cell r="AM155" t="str">
            <v>4号の65</v>
          </cell>
          <cell r="AN155" t="str">
            <v>有</v>
          </cell>
          <cell r="AO155" t="str">
            <v>-</v>
          </cell>
          <cell r="AP155" t="str">
            <v>-</v>
          </cell>
          <cell r="AQ155" t="str">
            <v>-</v>
          </cell>
          <cell r="AR155" t="str">
            <v>-</v>
          </cell>
          <cell r="AS155" t="str">
            <v>-</v>
          </cell>
          <cell r="AT155" t="str">
            <v>-</v>
          </cell>
          <cell r="AU155" t="str">
            <v>-</v>
          </cell>
          <cell r="AV155" t="str">
            <v>-</v>
          </cell>
          <cell r="AW155" t="str">
            <v>-</v>
          </cell>
          <cell r="AX155" t="str">
            <v>-</v>
          </cell>
          <cell r="AY155" t="str">
            <v>-</v>
          </cell>
          <cell r="AZ155" t="str">
            <v>-</v>
          </cell>
          <cell r="BA155" t="str">
            <v>-</v>
          </cell>
          <cell r="BB155" t="str">
            <v>-</v>
          </cell>
          <cell r="BC155" t="str">
            <v>-</v>
          </cell>
          <cell r="BD155" t="str">
            <v>-</v>
          </cell>
          <cell r="BE155" t="str">
            <v>-</v>
          </cell>
          <cell r="BF155" t="str">
            <v>-</v>
          </cell>
          <cell r="BG155" t="str">
            <v>-</v>
          </cell>
          <cell r="BH155" t="str">
            <v>-</v>
          </cell>
          <cell r="BI155" t="str">
            <v>-</v>
          </cell>
          <cell r="BJ155" t="str">
            <v>-</v>
          </cell>
          <cell r="BK155" t="str">
            <v>-</v>
          </cell>
          <cell r="BL155" t="str">
            <v>-</v>
          </cell>
          <cell r="CW155" t="str">
            <v>無</v>
          </cell>
          <cell r="CX155">
            <v>0</v>
          </cell>
          <cell r="CY155" t="str">
            <v>無</v>
          </cell>
          <cell r="CZ155" t="str">
            <v>無</v>
          </cell>
          <cell r="DA155" t="str">
            <v>無</v>
          </cell>
          <cell r="DB155" t="str">
            <v>無</v>
          </cell>
          <cell r="DC155" t="str">
            <v>無</v>
          </cell>
          <cell r="DD155" t="str">
            <v>無</v>
          </cell>
          <cell r="DE155" t="str">
            <v>無</v>
          </cell>
          <cell r="DF155" t="str">
            <v>無</v>
          </cell>
          <cell r="DG155" t="str">
            <v>無</v>
          </cell>
          <cell r="DH155" t="str">
            <v>無</v>
          </cell>
          <cell r="DI155" t="str">
            <v>無</v>
          </cell>
          <cell r="DJ155" t="str">
            <v>無</v>
          </cell>
          <cell r="DK155" t="str">
            <v>-</v>
          </cell>
          <cell r="DL155" t="str">
            <v>-</v>
          </cell>
          <cell r="DM155" t="str">
            <v>-</v>
          </cell>
          <cell r="DN155" t="str">
            <v>-</v>
          </cell>
          <cell r="DO155" t="str">
            <v>-</v>
          </cell>
          <cell r="DP155" t="str">
            <v>-</v>
          </cell>
          <cell r="DQ155" t="str">
            <v>-</v>
          </cell>
          <cell r="DR155" t="str">
            <v>-</v>
          </cell>
          <cell r="DS155" t="str">
            <v>-</v>
          </cell>
          <cell r="DT155" t="str">
            <v>-</v>
          </cell>
          <cell r="DU155" t="str">
            <v>-</v>
          </cell>
          <cell r="DV155" t="str">
            <v>-</v>
          </cell>
          <cell r="DW155" t="str">
            <v>有</v>
          </cell>
          <cell r="DX155" t="str">
            <v>有</v>
          </cell>
          <cell r="DY155" t="str">
            <v>有</v>
          </cell>
          <cell r="DZ155" t="str">
            <v>有</v>
          </cell>
          <cell r="EA155" t="str">
            <v>有</v>
          </cell>
          <cell r="EB155" t="str">
            <v>有</v>
          </cell>
          <cell r="EC155" t="str">
            <v>有</v>
          </cell>
          <cell r="ED155" t="str">
            <v>有</v>
          </cell>
          <cell r="EE155" t="str">
            <v>有</v>
          </cell>
          <cell r="EF155" t="str">
            <v>有</v>
          </cell>
          <cell r="EG155" t="str">
            <v>有</v>
          </cell>
          <cell r="EH155" t="str">
            <v>有</v>
          </cell>
          <cell r="EI155" t="str">
            <v>配置</v>
          </cell>
          <cell r="EJ155" t="str">
            <v>配置</v>
          </cell>
          <cell r="EK155" t="str">
            <v>配置</v>
          </cell>
          <cell r="EL155" t="str">
            <v>配置</v>
          </cell>
          <cell r="EM155" t="str">
            <v>配置</v>
          </cell>
          <cell r="EN155" t="str">
            <v>配置</v>
          </cell>
          <cell r="EO155" t="str">
            <v>配置</v>
          </cell>
          <cell r="EP155" t="str">
            <v>配置</v>
          </cell>
          <cell r="EQ155" t="str">
            <v>配置</v>
          </cell>
          <cell r="ER155" t="str">
            <v>配置</v>
          </cell>
          <cell r="ES155" t="str">
            <v>配置</v>
          </cell>
          <cell r="ET155" t="str">
            <v>配置</v>
          </cell>
          <cell r="EU155">
            <v>76960</v>
          </cell>
          <cell r="EV155">
            <v>76960</v>
          </cell>
          <cell r="EW155">
            <v>76960</v>
          </cell>
          <cell r="EX155">
            <v>76960</v>
          </cell>
          <cell r="EY155">
            <v>76960</v>
          </cell>
          <cell r="EZ155">
            <v>76960</v>
          </cell>
          <cell r="FA155">
            <v>76960</v>
          </cell>
          <cell r="FB155">
            <v>76960</v>
          </cell>
          <cell r="FC155">
            <v>76960</v>
          </cell>
          <cell r="FD155">
            <v>76960</v>
          </cell>
          <cell r="FE155">
            <v>76960</v>
          </cell>
          <cell r="FF155">
            <v>76960</v>
          </cell>
        </row>
        <row r="156">
          <cell r="C156">
            <v>152</v>
          </cell>
          <cell r="D156" t="str">
            <v>キッズラボ誉田保育園</v>
          </cell>
          <cell r="E156" t="str">
            <v>無</v>
          </cell>
          <cell r="F156">
            <v>40</v>
          </cell>
          <cell r="H156">
            <v>21</v>
          </cell>
          <cell r="I156">
            <v>19</v>
          </cell>
          <cell r="O156">
            <v>1189000</v>
          </cell>
          <cell r="P156">
            <v>2627000</v>
          </cell>
          <cell r="Q156">
            <v>2627000</v>
          </cell>
          <cell r="R156">
            <v>1028000</v>
          </cell>
          <cell r="S156">
            <v>0</v>
          </cell>
          <cell r="T156">
            <v>1982000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t="str">
            <v>令和3年4月1日</v>
          </cell>
          <cell r="AM156" t="str">
            <v>4号の66</v>
          </cell>
          <cell r="AN156" t="str">
            <v>有</v>
          </cell>
          <cell r="AO156" t="str">
            <v>余裕活用型</v>
          </cell>
          <cell r="AP156" t="str">
            <v>余裕活用型</v>
          </cell>
          <cell r="AQ156" t="str">
            <v>余裕活用型</v>
          </cell>
          <cell r="AR156" t="str">
            <v>余裕活用型</v>
          </cell>
          <cell r="AS156" t="str">
            <v>余裕活用型</v>
          </cell>
          <cell r="AT156" t="str">
            <v>余裕活用型</v>
          </cell>
          <cell r="AU156" t="str">
            <v>余裕活用型</v>
          </cell>
          <cell r="AV156" t="str">
            <v>余裕活用型</v>
          </cell>
          <cell r="AW156" t="str">
            <v>余裕活用型</v>
          </cell>
          <cell r="AX156" t="str">
            <v>余裕活用型</v>
          </cell>
          <cell r="AY156" t="str">
            <v>余裕活用型</v>
          </cell>
          <cell r="AZ156" t="str">
            <v>余裕活用型</v>
          </cell>
          <cell r="BA156" t="str">
            <v>-</v>
          </cell>
          <cell r="BB156" t="str">
            <v>-</v>
          </cell>
          <cell r="BC156" t="str">
            <v>-</v>
          </cell>
          <cell r="BD156" t="str">
            <v>-</v>
          </cell>
          <cell r="BE156" t="str">
            <v>-</v>
          </cell>
          <cell r="BF156" t="str">
            <v>-</v>
          </cell>
          <cell r="BG156" t="str">
            <v>-</v>
          </cell>
          <cell r="BH156" t="str">
            <v>-</v>
          </cell>
          <cell r="BI156" t="str">
            <v>-</v>
          </cell>
          <cell r="BJ156" t="str">
            <v>-</v>
          </cell>
          <cell r="BK156" t="str">
            <v>-</v>
          </cell>
          <cell r="BL156" t="str">
            <v>-</v>
          </cell>
          <cell r="BM156">
            <v>1</v>
          </cell>
          <cell r="BN156">
            <v>1</v>
          </cell>
          <cell r="BO156">
            <v>1</v>
          </cell>
          <cell r="BP156">
            <v>1</v>
          </cell>
          <cell r="BQ156">
            <v>1</v>
          </cell>
          <cell r="BR156">
            <v>1</v>
          </cell>
          <cell r="BS156">
            <v>1</v>
          </cell>
          <cell r="BT156">
            <v>1</v>
          </cell>
          <cell r="BU156">
            <v>1</v>
          </cell>
          <cell r="BV156">
            <v>1</v>
          </cell>
          <cell r="BW156">
            <v>1</v>
          </cell>
          <cell r="BX156">
            <v>1</v>
          </cell>
          <cell r="CK156">
            <v>0</v>
          </cell>
          <cell r="CL156">
            <v>0</v>
          </cell>
          <cell r="CM156">
            <v>0</v>
          </cell>
          <cell r="CN156">
            <v>0</v>
          </cell>
          <cell r="CO156">
            <v>0</v>
          </cell>
          <cell r="CP156">
            <v>0</v>
          </cell>
          <cell r="CQ156">
            <v>0</v>
          </cell>
          <cell r="CR156">
            <v>0</v>
          </cell>
          <cell r="CS156">
            <v>0</v>
          </cell>
          <cell r="CT156">
            <v>0</v>
          </cell>
          <cell r="CU156">
            <v>0</v>
          </cell>
          <cell r="CV156">
            <v>0</v>
          </cell>
          <cell r="CW156" t="str">
            <v>無</v>
          </cell>
          <cell r="CX156">
            <v>0</v>
          </cell>
          <cell r="CY156" t="str">
            <v>有</v>
          </cell>
          <cell r="CZ156" t="str">
            <v>有</v>
          </cell>
          <cell r="DA156" t="str">
            <v>有</v>
          </cell>
          <cell r="DB156" t="str">
            <v>有</v>
          </cell>
          <cell r="DC156" t="str">
            <v>有</v>
          </cell>
          <cell r="DD156" t="str">
            <v>有</v>
          </cell>
          <cell r="DE156" t="str">
            <v>有</v>
          </cell>
          <cell r="DF156" t="str">
            <v>有</v>
          </cell>
          <cell r="DG156" t="str">
            <v>有</v>
          </cell>
          <cell r="DH156" t="str">
            <v>有</v>
          </cell>
          <cell r="DI156" t="str">
            <v>有</v>
          </cell>
          <cell r="DJ156" t="str">
            <v>有</v>
          </cell>
          <cell r="DK156" t="str">
            <v>-</v>
          </cell>
          <cell r="DL156" t="str">
            <v>-</v>
          </cell>
          <cell r="DM156" t="str">
            <v>-</v>
          </cell>
          <cell r="DN156" t="str">
            <v>-</v>
          </cell>
          <cell r="DO156" t="str">
            <v>-</v>
          </cell>
          <cell r="DP156" t="str">
            <v>-</v>
          </cell>
          <cell r="DQ156" t="str">
            <v>-</v>
          </cell>
          <cell r="DR156" t="str">
            <v>-</v>
          </cell>
          <cell r="DS156" t="str">
            <v>-</v>
          </cell>
          <cell r="DT156" t="str">
            <v>-</v>
          </cell>
          <cell r="DU156" t="str">
            <v>-</v>
          </cell>
          <cell r="DV156" t="str">
            <v>-</v>
          </cell>
          <cell r="DW156" t="str">
            <v>有</v>
          </cell>
          <cell r="DX156" t="str">
            <v>有</v>
          </cell>
          <cell r="DY156" t="str">
            <v>有</v>
          </cell>
          <cell r="DZ156" t="str">
            <v>有</v>
          </cell>
          <cell r="EA156" t="str">
            <v>有</v>
          </cell>
          <cell r="EB156" t="str">
            <v>有</v>
          </cell>
          <cell r="EC156" t="str">
            <v>有</v>
          </cell>
          <cell r="ED156" t="str">
            <v>有</v>
          </cell>
          <cell r="EE156" t="str">
            <v>有</v>
          </cell>
          <cell r="EF156" t="str">
            <v>有</v>
          </cell>
          <cell r="EG156" t="str">
            <v>有</v>
          </cell>
          <cell r="EH156" t="str">
            <v>有</v>
          </cell>
          <cell r="EI156" t="str">
            <v>兼務</v>
          </cell>
          <cell r="EJ156" t="str">
            <v>兼務</v>
          </cell>
          <cell r="EK156" t="str">
            <v>兼務</v>
          </cell>
          <cell r="EL156" t="str">
            <v>兼務</v>
          </cell>
          <cell r="EM156" t="str">
            <v>兼務</v>
          </cell>
          <cell r="EN156" t="str">
            <v>兼務</v>
          </cell>
          <cell r="EO156" t="str">
            <v>兼務</v>
          </cell>
          <cell r="EP156" t="str">
            <v>兼務</v>
          </cell>
          <cell r="EQ156" t="str">
            <v>兼務</v>
          </cell>
          <cell r="ER156" t="str">
            <v>兼務</v>
          </cell>
          <cell r="ES156" t="str">
            <v>兼務</v>
          </cell>
          <cell r="ET156" t="str">
            <v>兼務</v>
          </cell>
          <cell r="EU156" t="str">
            <v/>
          </cell>
          <cell r="EV156" t="str">
            <v/>
          </cell>
          <cell r="EW156" t="str">
            <v/>
          </cell>
          <cell r="EX156" t="str">
            <v/>
          </cell>
          <cell r="EY156" t="str">
            <v/>
          </cell>
          <cell r="EZ156" t="str">
            <v/>
          </cell>
          <cell r="FA156" t="str">
            <v/>
          </cell>
          <cell r="FB156" t="str">
            <v/>
          </cell>
          <cell r="FC156" t="str">
            <v/>
          </cell>
          <cell r="FD156" t="str">
            <v/>
          </cell>
          <cell r="FE156" t="str">
            <v/>
          </cell>
          <cell r="FF156" t="str">
            <v/>
          </cell>
        </row>
        <row r="157">
          <cell r="C157">
            <v>153</v>
          </cell>
          <cell r="D157" t="str">
            <v>絵本と太陽の保育園　てぃだまちキッズ検見川浜</v>
          </cell>
          <cell r="E157" t="str">
            <v>無</v>
          </cell>
          <cell r="F157">
            <v>30</v>
          </cell>
          <cell r="H157">
            <v>17</v>
          </cell>
          <cell r="I157">
            <v>13</v>
          </cell>
          <cell r="O157">
            <v>1189000</v>
          </cell>
          <cell r="P157">
            <v>2627000</v>
          </cell>
          <cell r="Q157">
            <v>0</v>
          </cell>
          <cell r="R157">
            <v>1631000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t="str">
            <v>令和3年4月1日</v>
          </cell>
          <cell r="AM157" t="str">
            <v>4号の67</v>
          </cell>
          <cell r="AN157" t="str">
            <v>有</v>
          </cell>
          <cell r="AO157" t="str">
            <v>余裕活用型</v>
          </cell>
          <cell r="AP157" t="str">
            <v>余裕活用型</v>
          </cell>
          <cell r="AQ157" t="str">
            <v>余裕活用型</v>
          </cell>
          <cell r="AR157" t="str">
            <v>余裕活用型</v>
          </cell>
          <cell r="AS157" t="str">
            <v>余裕活用型</v>
          </cell>
          <cell r="AT157" t="str">
            <v>余裕活用型</v>
          </cell>
          <cell r="AU157" t="str">
            <v>余裕活用型</v>
          </cell>
          <cell r="AV157" t="str">
            <v>余裕活用型</v>
          </cell>
          <cell r="AW157" t="str">
            <v>余裕活用型</v>
          </cell>
          <cell r="AX157" t="str">
            <v>余裕活用型</v>
          </cell>
          <cell r="AY157" t="str">
            <v>余裕活用型</v>
          </cell>
          <cell r="AZ157" t="str">
            <v>余裕活用型</v>
          </cell>
          <cell r="BA157" t="str">
            <v>-</v>
          </cell>
          <cell r="BB157" t="str">
            <v>-</v>
          </cell>
          <cell r="BC157" t="str">
            <v>-</v>
          </cell>
          <cell r="BD157" t="str">
            <v>-</v>
          </cell>
          <cell r="BE157" t="str">
            <v>-</v>
          </cell>
          <cell r="BF157" t="str">
            <v>-</v>
          </cell>
          <cell r="BG157" t="str">
            <v>-</v>
          </cell>
          <cell r="BH157" t="str">
            <v>-</v>
          </cell>
          <cell r="BI157" t="str">
            <v>-</v>
          </cell>
          <cell r="BJ157" t="str">
            <v>-</v>
          </cell>
          <cell r="BK157" t="str">
            <v>-</v>
          </cell>
          <cell r="BL157" t="str">
            <v>-</v>
          </cell>
          <cell r="BM157">
            <v>1</v>
          </cell>
          <cell r="BN157">
            <v>1</v>
          </cell>
          <cell r="BO157">
            <v>1</v>
          </cell>
          <cell r="BP157">
            <v>1</v>
          </cell>
          <cell r="BQ157">
            <v>1</v>
          </cell>
          <cell r="BR157">
            <v>1</v>
          </cell>
          <cell r="BS157">
            <v>1</v>
          </cell>
          <cell r="BT157">
            <v>1</v>
          </cell>
          <cell r="BU157">
            <v>1</v>
          </cell>
          <cell r="BV157">
            <v>1</v>
          </cell>
          <cell r="BW157">
            <v>1</v>
          </cell>
          <cell r="BX157">
            <v>1</v>
          </cell>
          <cell r="CK157">
            <v>0</v>
          </cell>
          <cell r="CL157">
            <v>0</v>
          </cell>
          <cell r="CM157">
            <v>0</v>
          </cell>
          <cell r="CN157">
            <v>0</v>
          </cell>
          <cell r="CO157">
            <v>0</v>
          </cell>
          <cell r="CP157">
            <v>0</v>
          </cell>
          <cell r="CQ157">
            <v>0</v>
          </cell>
          <cell r="CR157">
            <v>0</v>
          </cell>
          <cell r="CS157">
            <v>0</v>
          </cell>
          <cell r="CT157">
            <v>0</v>
          </cell>
          <cell r="CU157">
            <v>0</v>
          </cell>
          <cell r="CV157">
            <v>0</v>
          </cell>
          <cell r="CW157" t="str">
            <v>無</v>
          </cell>
          <cell r="CX157">
            <v>0</v>
          </cell>
          <cell r="CY157" t="str">
            <v>有</v>
          </cell>
          <cell r="CZ157" t="str">
            <v>有</v>
          </cell>
          <cell r="DA157" t="str">
            <v>有</v>
          </cell>
          <cell r="DB157" t="str">
            <v>有</v>
          </cell>
          <cell r="DC157" t="str">
            <v>有</v>
          </cell>
          <cell r="DD157" t="str">
            <v>有</v>
          </cell>
          <cell r="DE157" t="str">
            <v>有</v>
          </cell>
          <cell r="DF157" t="str">
            <v>有</v>
          </cell>
          <cell r="DG157" t="str">
            <v>有</v>
          </cell>
          <cell r="DH157" t="str">
            <v>有</v>
          </cell>
          <cell r="DI157" t="str">
            <v>有</v>
          </cell>
          <cell r="DJ157" t="str">
            <v>有</v>
          </cell>
          <cell r="DK157" t="str">
            <v>-</v>
          </cell>
          <cell r="DL157" t="str">
            <v>-</v>
          </cell>
          <cell r="DM157" t="str">
            <v>-</v>
          </cell>
          <cell r="DN157" t="str">
            <v>-</v>
          </cell>
          <cell r="DO157" t="str">
            <v>-</v>
          </cell>
          <cell r="DP157" t="str">
            <v>-</v>
          </cell>
          <cell r="DQ157" t="str">
            <v>-</v>
          </cell>
          <cell r="DR157" t="str">
            <v>-</v>
          </cell>
          <cell r="DS157" t="str">
            <v>-</v>
          </cell>
          <cell r="DT157" t="str">
            <v>-</v>
          </cell>
          <cell r="DU157" t="str">
            <v>-</v>
          </cell>
          <cell r="DV157" t="str">
            <v>-</v>
          </cell>
          <cell r="DW157" t="str">
            <v>有</v>
          </cell>
          <cell r="DX157" t="str">
            <v>有</v>
          </cell>
          <cell r="DY157" t="str">
            <v>有</v>
          </cell>
          <cell r="DZ157" t="str">
            <v>有</v>
          </cell>
          <cell r="EA157" t="str">
            <v>有</v>
          </cell>
          <cell r="EB157" t="str">
            <v>有</v>
          </cell>
          <cell r="EC157" t="str">
            <v>有</v>
          </cell>
          <cell r="ED157" t="str">
            <v>有</v>
          </cell>
          <cell r="EE157" t="str">
            <v>有</v>
          </cell>
          <cell r="EF157" t="str">
            <v>有</v>
          </cell>
          <cell r="EG157" t="str">
            <v>有</v>
          </cell>
          <cell r="EH157" t="str">
            <v>有</v>
          </cell>
          <cell r="EI157" t="str">
            <v>配置</v>
          </cell>
          <cell r="EJ157" t="str">
            <v>配置</v>
          </cell>
          <cell r="EK157" t="str">
            <v>配置</v>
          </cell>
          <cell r="EL157" t="str">
            <v>配置</v>
          </cell>
          <cell r="EM157" t="str">
            <v>配置</v>
          </cell>
          <cell r="EN157" t="str">
            <v>配置</v>
          </cell>
          <cell r="EO157" t="str">
            <v>配置</v>
          </cell>
          <cell r="EP157" t="str">
            <v>配置</v>
          </cell>
          <cell r="EQ157" t="str">
            <v>配置</v>
          </cell>
          <cell r="ER157" t="str">
            <v>配置</v>
          </cell>
          <cell r="ES157" t="str">
            <v>配置</v>
          </cell>
          <cell r="ET157" t="str">
            <v>配置</v>
          </cell>
          <cell r="EU157">
            <v>76960</v>
          </cell>
          <cell r="EV157">
            <v>76960</v>
          </cell>
          <cell r="EW157">
            <v>76960</v>
          </cell>
          <cell r="EX157">
            <v>76960</v>
          </cell>
          <cell r="EY157">
            <v>76960</v>
          </cell>
          <cell r="EZ157">
            <v>76960</v>
          </cell>
          <cell r="FA157">
            <v>76960</v>
          </cell>
          <cell r="FB157">
            <v>76960</v>
          </cell>
          <cell r="FC157">
            <v>76960</v>
          </cell>
          <cell r="FD157">
            <v>76960</v>
          </cell>
          <cell r="FE157">
            <v>76960</v>
          </cell>
          <cell r="FF157">
            <v>76960</v>
          </cell>
        </row>
        <row r="158">
          <cell r="C158">
            <v>154</v>
          </cell>
          <cell r="D158" t="str">
            <v>オンジュ ソリール保育園　海浜幕張園</v>
          </cell>
          <cell r="E158" t="str">
            <v>無</v>
          </cell>
          <cell r="F158">
            <v>59</v>
          </cell>
          <cell r="H158">
            <v>29</v>
          </cell>
          <cell r="I158">
            <v>21</v>
          </cell>
          <cell r="O158">
            <v>1189000</v>
          </cell>
          <cell r="P158">
            <v>218000</v>
          </cell>
          <cell r="Q158">
            <v>0</v>
          </cell>
          <cell r="R158">
            <v>1223000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t="str">
            <v>令和3年4月1日</v>
          </cell>
          <cell r="AM158" t="str">
            <v>106号の2</v>
          </cell>
          <cell r="AN158" t="str">
            <v>有</v>
          </cell>
          <cell r="AO158" t="str">
            <v>余裕活用型</v>
          </cell>
          <cell r="AP158" t="str">
            <v>余裕活用型</v>
          </cell>
          <cell r="AQ158" t="str">
            <v>余裕活用型</v>
          </cell>
          <cell r="AR158" t="str">
            <v>余裕活用型</v>
          </cell>
          <cell r="AS158" t="str">
            <v>余裕活用型</v>
          </cell>
          <cell r="AT158" t="str">
            <v>余裕活用型</v>
          </cell>
          <cell r="AU158" t="str">
            <v>余裕活用型</v>
          </cell>
          <cell r="AV158" t="str">
            <v>余裕活用型</v>
          </cell>
          <cell r="AW158" t="str">
            <v>余裕活用型</v>
          </cell>
          <cell r="AX158" t="str">
            <v>余裕活用型</v>
          </cell>
          <cell r="AY158" t="str">
            <v>余裕活用型</v>
          </cell>
          <cell r="AZ158" t="str">
            <v>余裕活用型</v>
          </cell>
          <cell r="BA158" t="str">
            <v>-</v>
          </cell>
          <cell r="BB158" t="str">
            <v>-</v>
          </cell>
          <cell r="BC158" t="str">
            <v>-</v>
          </cell>
          <cell r="BD158" t="str">
            <v>-</v>
          </cell>
          <cell r="BE158" t="str">
            <v>-</v>
          </cell>
          <cell r="BF158" t="str">
            <v>-</v>
          </cell>
          <cell r="BG158" t="str">
            <v>-</v>
          </cell>
          <cell r="BH158" t="str">
            <v>-</v>
          </cell>
          <cell r="BI158" t="str">
            <v>-</v>
          </cell>
          <cell r="BJ158" t="str">
            <v>-</v>
          </cell>
          <cell r="BK158" t="str">
            <v>-</v>
          </cell>
          <cell r="BL158" t="str">
            <v>-</v>
          </cell>
          <cell r="BM158">
            <v>1</v>
          </cell>
          <cell r="BN158">
            <v>2</v>
          </cell>
          <cell r="BO158">
            <v>2</v>
          </cell>
          <cell r="BP158">
            <v>2</v>
          </cell>
          <cell r="BQ158">
            <v>2</v>
          </cell>
          <cell r="BR158">
            <v>2</v>
          </cell>
          <cell r="BS158">
            <v>2</v>
          </cell>
          <cell r="BT158">
            <v>2</v>
          </cell>
          <cell r="BU158">
            <v>2</v>
          </cell>
          <cell r="BV158">
            <v>2</v>
          </cell>
          <cell r="BW158">
            <v>2</v>
          </cell>
          <cell r="BX158">
            <v>2</v>
          </cell>
          <cell r="CK158">
            <v>0</v>
          </cell>
          <cell r="CL158">
            <v>0</v>
          </cell>
          <cell r="CM158">
            <v>0</v>
          </cell>
          <cell r="CN158">
            <v>0</v>
          </cell>
          <cell r="CO158">
            <v>0</v>
          </cell>
          <cell r="CP158">
            <v>0</v>
          </cell>
          <cell r="CQ158">
            <v>0</v>
          </cell>
          <cell r="CR158">
            <v>0</v>
          </cell>
          <cell r="CS158">
            <v>0</v>
          </cell>
          <cell r="CT158">
            <v>0</v>
          </cell>
          <cell r="CU158">
            <v>0</v>
          </cell>
          <cell r="CV158">
            <v>0</v>
          </cell>
          <cell r="CW158" t="str">
            <v>無</v>
          </cell>
          <cell r="CX158">
            <v>1</v>
          </cell>
          <cell r="CY158" t="str">
            <v>無</v>
          </cell>
          <cell r="CZ158" t="str">
            <v>無</v>
          </cell>
          <cell r="DA158" t="str">
            <v>無</v>
          </cell>
          <cell r="DB158" t="str">
            <v>有</v>
          </cell>
          <cell r="DC158" t="str">
            <v>有</v>
          </cell>
          <cell r="DD158" t="str">
            <v>有</v>
          </cell>
          <cell r="DE158" t="str">
            <v>有</v>
          </cell>
          <cell r="DF158" t="str">
            <v>有</v>
          </cell>
          <cell r="DG158" t="str">
            <v>有</v>
          </cell>
          <cell r="DH158" t="str">
            <v>有</v>
          </cell>
          <cell r="DI158" t="str">
            <v>有</v>
          </cell>
          <cell r="DJ158" t="str">
            <v>有</v>
          </cell>
          <cell r="DK158" t="str">
            <v>-</v>
          </cell>
          <cell r="DL158" t="str">
            <v>-</v>
          </cell>
          <cell r="DM158" t="str">
            <v>-</v>
          </cell>
          <cell r="DN158" t="str">
            <v>-</v>
          </cell>
          <cell r="DO158" t="str">
            <v>-</v>
          </cell>
          <cell r="DP158" t="str">
            <v>-</v>
          </cell>
          <cell r="DQ158" t="str">
            <v>-</v>
          </cell>
          <cell r="DR158" t="str">
            <v>-</v>
          </cell>
          <cell r="DS158" t="str">
            <v>-</v>
          </cell>
          <cell r="DT158" t="str">
            <v>-</v>
          </cell>
          <cell r="DU158" t="str">
            <v>-</v>
          </cell>
          <cell r="DV158" t="str">
            <v>-</v>
          </cell>
          <cell r="DW158" t="str">
            <v>有</v>
          </cell>
          <cell r="DX158" t="str">
            <v>有</v>
          </cell>
          <cell r="DY158" t="str">
            <v>有</v>
          </cell>
          <cell r="DZ158" t="str">
            <v>有</v>
          </cell>
          <cell r="EA158" t="str">
            <v>有</v>
          </cell>
          <cell r="EB158" t="str">
            <v>有</v>
          </cell>
          <cell r="EC158" t="str">
            <v>有</v>
          </cell>
          <cell r="ED158" t="str">
            <v>有</v>
          </cell>
          <cell r="EE158" t="str">
            <v>有</v>
          </cell>
          <cell r="EF158" t="str">
            <v>有</v>
          </cell>
          <cell r="EG158" t="str">
            <v>有</v>
          </cell>
          <cell r="EH158" t="str">
            <v>有</v>
          </cell>
          <cell r="EI158" t="str">
            <v>配置</v>
          </cell>
          <cell r="EJ158" t="str">
            <v>配置</v>
          </cell>
          <cell r="EK158" t="str">
            <v>配置</v>
          </cell>
          <cell r="EL158" t="str">
            <v>配置</v>
          </cell>
          <cell r="EM158" t="str">
            <v>配置</v>
          </cell>
          <cell r="EN158" t="str">
            <v>配置</v>
          </cell>
          <cell r="EO158" t="str">
            <v>配置</v>
          </cell>
          <cell r="EP158" t="str">
            <v>配置</v>
          </cell>
          <cell r="EQ158" t="str">
            <v>配置</v>
          </cell>
          <cell r="ER158" t="str">
            <v>配置</v>
          </cell>
          <cell r="ES158" t="str">
            <v>配置</v>
          </cell>
          <cell r="ET158" t="str">
            <v>配置</v>
          </cell>
          <cell r="EU158">
            <v>76960</v>
          </cell>
          <cell r="EV158">
            <v>76960</v>
          </cell>
          <cell r="EW158">
            <v>76960</v>
          </cell>
          <cell r="EX158">
            <v>76960</v>
          </cell>
          <cell r="EY158">
            <v>76960</v>
          </cell>
          <cell r="EZ158">
            <v>76960</v>
          </cell>
          <cell r="FA158">
            <v>76960</v>
          </cell>
          <cell r="FB158">
            <v>76960</v>
          </cell>
          <cell r="FC158">
            <v>76960</v>
          </cell>
          <cell r="FD158">
            <v>76960</v>
          </cell>
          <cell r="FE158">
            <v>76960</v>
          </cell>
          <cell r="FF158">
            <v>76960</v>
          </cell>
        </row>
        <row r="159">
          <cell r="C159">
            <v>155</v>
          </cell>
          <cell r="D159" t="str">
            <v>京進のほいくえんＨＯＰＰＡ幕張ベイタウン</v>
          </cell>
          <cell r="E159" t="str">
            <v>無</v>
          </cell>
          <cell r="F159">
            <v>59</v>
          </cell>
          <cell r="H159">
            <v>35</v>
          </cell>
          <cell r="I159">
            <v>24</v>
          </cell>
          <cell r="O159">
            <v>1189000</v>
          </cell>
          <cell r="P159">
            <v>2627000</v>
          </cell>
          <cell r="Q159">
            <v>2627000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t="str">
            <v>令和3年4月1日</v>
          </cell>
          <cell r="AM159" t="str">
            <v>4号の68</v>
          </cell>
          <cell r="AN159" t="str">
            <v>有</v>
          </cell>
          <cell r="AO159" t="str">
            <v>余裕活用型</v>
          </cell>
          <cell r="AP159" t="str">
            <v>余裕活用型</v>
          </cell>
          <cell r="AQ159" t="str">
            <v>余裕活用型</v>
          </cell>
          <cell r="AR159" t="str">
            <v>余裕活用型</v>
          </cell>
          <cell r="AS159" t="str">
            <v>余裕活用型</v>
          </cell>
          <cell r="AT159" t="str">
            <v>余裕活用型</v>
          </cell>
          <cell r="AU159" t="str">
            <v>余裕活用型</v>
          </cell>
          <cell r="AV159" t="str">
            <v>余裕活用型</v>
          </cell>
          <cell r="AW159" t="str">
            <v>余裕活用型</v>
          </cell>
          <cell r="AX159" t="str">
            <v>余裕活用型</v>
          </cell>
          <cell r="AY159" t="str">
            <v>余裕活用型</v>
          </cell>
          <cell r="AZ159" t="str">
            <v>余裕活用型</v>
          </cell>
          <cell r="BA159" t="str">
            <v>-</v>
          </cell>
          <cell r="BB159" t="str">
            <v>-</v>
          </cell>
          <cell r="BC159" t="str">
            <v>-</v>
          </cell>
          <cell r="BD159" t="str">
            <v>-</v>
          </cell>
          <cell r="BE159" t="str">
            <v>-</v>
          </cell>
          <cell r="BF159" t="str">
            <v>-</v>
          </cell>
          <cell r="BG159" t="str">
            <v>-</v>
          </cell>
          <cell r="BH159" t="str">
            <v>-</v>
          </cell>
          <cell r="BI159" t="str">
            <v>-</v>
          </cell>
          <cell r="BJ159" t="str">
            <v>-</v>
          </cell>
          <cell r="BK159" t="str">
            <v>-</v>
          </cell>
          <cell r="BL159" t="str">
            <v>-</v>
          </cell>
          <cell r="CW159" t="str">
            <v>無</v>
          </cell>
          <cell r="CX159">
            <v>0</v>
          </cell>
          <cell r="CY159" t="str">
            <v>無</v>
          </cell>
          <cell r="CZ159" t="str">
            <v>無</v>
          </cell>
          <cell r="DA159" t="str">
            <v>無</v>
          </cell>
          <cell r="DB159" t="str">
            <v>無</v>
          </cell>
          <cell r="DC159" t="str">
            <v>無</v>
          </cell>
          <cell r="DD159" t="str">
            <v>無</v>
          </cell>
          <cell r="DE159" t="str">
            <v>無</v>
          </cell>
          <cell r="DF159" t="str">
            <v>無</v>
          </cell>
          <cell r="DG159" t="str">
            <v>無</v>
          </cell>
          <cell r="DH159" t="str">
            <v>無</v>
          </cell>
          <cell r="DI159" t="str">
            <v>無</v>
          </cell>
          <cell r="DJ159" t="str">
            <v>無</v>
          </cell>
          <cell r="DK159" t="str">
            <v>-</v>
          </cell>
          <cell r="DL159" t="str">
            <v>-</v>
          </cell>
          <cell r="DM159" t="str">
            <v>-</v>
          </cell>
          <cell r="DN159" t="str">
            <v>-</v>
          </cell>
          <cell r="DO159" t="str">
            <v>-</v>
          </cell>
          <cell r="DP159" t="str">
            <v>-</v>
          </cell>
          <cell r="DQ159" t="str">
            <v>-</v>
          </cell>
          <cell r="DR159" t="str">
            <v>-</v>
          </cell>
          <cell r="DS159" t="str">
            <v>-</v>
          </cell>
          <cell r="DT159" t="str">
            <v>-</v>
          </cell>
          <cell r="DU159" t="str">
            <v>-</v>
          </cell>
          <cell r="DV159" t="str">
            <v>-</v>
          </cell>
          <cell r="DW159" t="str">
            <v>有</v>
          </cell>
          <cell r="DX159" t="str">
            <v>有</v>
          </cell>
          <cell r="DY159" t="str">
            <v>有</v>
          </cell>
          <cell r="DZ159" t="str">
            <v>有</v>
          </cell>
          <cell r="EA159" t="str">
            <v>有</v>
          </cell>
          <cell r="EB159" t="str">
            <v>有</v>
          </cell>
          <cell r="EC159" t="str">
            <v>有</v>
          </cell>
          <cell r="ED159" t="str">
            <v>有</v>
          </cell>
          <cell r="EE159" t="str">
            <v>有</v>
          </cell>
          <cell r="EF159" t="str">
            <v>有</v>
          </cell>
          <cell r="EG159" t="str">
            <v>有</v>
          </cell>
          <cell r="EH159" t="str">
            <v>有</v>
          </cell>
          <cell r="EI159" t="str">
            <v>兼務</v>
          </cell>
          <cell r="EJ159" t="str">
            <v>兼務</v>
          </cell>
          <cell r="EK159" t="str">
            <v>兼務</v>
          </cell>
          <cell r="EL159" t="str">
            <v>兼務</v>
          </cell>
          <cell r="EM159" t="str">
            <v>兼務</v>
          </cell>
          <cell r="EN159" t="str">
            <v>兼務</v>
          </cell>
          <cell r="EO159" t="str">
            <v>兼務</v>
          </cell>
          <cell r="EP159" t="str">
            <v>兼務</v>
          </cell>
          <cell r="EQ159" t="str">
            <v>兼務</v>
          </cell>
          <cell r="ER159" t="str">
            <v>兼務</v>
          </cell>
          <cell r="ES159" t="str">
            <v>兼務</v>
          </cell>
          <cell r="ET159" t="str">
            <v>兼務</v>
          </cell>
          <cell r="EU159" t="str">
            <v/>
          </cell>
          <cell r="EV159" t="str">
            <v/>
          </cell>
          <cell r="EW159" t="str">
            <v/>
          </cell>
          <cell r="EX159" t="str">
            <v/>
          </cell>
          <cell r="EY159" t="str">
            <v/>
          </cell>
          <cell r="EZ159" t="str">
            <v/>
          </cell>
          <cell r="FA159" t="str">
            <v/>
          </cell>
          <cell r="FB159" t="str">
            <v/>
          </cell>
          <cell r="FC159" t="str">
            <v/>
          </cell>
          <cell r="FD159" t="str">
            <v/>
          </cell>
          <cell r="FE159" t="str">
            <v/>
          </cell>
          <cell r="FF159" t="str">
            <v/>
          </cell>
        </row>
        <row r="160">
          <cell r="C160">
            <v>156</v>
          </cell>
          <cell r="D160" t="str">
            <v>美波保育園</v>
          </cell>
          <cell r="E160" t="str">
            <v>無</v>
          </cell>
          <cell r="F160">
            <v>30</v>
          </cell>
          <cell r="H160">
            <v>18</v>
          </cell>
          <cell r="I160">
            <v>12</v>
          </cell>
          <cell r="O160">
            <v>1189000</v>
          </cell>
          <cell r="P160">
            <v>2627000</v>
          </cell>
          <cell r="Q160">
            <v>2627000</v>
          </cell>
          <cell r="R160">
            <v>1028000</v>
          </cell>
          <cell r="S160">
            <v>0</v>
          </cell>
          <cell r="T160">
            <v>0</v>
          </cell>
          <cell r="U160">
            <v>0</v>
          </cell>
          <cell r="V160">
            <v>792000</v>
          </cell>
          <cell r="W160">
            <v>1751000</v>
          </cell>
          <cell r="X160">
            <v>1751000</v>
          </cell>
          <cell r="Y160">
            <v>685000</v>
          </cell>
          <cell r="Z160">
            <v>0</v>
          </cell>
          <cell r="AA160">
            <v>0</v>
          </cell>
          <cell r="AB160">
            <v>0</v>
          </cell>
          <cell r="AC160">
            <v>397000</v>
          </cell>
          <cell r="AD160">
            <v>876000</v>
          </cell>
          <cell r="AE160">
            <v>876000</v>
          </cell>
          <cell r="AF160">
            <v>343000</v>
          </cell>
          <cell r="AG160">
            <v>0</v>
          </cell>
          <cell r="AH160">
            <v>0</v>
          </cell>
          <cell r="AI160">
            <v>0</v>
          </cell>
          <cell r="AJ160" t="str">
            <v>令和3年4月1日</v>
          </cell>
          <cell r="AK160" t="str">
            <v>令和3年5月31日交付</v>
          </cell>
          <cell r="AL160" t="str">
            <v>令和3年10月29日交付</v>
          </cell>
          <cell r="AM160" t="str">
            <v>4号の69</v>
          </cell>
          <cell r="AN160" t="str">
            <v>有</v>
          </cell>
          <cell r="AO160" t="str">
            <v>-</v>
          </cell>
          <cell r="AP160" t="str">
            <v>-</v>
          </cell>
          <cell r="AQ160" t="str">
            <v>-</v>
          </cell>
          <cell r="AR160" t="str">
            <v>-</v>
          </cell>
          <cell r="AS160" t="str">
            <v>-</v>
          </cell>
          <cell r="AT160" t="str">
            <v>-</v>
          </cell>
          <cell r="AU160" t="str">
            <v>-</v>
          </cell>
          <cell r="AV160" t="str">
            <v>-</v>
          </cell>
          <cell r="AW160" t="str">
            <v>-</v>
          </cell>
          <cell r="AX160" t="str">
            <v>-</v>
          </cell>
          <cell r="AY160" t="str">
            <v>-</v>
          </cell>
          <cell r="AZ160" t="str">
            <v>-</v>
          </cell>
          <cell r="BA160" t="str">
            <v>-</v>
          </cell>
          <cell r="BB160" t="str">
            <v>-</v>
          </cell>
          <cell r="BC160" t="str">
            <v>-</v>
          </cell>
          <cell r="BD160" t="str">
            <v>-</v>
          </cell>
          <cell r="BE160" t="str">
            <v>-</v>
          </cell>
          <cell r="BF160" t="str">
            <v>-</v>
          </cell>
          <cell r="BG160" t="str">
            <v>-</v>
          </cell>
          <cell r="BH160" t="str">
            <v>-</v>
          </cell>
          <cell r="BI160" t="str">
            <v>-</v>
          </cell>
          <cell r="BJ160" t="str">
            <v>-</v>
          </cell>
          <cell r="BK160" t="str">
            <v>-</v>
          </cell>
          <cell r="BL160" t="str">
            <v>-</v>
          </cell>
          <cell r="BT160">
            <v>1</v>
          </cell>
          <cell r="BU160">
            <v>1</v>
          </cell>
          <cell r="BV160">
            <v>1</v>
          </cell>
          <cell r="BW160">
            <v>1</v>
          </cell>
          <cell r="BX160">
            <v>1</v>
          </cell>
          <cell r="CR160">
            <v>0</v>
          </cell>
          <cell r="CS160">
            <v>0</v>
          </cell>
          <cell r="CT160">
            <v>0</v>
          </cell>
          <cell r="CU160">
            <v>0</v>
          </cell>
          <cell r="CV160">
            <v>0</v>
          </cell>
          <cell r="CW160" t="str">
            <v>無</v>
          </cell>
          <cell r="CX160">
            <v>0</v>
          </cell>
          <cell r="CY160" t="str">
            <v>無</v>
          </cell>
          <cell r="CZ160" t="str">
            <v>有</v>
          </cell>
          <cell r="DA160" t="str">
            <v>有</v>
          </cell>
          <cell r="DB160" t="str">
            <v>有</v>
          </cell>
          <cell r="DC160" t="str">
            <v>有</v>
          </cell>
          <cell r="DD160" t="str">
            <v>有</v>
          </cell>
          <cell r="DE160" t="str">
            <v>有</v>
          </cell>
          <cell r="DF160" t="str">
            <v>有</v>
          </cell>
          <cell r="DG160" t="str">
            <v>有</v>
          </cell>
          <cell r="DH160" t="str">
            <v>有</v>
          </cell>
          <cell r="DI160" t="str">
            <v>有</v>
          </cell>
          <cell r="DJ160" t="str">
            <v>有</v>
          </cell>
          <cell r="DK160" t="str">
            <v>-</v>
          </cell>
          <cell r="DL160" t="str">
            <v>-</v>
          </cell>
          <cell r="DM160" t="str">
            <v>-</v>
          </cell>
          <cell r="DN160" t="str">
            <v>-</v>
          </cell>
          <cell r="DO160" t="str">
            <v>-</v>
          </cell>
          <cell r="DP160" t="str">
            <v>-</v>
          </cell>
          <cell r="DQ160" t="str">
            <v>-</v>
          </cell>
          <cell r="DR160" t="str">
            <v>-</v>
          </cell>
          <cell r="DS160" t="str">
            <v>-</v>
          </cell>
          <cell r="DT160" t="str">
            <v>-</v>
          </cell>
          <cell r="DU160" t="str">
            <v>-</v>
          </cell>
          <cell r="DV160" t="str">
            <v>-</v>
          </cell>
          <cell r="DW160" t="str">
            <v>有</v>
          </cell>
          <cell r="DX160" t="str">
            <v>有</v>
          </cell>
          <cell r="DY160" t="str">
            <v>有</v>
          </cell>
          <cell r="DZ160" t="str">
            <v>有</v>
          </cell>
          <cell r="EA160" t="str">
            <v>有</v>
          </cell>
          <cell r="EB160" t="str">
            <v>有</v>
          </cell>
          <cell r="EC160" t="str">
            <v>有</v>
          </cell>
          <cell r="ED160" t="str">
            <v>有</v>
          </cell>
          <cell r="EE160" t="str">
            <v>有</v>
          </cell>
          <cell r="EF160" t="str">
            <v>有</v>
          </cell>
          <cell r="EG160" t="str">
            <v>有</v>
          </cell>
          <cell r="EH160" t="str">
            <v>有</v>
          </cell>
          <cell r="EI160" t="str">
            <v>配置</v>
          </cell>
          <cell r="EJ160" t="str">
            <v>配置</v>
          </cell>
          <cell r="EK160" t="str">
            <v>配置</v>
          </cell>
          <cell r="EL160" t="str">
            <v>配置</v>
          </cell>
          <cell r="EM160" t="str">
            <v>配置</v>
          </cell>
          <cell r="EN160" t="str">
            <v>配置</v>
          </cell>
          <cell r="EO160" t="str">
            <v>配置</v>
          </cell>
          <cell r="EP160" t="str">
            <v>配置</v>
          </cell>
          <cell r="EQ160" t="str">
            <v>配置</v>
          </cell>
          <cell r="ER160" t="str">
            <v>配置</v>
          </cell>
          <cell r="ES160" t="str">
            <v>配置</v>
          </cell>
          <cell r="ET160" t="str">
            <v>配置</v>
          </cell>
          <cell r="EU160">
            <v>76960</v>
          </cell>
          <cell r="EV160">
            <v>76960</v>
          </cell>
          <cell r="EW160">
            <v>76960</v>
          </cell>
          <cell r="EX160">
            <v>76960</v>
          </cell>
          <cell r="EY160">
            <v>76960</v>
          </cell>
          <cell r="EZ160">
            <v>76960</v>
          </cell>
          <cell r="FA160">
            <v>76960</v>
          </cell>
          <cell r="FB160">
            <v>76960</v>
          </cell>
          <cell r="FC160">
            <v>76960</v>
          </cell>
          <cell r="FD160">
            <v>76960</v>
          </cell>
          <cell r="FE160">
            <v>76960</v>
          </cell>
          <cell r="FF160">
            <v>76960</v>
          </cell>
        </row>
        <row r="161">
          <cell r="C161">
            <v>157</v>
          </cell>
          <cell r="D161" t="str">
            <v>みらいつむぎ保育園美浜</v>
          </cell>
          <cell r="E161" t="str">
            <v>無</v>
          </cell>
          <cell r="F161">
            <v>40</v>
          </cell>
          <cell r="H161">
            <v>24</v>
          </cell>
          <cell r="I161">
            <v>16</v>
          </cell>
          <cell r="O161">
            <v>585000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t="str">
            <v>令和3年4月1日</v>
          </cell>
          <cell r="AM161" t="str">
            <v>4号の70</v>
          </cell>
          <cell r="AN161" t="str">
            <v>有</v>
          </cell>
          <cell r="AO161" t="str">
            <v>-</v>
          </cell>
          <cell r="AP161" t="str">
            <v>-</v>
          </cell>
          <cell r="AQ161" t="str">
            <v>-</v>
          </cell>
          <cell r="AR161" t="str">
            <v>-</v>
          </cell>
          <cell r="AS161" t="str">
            <v>-</v>
          </cell>
          <cell r="AT161" t="str">
            <v>-</v>
          </cell>
          <cell r="AU161" t="str">
            <v>-</v>
          </cell>
          <cell r="AV161" t="str">
            <v>-</v>
          </cell>
          <cell r="AW161" t="str">
            <v>-</v>
          </cell>
          <cell r="AX161" t="str">
            <v>-</v>
          </cell>
          <cell r="AY161" t="str">
            <v>-</v>
          </cell>
          <cell r="AZ161" t="str">
            <v>-</v>
          </cell>
          <cell r="BA161" t="str">
            <v>-</v>
          </cell>
          <cell r="BB161" t="str">
            <v>-</v>
          </cell>
          <cell r="BC161" t="str">
            <v>-</v>
          </cell>
          <cell r="BD161" t="str">
            <v>-</v>
          </cell>
          <cell r="BE161" t="str">
            <v>-</v>
          </cell>
          <cell r="BF161" t="str">
            <v>-</v>
          </cell>
          <cell r="BG161" t="str">
            <v>-</v>
          </cell>
          <cell r="BH161" t="str">
            <v>-</v>
          </cell>
          <cell r="BI161" t="str">
            <v>-</v>
          </cell>
          <cell r="BJ161" t="str">
            <v>-</v>
          </cell>
          <cell r="BK161" t="str">
            <v>-</v>
          </cell>
          <cell r="BL161" t="str">
            <v>-</v>
          </cell>
          <cell r="CW161" t="str">
            <v>無</v>
          </cell>
          <cell r="CX161">
            <v>0</v>
          </cell>
          <cell r="CY161" t="str">
            <v>有</v>
          </cell>
          <cell r="CZ161" t="str">
            <v>有</v>
          </cell>
          <cell r="DA161" t="str">
            <v>有</v>
          </cell>
          <cell r="DB161" t="str">
            <v>有</v>
          </cell>
          <cell r="DC161" t="str">
            <v>有</v>
          </cell>
          <cell r="DD161" t="str">
            <v>有</v>
          </cell>
          <cell r="DE161" t="str">
            <v>有</v>
          </cell>
          <cell r="DF161" t="str">
            <v>有</v>
          </cell>
          <cell r="DG161" t="str">
            <v>有</v>
          </cell>
          <cell r="DH161" t="str">
            <v>有</v>
          </cell>
          <cell r="DI161" t="str">
            <v>有</v>
          </cell>
          <cell r="DJ161" t="str">
            <v>有</v>
          </cell>
          <cell r="DK161" t="str">
            <v>-</v>
          </cell>
          <cell r="DL161" t="str">
            <v>-</v>
          </cell>
          <cell r="DM161" t="str">
            <v>-</v>
          </cell>
          <cell r="DN161" t="str">
            <v>-</v>
          </cell>
          <cell r="DO161" t="str">
            <v>-</v>
          </cell>
          <cell r="DP161" t="str">
            <v>-</v>
          </cell>
          <cell r="DQ161" t="str">
            <v>-</v>
          </cell>
          <cell r="DR161" t="str">
            <v>-</v>
          </cell>
          <cell r="DS161" t="str">
            <v>-</v>
          </cell>
          <cell r="DT161" t="str">
            <v>-</v>
          </cell>
          <cell r="DU161" t="str">
            <v>-</v>
          </cell>
          <cell r="DV161" t="str">
            <v>-</v>
          </cell>
          <cell r="DW161" t="str">
            <v>有</v>
          </cell>
          <cell r="DX161" t="str">
            <v>有</v>
          </cell>
          <cell r="DY161" t="str">
            <v>有</v>
          </cell>
          <cell r="DZ161" t="str">
            <v>有</v>
          </cell>
          <cell r="EA161" t="str">
            <v>有</v>
          </cell>
          <cell r="EB161" t="str">
            <v>有</v>
          </cell>
          <cell r="EC161" t="str">
            <v>有</v>
          </cell>
          <cell r="ED161" t="str">
            <v>有</v>
          </cell>
          <cell r="EE161" t="str">
            <v>有</v>
          </cell>
          <cell r="EF161" t="str">
            <v>有</v>
          </cell>
          <cell r="EG161" t="str">
            <v>有</v>
          </cell>
          <cell r="EH161" t="str">
            <v>有</v>
          </cell>
          <cell r="EI161" t="str">
            <v>配置</v>
          </cell>
          <cell r="EJ161" t="str">
            <v>配置</v>
          </cell>
          <cell r="EK161" t="str">
            <v>配置</v>
          </cell>
          <cell r="EL161" t="str">
            <v>配置</v>
          </cell>
          <cell r="EM161" t="str">
            <v>配置</v>
          </cell>
          <cell r="EN161" t="str">
            <v>配置</v>
          </cell>
          <cell r="EO161" t="str">
            <v>配置</v>
          </cell>
          <cell r="EP161" t="str">
            <v>配置</v>
          </cell>
          <cell r="EQ161" t="str">
            <v>配置</v>
          </cell>
          <cell r="ER161" t="str">
            <v>配置</v>
          </cell>
          <cell r="ES161" t="str">
            <v>配置</v>
          </cell>
          <cell r="ET161" t="str">
            <v>配置</v>
          </cell>
          <cell r="EU161">
            <v>76960</v>
          </cell>
          <cell r="EV161">
            <v>76960</v>
          </cell>
          <cell r="EW161">
            <v>76960</v>
          </cell>
          <cell r="EX161">
            <v>76960</v>
          </cell>
          <cell r="EY161">
            <v>76960</v>
          </cell>
          <cell r="EZ161">
            <v>76960</v>
          </cell>
          <cell r="FA161">
            <v>76960</v>
          </cell>
          <cell r="FB161">
            <v>76960</v>
          </cell>
          <cell r="FC161">
            <v>76960</v>
          </cell>
          <cell r="FD161">
            <v>76960</v>
          </cell>
          <cell r="FE161">
            <v>76960</v>
          </cell>
          <cell r="FF161">
            <v>76960</v>
          </cell>
        </row>
        <row r="162">
          <cell r="C162">
            <v>158</v>
          </cell>
          <cell r="D162" t="str">
            <v>千葉誉田雲母保育園</v>
          </cell>
          <cell r="E162" t="str">
            <v>無</v>
          </cell>
          <cell r="F162">
            <v>60</v>
          </cell>
          <cell r="H162">
            <v>33</v>
          </cell>
          <cell r="I162">
            <v>27</v>
          </cell>
          <cell r="J162">
            <v>0</v>
          </cell>
        </row>
        <row r="163">
          <cell r="C163">
            <v>159</v>
          </cell>
          <cell r="D163" t="str">
            <v>オーチャード・キッズ稲毛海岸保育園</v>
          </cell>
          <cell r="E163" t="str">
            <v>無</v>
          </cell>
          <cell r="F163">
            <v>59</v>
          </cell>
          <cell r="H163">
            <v>33</v>
          </cell>
          <cell r="I163">
            <v>26</v>
          </cell>
          <cell r="J163">
            <v>0</v>
          </cell>
        </row>
        <row r="164">
          <cell r="C164">
            <v>160</v>
          </cell>
          <cell r="D164" t="str">
            <v>サフォークキッズ保育園</v>
          </cell>
          <cell r="E164" t="str">
            <v>有</v>
          </cell>
          <cell r="F164">
            <v>20</v>
          </cell>
          <cell r="H164">
            <v>0</v>
          </cell>
          <cell r="I164">
            <v>20</v>
          </cell>
          <cell r="J164">
            <v>20</v>
          </cell>
          <cell r="L164">
            <v>20</v>
          </cell>
          <cell r="M164">
            <v>0</v>
          </cell>
        </row>
        <row r="165">
          <cell r="C165">
            <v>161</v>
          </cell>
          <cell r="D165" t="str">
            <v>みらくる保育園</v>
          </cell>
          <cell r="E165" t="str">
            <v>無</v>
          </cell>
          <cell r="F165">
            <v>40</v>
          </cell>
          <cell r="H165">
            <v>21</v>
          </cell>
          <cell r="I165">
            <v>19</v>
          </cell>
          <cell r="J165">
            <v>0</v>
          </cell>
        </row>
        <row r="166">
          <cell r="C166">
            <v>162</v>
          </cell>
          <cell r="D166" t="str">
            <v>ナーサリーホーム稲毛海岸</v>
          </cell>
          <cell r="E166" t="str">
            <v>無</v>
          </cell>
          <cell r="F166">
            <v>40</v>
          </cell>
          <cell r="H166">
            <v>21</v>
          </cell>
          <cell r="I166">
            <v>19</v>
          </cell>
          <cell r="J166">
            <v>0</v>
          </cell>
        </row>
        <row r="167">
          <cell r="C167">
            <v>201</v>
          </cell>
          <cell r="D167" t="str">
            <v>幼保連携型認定こども園　幕張海浜こども園</v>
          </cell>
          <cell r="E167" t="str">
            <v>無</v>
          </cell>
          <cell r="F167">
            <v>195</v>
          </cell>
          <cell r="G167">
            <v>3</v>
          </cell>
          <cell r="H167">
            <v>119</v>
          </cell>
          <cell r="I167">
            <v>73</v>
          </cell>
          <cell r="O167">
            <v>1189000</v>
          </cell>
          <cell r="P167">
            <v>2627000</v>
          </cell>
          <cell r="Q167">
            <v>0</v>
          </cell>
          <cell r="R167">
            <v>1631000</v>
          </cell>
          <cell r="S167">
            <v>1631000</v>
          </cell>
          <cell r="T167">
            <v>1982000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t="str">
            <v>令和3年4月1日</v>
          </cell>
          <cell r="AM167" t="str">
            <v>6号</v>
          </cell>
          <cell r="AN167" t="str">
            <v>有</v>
          </cell>
          <cell r="AO167" t="str">
            <v>一般型</v>
          </cell>
          <cell r="AP167" t="str">
            <v>一般型</v>
          </cell>
          <cell r="AQ167" t="str">
            <v>一般型</v>
          </cell>
          <cell r="AR167" t="str">
            <v>一般型</v>
          </cell>
          <cell r="AS167" t="str">
            <v>一般型</v>
          </cell>
          <cell r="AT167" t="str">
            <v>一般型</v>
          </cell>
          <cell r="AU167" t="str">
            <v>一般型</v>
          </cell>
          <cell r="AV167" t="str">
            <v>一般型</v>
          </cell>
          <cell r="AW167" t="str">
            <v>一般型</v>
          </cell>
          <cell r="AX167" t="str">
            <v>一般型</v>
          </cell>
          <cell r="AY167" t="str">
            <v>一般型</v>
          </cell>
          <cell r="AZ167" t="str">
            <v>一般型</v>
          </cell>
          <cell r="BA167" t="str">
            <v>有</v>
          </cell>
          <cell r="BB167" t="str">
            <v>有</v>
          </cell>
          <cell r="BC167" t="str">
            <v>有</v>
          </cell>
          <cell r="BD167" t="str">
            <v>有</v>
          </cell>
          <cell r="BE167" t="str">
            <v>有</v>
          </cell>
          <cell r="BF167" t="str">
            <v>有</v>
          </cell>
          <cell r="BG167" t="str">
            <v>有</v>
          </cell>
          <cell r="BH167" t="str">
            <v>有</v>
          </cell>
          <cell r="BI167" t="str">
            <v>有</v>
          </cell>
          <cell r="BJ167" t="str">
            <v>有</v>
          </cell>
          <cell r="BK167" t="str">
            <v>有</v>
          </cell>
          <cell r="BL167" t="str">
            <v>有</v>
          </cell>
          <cell r="BM167">
            <v>2</v>
          </cell>
          <cell r="BN167">
            <v>2</v>
          </cell>
          <cell r="BO167">
            <v>2</v>
          </cell>
          <cell r="BP167">
            <v>2</v>
          </cell>
          <cell r="BQ167">
            <v>2</v>
          </cell>
          <cell r="BR167">
            <v>2</v>
          </cell>
          <cell r="BS167">
            <v>2</v>
          </cell>
          <cell r="BT167">
            <v>2</v>
          </cell>
          <cell r="BU167">
            <v>2</v>
          </cell>
          <cell r="BV167">
            <v>2</v>
          </cell>
          <cell r="BW167">
            <v>2</v>
          </cell>
          <cell r="BX167">
            <v>2</v>
          </cell>
          <cell r="CK167">
            <v>0</v>
          </cell>
          <cell r="CL167">
            <v>0</v>
          </cell>
          <cell r="CM167">
            <v>0</v>
          </cell>
          <cell r="CN167">
            <v>0</v>
          </cell>
          <cell r="CO167">
            <v>0</v>
          </cell>
          <cell r="CP167">
            <v>0</v>
          </cell>
          <cell r="CQ167">
            <v>0</v>
          </cell>
          <cell r="CR167">
            <v>0</v>
          </cell>
          <cell r="CS167">
            <v>0</v>
          </cell>
          <cell r="CT167">
            <v>0</v>
          </cell>
          <cell r="CU167">
            <v>0</v>
          </cell>
          <cell r="CV167">
            <v>0</v>
          </cell>
          <cell r="CW167" t="str">
            <v>無</v>
          </cell>
          <cell r="CX167">
            <v>0</v>
          </cell>
          <cell r="CY167" t="str">
            <v>無</v>
          </cell>
          <cell r="CZ167" t="str">
            <v>無</v>
          </cell>
          <cell r="DA167" t="str">
            <v>無</v>
          </cell>
          <cell r="DB167" t="str">
            <v>無</v>
          </cell>
          <cell r="DC167" t="str">
            <v>無</v>
          </cell>
          <cell r="DD167" t="str">
            <v>無</v>
          </cell>
          <cell r="DE167" t="str">
            <v>無</v>
          </cell>
          <cell r="DF167" t="str">
            <v>無</v>
          </cell>
          <cell r="DG167" t="str">
            <v>無</v>
          </cell>
          <cell r="DH167" t="str">
            <v>無</v>
          </cell>
          <cell r="DI167" t="str">
            <v>無</v>
          </cell>
          <cell r="DJ167" t="str">
            <v>無</v>
          </cell>
          <cell r="DK167" t="str">
            <v>-</v>
          </cell>
          <cell r="DL167" t="str">
            <v>-</v>
          </cell>
          <cell r="DM167" t="str">
            <v>-</v>
          </cell>
          <cell r="DN167" t="str">
            <v>-</v>
          </cell>
          <cell r="DO167" t="str">
            <v>-</v>
          </cell>
          <cell r="DP167" t="str">
            <v>-</v>
          </cell>
          <cell r="DQ167" t="str">
            <v>-</v>
          </cell>
          <cell r="DR167" t="str">
            <v>-</v>
          </cell>
          <cell r="DS167" t="str">
            <v>-</v>
          </cell>
          <cell r="DT167" t="str">
            <v>-</v>
          </cell>
          <cell r="DU167" t="str">
            <v>-</v>
          </cell>
          <cell r="DV167" t="str">
            <v>-</v>
          </cell>
          <cell r="DW167" t="str">
            <v>有</v>
          </cell>
          <cell r="DX167" t="str">
            <v>有</v>
          </cell>
          <cell r="DY167" t="str">
            <v>有</v>
          </cell>
          <cell r="DZ167" t="str">
            <v>有</v>
          </cell>
          <cell r="EA167" t="str">
            <v>有</v>
          </cell>
          <cell r="EB167" t="str">
            <v>有</v>
          </cell>
          <cell r="EC167" t="str">
            <v>有</v>
          </cell>
          <cell r="ED167" t="str">
            <v>有</v>
          </cell>
          <cell r="EE167" t="str">
            <v>有</v>
          </cell>
          <cell r="EF167" t="str">
            <v>有</v>
          </cell>
          <cell r="EG167" t="str">
            <v>有</v>
          </cell>
          <cell r="EH167" t="str">
            <v>有</v>
          </cell>
          <cell r="EI167" t="str">
            <v>配置</v>
          </cell>
          <cell r="EJ167" t="str">
            <v>配置</v>
          </cell>
          <cell r="EK167" t="str">
            <v>配置</v>
          </cell>
          <cell r="EL167" t="str">
            <v>配置</v>
          </cell>
          <cell r="EM167" t="str">
            <v>配置</v>
          </cell>
          <cell r="EN167" t="str">
            <v>配置</v>
          </cell>
          <cell r="EO167" t="str">
            <v>配置</v>
          </cell>
          <cell r="EP167" t="str">
            <v>配置</v>
          </cell>
          <cell r="EQ167" t="str">
            <v>配置</v>
          </cell>
          <cell r="ER167" t="str">
            <v>配置</v>
          </cell>
          <cell r="ES167" t="str">
            <v>配置</v>
          </cell>
          <cell r="ET167" t="str">
            <v>配置</v>
          </cell>
          <cell r="EU167">
            <v>76960</v>
          </cell>
          <cell r="EV167">
            <v>76960</v>
          </cell>
          <cell r="EW167">
            <v>76960</v>
          </cell>
          <cell r="EX167">
            <v>76960</v>
          </cell>
          <cell r="EY167">
            <v>76960</v>
          </cell>
          <cell r="EZ167">
            <v>76960</v>
          </cell>
          <cell r="FA167">
            <v>76960</v>
          </cell>
          <cell r="FB167">
            <v>76960</v>
          </cell>
          <cell r="FC167">
            <v>76960</v>
          </cell>
          <cell r="FD167">
            <v>76960</v>
          </cell>
          <cell r="FE167">
            <v>76960</v>
          </cell>
          <cell r="FF167">
            <v>76960</v>
          </cell>
        </row>
        <row r="168">
          <cell r="C168">
            <v>202</v>
          </cell>
          <cell r="D168" t="str">
            <v>幼保連携型認定こども園　打瀬保育園</v>
          </cell>
          <cell r="E168" t="str">
            <v>無</v>
          </cell>
          <cell r="F168">
            <v>90</v>
          </cell>
          <cell r="G168">
            <v>0</v>
          </cell>
          <cell r="H168">
            <v>50</v>
          </cell>
          <cell r="I168">
            <v>40</v>
          </cell>
          <cell r="O168">
            <v>1189000</v>
          </cell>
          <cell r="P168">
            <v>2627000</v>
          </cell>
          <cell r="Q168">
            <v>2627000</v>
          </cell>
          <cell r="R168">
            <v>1467000</v>
          </cell>
          <cell r="S168">
            <v>0</v>
          </cell>
          <cell r="T168">
            <v>1982000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t="str">
            <v>令和3年4月1日</v>
          </cell>
          <cell r="AM168" t="str">
            <v>6号の2</v>
          </cell>
          <cell r="AN168" t="str">
            <v>有</v>
          </cell>
          <cell r="AO168" t="str">
            <v>-</v>
          </cell>
          <cell r="AP168" t="str">
            <v>-</v>
          </cell>
          <cell r="AQ168" t="str">
            <v>-</v>
          </cell>
          <cell r="AR168" t="str">
            <v>-</v>
          </cell>
          <cell r="AS168" t="str">
            <v>-</v>
          </cell>
          <cell r="AT168" t="str">
            <v>-</v>
          </cell>
          <cell r="AU168" t="str">
            <v>-</v>
          </cell>
          <cell r="AV168" t="str">
            <v>-</v>
          </cell>
          <cell r="AW168" t="str">
            <v>-</v>
          </cell>
          <cell r="AX168" t="str">
            <v>-</v>
          </cell>
          <cell r="AY168" t="str">
            <v>-</v>
          </cell>
          <cell r="AZ168" t="str">
            <v>-</v>
          </cell>
          <cell r="BA168" t="str">
            <v>-</v>
          </cell>
          <cell r="BB168" t="str">
            <v>-</v>
          </cell>
          <cell r="BC168" t="str">
            <v>-</v>
          </cell>
          <cell r="BD168" t="str">
            <v>-</v>
          </cell>
          <cell r="BE168" t="str">
            <v>-</v>
          </cell>
          <cell r="BF168" t="str">
            <v>-</v>
          </cell>
          <cell r="BG168" t="str">
            <v>-</v>
          </cell>
          <cell r="BH168" t="str">
            <v>-</v>
          </cell>
          <cell r="BI168" t="str">
            <v>-</v>
          </cell>
          <cell r="BJ168" t="str">
            <v>-</v>
          </cell>
          <cell r="BK168" t="str">
            <v>-</v>
          </cell>
          <cell r="BL168" t="str">
            <v>-</v>
          </cell>
          <cell r="BM168">
            <v>1</v>
          </cell>
          <cell r="BN168">
            <v>1</v>
          </cell>
          <cell r="BO168">
            <v>1</v>
          </cell>
          <cell r="BP168">
            <v>1</v>
          </cell>
          <cell r="BQ168">
            <v>1</v>
          </cell>
          <cell r="BR168">
            <v>1</v>
          </cell>
          <cell r="BS168">
            <v>1</v>
          </cell>
          <cell r="BT168">
            <v>1</v>
          </cell>
          <cell r="BU168">
            <v>1</v>
          </cell>
          <cell r="BV168">
            <v>1</v>
          </cell>
          <cell r="BW168">
            <v>1</v>
          </cell>
          <cell r="BX168">
            <v>1</v>
          </cell>
          <cell r="CK168">
            <v>0</v>
          </cell>
          <cell r="CL168">
            <v>0</v>
          </cell>
          <cell r="CM168">
            <v>0</v>
          </cell>
          <cell r="CN168">
            <v>0</v>
          </cell>
          <cell r="CO168">
            <v>0</v>
          </cell>
          <cell r="CP168">
            <v>0</v>
          </cell>
          <cell r="CQ168">
            <v>0</v>
          </cell>
          <cell r="CR168">
            <v>0</v>
          </cell>
          <cell r="CS168">
            <v>0</v>
          </cell>
          <cell r="CT168">
            <v>0</v>
          </cell>
          <cell r="CU168">
            <v>0</v>
          </cell>
          <cell r="CV168">
            <v>0</v>
          </cell>
          <cell r="CW168" t="str">
            <v>無</v>
          </cell>
          <cell r="CX168">
            <v>3</v>
          </cell>
          <cell r="CY168" t="str">
            <v>無</v>
          </cell>
          <cell r="CZ168" t="str">
            <v>無</v>
          </cell>
          <cell r="DA168" t="str">
            <v>無</v>
          </cell>
          <cell r="DB168" t="str">
            <v>無</v>
          </cell>
          <cell r="DC168" t="str">
            <v>無</v>
          </cell>
          <cell r="DD168" t="str">
            <v>無</v>
          </cell>
          <cell r="DE168" t="str">
            <v>無</v>
          </cell>
          <cell r="DF168" t="str">
            <v>無</v>
          </cell>
          <cell r="DG168" t="str">
            <v>無</v>
          </cell>
          <cell r="DH168" t="str">
            <v>無</v>
          </cell>
          <cell r="DI168" t="str">
            <v>無</v>
          </cell>
          <cell r="DJ168" t="str">
            <v>無</v>
          </cell>
          <cell r="DK168" t="str">
            <v>-</v>
          </cell>
          <cell r="DL168" t="str">
            <v>-</v>
          </cell>
          <cell r="DM168" t="str">
            <v>-</v>
          </cell>
          <cell r="DN168" t="str">
            <v>-</v>
          </cell>
          <cell r="DO168" t="str">
            <v>-</v>
          </cell>
          <cell r="DP168" t="str">
            <v>-</v>
          </cell>
          <cell r="DQ168" t="str">
            <v>-</v>
          </cell>
          <cell r="DR168" t="str">
            <v>-</v>
          </cell>
          <cell r="DS168" t="str">
            <v>-</v>
          </cell>
          <cell r="DT168" t="str">
            <v>-</v>
          </cell>
          <cell r="DU168" t="str">
            <v>-</v>
          </cell>
          <cell r="DV168" t="str">
            <v>-</v>
          </cell>
          <cell r="EI168" t="str">
            <v>配置</v>
          </cell>
          <cell r="EJ168" t="str">
            <v>配置</v>
          </cell>
          <cell r="EK168" t="str">
            <v>配置</v>
          </cell>
          <cell r="EL168" t="str">
            <v>配置</v>
          </cell>
          <cell r="EM168" t="str">
            <v>配置</v>
          </cell>
          <cell r="EN168" t="str">
            <v>配置</v>
          </cell>
          <cell r="EO168" t="str">
            <v>配置</v>
          </cell>
          <cell r="EP168" t="str">
            <v>配置</v>
          </cell>
          <cell r="EQ168" t="str">
            <v>配置</v>
          </cell>
          <cell r="ER168" t="str">
            <v>配置</v>
          </cell>
          <cell r="ES168" t="str">
            <v>配置</v>
          </cell>
          <cell r="ET168" t="str">
            <v>配置</v>
          </cell>
          <cell r="EU168">
            <v>76960</v>
          </cell>
          <cell r="EV168">
            <v>76960</v>
          </cell>
          <cell r="EW168">
            <v>76960</v>
          </cell>
          <cell r="EX168">
            <v>76960</v>
          </cell>
          <cell r="EY168">
            <v>76960</v>
          </cell>
          <cell r="EZ168">
            <v>76960</v>
          </cell>
          <cell r="FA168">
            <v>76960</v>
          </cell>
          <cell r="FB168">
            <v>76960</v>
          </cell>
          <cell r="FC168">
            <v>76960</v>
          </cell>
          <cell r="FD168">
            <v>76960</v>
          </cell>
          <cell r="FE168">
            <v>76960</v>
          </cell>
          <cell r="FF168">
            <v>76960</v>
          </cell>
        </row>
        <row r="169">
          <cell r="C169">
            <v>203</v>
          </cell>
          <cell r="D169" t="str">
            <v>幼保連携型認定こども園　千葉女子専門学校附属聖こども園</v>
          </cell>
          <cell r="E169" t="str">
            <v>無</v>
          </cell>
          <cell r="F169">
            <v>156</v>
          </cell>
          <cell r="G169">
            <v>66</v>
          </cell>
          <cell r="H169">
            <v>60</v>
          </cell>
          <cell r="I169">
            <v>30</v>
          </cell>
          <cell r="O169">
            <v>1189000</v>
          </cell>
          <cell r="P169">
            <v>2627000</v>
          </cell>
          <cell r="Q169">
            <v>2627000</v>
          </cell>
          <cell r="R169">
            <v>1631000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t="str">
            <v>令和3年4月1日</v>
          </cell>
          <cell r="AM169" t="str">
            <v>6号の3</v>
          </cell>
          <cell r="AN169" t="str">
            <v>有</v>
          </cell>
          <cell r="AO169" t="str">
            <v>-</v>
          </cell>
          <cell r="AP169" t="str">
            <v>-</v>
          </cell>
          <cell r="AQ169" t="str">
            <v>-</v>
          </cell>
          <cell r="AR169" t="str">
            <v>-</v>
          </cell>
          <cell r="AS169" t="str">
            <v>-</v>
          </cell>
          <cell r="AT169" t="str">
            <v>-</v>
          </cell>
          <cell r="AU169" t="str">
            <v>-</v>
          </cell>
          <cell r="AV169" t="str">
            <v>-</v>
          </cell>
          <cell r="AW169" t="str">
            <v>-</v>
          </cell>
          <cell r="AX169" t="str">
            <v>-</v>
          </cell>
          <cell r="AY169" t="str">
            <v>-</v>
          </cell>
          <cell r="AZ169" t="str">
            <v>-</v>
          </cell>
          <cell r="BA169" t="str">
            <v>-</v>
          </cell>
          <cell r="BB169" t="str">
            <v>-</v>
          </cell>
          <cell r="BC169" t="str">
            <v>-</v>
          </cell>
          <cell r="BD169" t="str">
            <v>-</v>
          </cell>
          <cell r="BE169" t="str">
            <v>-</v>
          </cell>
          <cell r="BF169" t="str">
            <v>-</v>
          </cell>
          <cell r="BG169" t="str">
            <v>-</v>
          </cell>
          <cell r="BH169" t="str">
            <v>-</v>
          </cell>
          <cell r="BI169" t="str">
            <v>-</v>
          </cell>
          <cell r="BJ169" t="str">
            <v>-</v>
          </cell>
          <cell r="BK169" t="str">
            <v>-</v>
          </cell>
          <cell r="BL169" t="str">
            <v>-</v>
          </cell>
          <cell r="CW169" t="str">
            <v>無</v>
          </cell>
          <cell r="CX169">
            <v>0</v>
          </cell>
          <cell r="CY169" t="str">
            <v>無</v>
          </cell>
          <cell r="CZ169" t="str">
            <v>無</v>
          </cell>
          <cell r="DA169" t="str">
            <v>無</v>
          </cell>
          <cell r="DB169" t="str">
            <v>無</v>
          </cell>
          <cell r="DC169" t="str">
            <v>無</v>
          </cell>
          <cell r="DD169" t="str">
            <v>無</v>
          </cell>
          <cell r="DE169" t="str">
            <v>無</v>
          </cell>
          <cell r="DF169" t="str">
            <v>無</v>
          </cell>
          <cell r="DG169" t="str">
            <v>無</v>
          </cell>
          <cell r="DH169" t="str">
            <v>無</v>
          </cell>
          <cell r="DI169" t="str">
            <v>無</v>
          </cell>
          <cell r="DJ169" t="str">
            <v>無</v>
          </cell>
          <cell r="DK169" t="str">
            <v>-</v>
          </cell>
          <cell r="DL169" t="str">
            <v>-</v>
          </cell>
          <cell r="DM169" t="str">
            <v>-</v>
          </cell>
          <cell r="DN169" t="str">
            <v>-</v>
          </cell>
          <cell r="DO169" t="str">
            <v>-</v>
          </cell>
          <cell r="DP169" t="str">
            <v>-</v>
          </cell>
          <cell r="DQ169" t="str">
            <v>-</v>
          </cell>
          <cell r="DR169" t="str">
            <v>-</v>
          </cell>
          <cell r="DS169" t="str">
            <v>-</v>
          </cell>
          <cell r="DT169" t="str">
            <v>-</v>
          </cell>
          <cell r="DU169" t="str">
            <v>-</v>
          </cell>
          <cell r="DV169" t="str">
            <v>-</v>
          </cell>
          <cell r="EI169" t="str">
            <v>嘱託</v>
          </cell>
          <cell r="EJ169" t="str">
            <v>嘱託</v>
          </cell>
          <cell r="EK169" t="str">
            <v>嘱託</v>
          </cell>
          <cell r="EL169" t="str">
            <v>嘱託</v>
          </cell>
          <cell r="EM169" t="str">
            <v>嘱託</v>
          </cell>
          <cell r="EN169" t="str">
            <v>嘱託</v>
          </cell>
          <cell r="EO169" t="str">
            <v>嘱託</v>
          </cell>
          <cell r="EP169" t="str">
            <v>嘱託</v>
          </cell>
          <cell r="EQ169" t="str">
            <v>嘱託</v>
          </cell>
          <cell r="ER169" t="str">
            <v>嘱託</v>
          </cell>
          <cell r="ES169" t="str">
            <v>嘱託</v>
          </cell>
          <cell r="ET169" t="str">
            <v>嘱託</v>
          </cell>
          <cell r="EU169" t="str">
            <v/>
          </cell>
          <cell r="EV169" t="str">
            <v/>
          </cell>
          <cell r="EW169" t="str">
            <v/>
          </cell>
          <cell r="EX169" t="str">
            <v/>
          </cell>
          <cell r="EY169" t="str">
            <v/>
          </cell>
          <cell r="EZ169" t="str">
            <v/>
          </cell>
          <cell r="FA169" t="str">
            <v/>
          </cell>
          <cell r="FB169" t="str">
            <v/>
          </cell>
          <cell r="FC169" t="str">
            <v/>
          </cell>
          <cell r="FD169" t="str">
            <v/>
          </cell>
          <cell r="FE169" t="str">
            <v/>
          </cell>
          <cell r="FF169" t="str">
            <v/>
          </cell>
        </row>
        <row r="170">
          <cell r="C170">
            <v>204</v>
          </cell>
          <cell r="D170" t="str">
            <v>幼保連携型認定こども園　ウィズダムナーサリースクール</v>
          </cell>
          <cell r="E170" t="str">
            <v>無</v>
          </cell>
          <cell r="F170">
            <v>59</v>
          </cell>
          <cell r="G170">
            <v>9</v>
          </cell>
          <cell r="H170">
            <v>27</v>
          </cell>
          <cell r="I170">
            <v>23</v>
          </cell>
          <cell r="O170">
            <v>1189000</v>
          </cell>
          <cell r="P170">
            <v>2627000</v>
          </cell>
          <cell r="Q170">
            <v>0</v>
          </cell>
          <cell r="R170">
            <v>1631000</v>
          </cell>
          <cell r="S170">
            <v>0</v>
          </cell>
          <cell r="T170">
            <v>1982000</v>
          </cell>
          <cell r="U170">
            <v>0</v>
          </cell>
          <cell r="V170">
            <v>792000</v>
          </cell>
          <cell r="W170">
            <v>1751000</v>
          </cell>
          <cell r="X170">
            <v>0</v>
          </cell>
          <cell r="Y170">
            <v>1087000</v>
          </cell>
          <cell r="Z170">
            <v>0</v>
          </cell>
          <cell r="AA170">
            <v>1321000</v>
          </cell>
          <cell r="AB170">
            <v>0</v>
          </cell>
          <cell r="AC170">
            <v>397000</v>
          </cell>
          <cell r="AD170">
            <v>876000</v>
          </cell>
          <cell r="AE170">
            <v>0</v>
          </cell>
          <cell r="AF170">
            <v>544000</v>
          </cell>
          <cell r="AG170">
            <v>0</v>
          </cell>
          <cell r="AH170">
            <v>661000</v>
          </cell>
          <cell r="AI170">
            <v>0</v>
          </cell>
          <cell r="AJ170" t="str">
            <v>令和3年4月1日</v>
          </cell>
          <cell r="AK170" t="str">
            <v>令和3年5月31日交付</v>
          </cell>
          <cell r="AL170" t="str">
            <v>令和3年10月29日交付</v>
          </cell>
          <cell r="AM170" t="str">
            <v>6号の4</v>
          </cell>
          <cell r="AN170" t="str">
            <v>有</v>
          </cell>
          <cell r="AO170" t="str">
            <v>余裕活用型</v>
          </cell>
          <cell r="AP170" t="str">
            <v>余裕活用型</v>
          </cell>
          <cell r="AQ170" t="str">
            <v>余裕活用型</v>
          </cell>
          <cell r="AR170" t="str">
            <v>余裕活用型</v>
          </cell>
          <cell r="AS170" t="str">
            <v>余裕活用型</v>
          </cell>
          <cell r="AT170" t="str">
            <v>余裕活用型</v>
          </cell>
          <cell r="AU170" t="str">
            <v>余裕活用型</v>
          </cell>
          <cell r="AV170" t="str">
            <v>余裕活用型</v>
          </cell>
          <cell r="AW170" t="str">
            <v>余裕活用型</v>
          </cell>
          <cell r="AX170" t="str">
            <v>余裕活用型</v>
          </cell>
          <cell r="AY170" t="str">
            <v>余裕活用型</v>
          </cell>
          <cell r="AZ170" t="str">
            <v>余裕活用型</v>
          </cell>
          <cell r="BA170" t="str">
            <v>-</v>
          </cell>
          <cell r="BB170" t="str">
            <v>-</v>
          </cell>
          <cell r="BC170" t="str">
            <v>-</v>
          </cell>
          <cell r="BD170" t="str">
            <v>-</v>
          </cell>
          <cell r="BE170" t="str">
            <v>-</v>
          </cell>
          <cell r="BF170" t="str">
            <v>-</v>
          </cell>
          <cell r="BG170" t="str">
            <v>-</v>
          </cell>
          <cell r="BH170" t="str">
            <v>-</v>
          </cell>
          <cell r="BI170" t="str">
            <v>-</v>
          </cell>
          <cell r="BJ170" t="str">
            <v>-</v>
          </cell>
          <cell r="BK170" t="str">
            <v>-</v>
          </cell>
          <cell r="BL170" t="str">
            <v>-</v>
          </cell>
          <cell r="BM170">
            <v>1</v>
          </cell>
          <cell r="BN170">
            <v>1</v>
          </cell>
          <cell r="BO170">
            <v>1</v>
          </cell>
          <cell r="BP170">
            <v>1</v>
          </cell>
          <cell r="BQ170">
            <v>1</v>
          </cell>
          <cell r="BR170">
            <v>1</v>
          </cell>
          <cell r="BS170">
            <v>2</v>
          </cell>
          <cell r="BT170">
            <v>2</v>
          </cell>
          <cell r="BU170">
            <v>2</v>
          </cell>
          <cell r="BV170">
            <v>2</v>
          </cell>
          <cell r="BW170">
            <v>2</v>
          </cell>
          <cell r="BX170">
            <v>2</v>
          </cell>
          <cell r="CK170">
            <v>0</v>
          </cell>
          <cell r="CL170">
            <v>0</v>
          </cell>
          <cell r="CM170">
            <v>0</v>
          </cell>
          <cell r="CN170">
            <v>0</v>
          </cell>
          <cell r="CO170">
            <v>0</v>
          </cell>
          <cell r="CP170">
            <v>0</v>
          </cell>
          <cell r="CQ170">
            <v>0</v>
          </cell>
          <cell r="CR170">
            <v>0</v>
          </cell>
          <cell r="CS170">
            <v>0</v>
          </cell>
          <cell r="CT170">
            <v>0</v>
          </cell>
          <cell r="CU170">
            <v>0</v>
          </cell>
          <cell r="CV170">
            <v>0</v>
          </cell>
          <cell r="CW170" t="str">
            <v>無</v>
          </cell>
          <cell r="CX170">
            <v>0</v>
          </cell>
          <cell r="CY170" t="str">
            <v>無</v>
          </cell>
          <cell r="CZ170" t="str">
            <v>無</v>
          </cell>
          <cell r="DA170" t="str">
            <v>無</v>
          </cell>
          <cell r="DB170" t="str">
            <v>無</v>
          </cell>
          <cell r="DC170" t="str">
            <v>無</v>
          </cell>
          <cell r="DD170" t="str">
            <v>無</v>
          </cell>
          <cell r="DE170" t="str">
            <v>無</v>
          </cell>
          <cell r="DF170" t="str">
            <v>無</v>
          </cell>
          <cell r="DG170" t="str">
            <v>無</v>
          </cell>
          <cell r="DH170" t="str">
            <v>無</v>
          </cell>
          <cell r="DI170" t="str">
            <v>無</v>
          </cell>
          <cell r="DJ170" t="str">
            <v>無</v>
          </cell>
          <cell r="DK170" t="str">
            <v>-</v>
          </cell>
          <cell r="DL170" t="str">
            <v>-</v>
          </cell>
          <cell r="DM170" t="str">
            <v>-</v>
          </cell>
          <cell r="DN170" t="str">
            <v>-</v>
          </cell>
          <cell r="DO170" t="str">
            <v>-</v>
          </cell>
          <cell r="DP170" t="str">
            <v>-</v>
          </cell>
          <cell r="DQ170" t="str">
            <v>-</v>
          </cell>
          <cell r="DR170" t="str">
            <v>-</v>
          </cell>
          <cell r="DS170" t="str">
            <v>-</v>
          </cell>
          <cell r="DT170" t="str">
            <v>-</v>
          </cell>
          <cell r="DU170" t="str">
            <v>-</v>
          </cell>
          <cell r="DV170" t="str">
            <v>-</v>
          </cell>
          <cell r="DW170" t="str">
            <v>有</v>
          </cell>
          <cell r="DX170" t="str">
            <v>有</v>
          </cell>
          <cell r="DY170" t="str">
            <v>有</v>
          </cell>
          <cell r="DZ170" t="str">
            <v>有</v>
          </cell>
          <cell r="EA170" t="str">
            <v>有</v>
          </cell>
          <cell r="EB170" t="str">
            <v>有</v>
          </cell>
          <cell r="EC170" t="str">
            <v>有</v>
          </cell>
          <cell r="ED170" t="str">
            <v>有</v>
          </cell>
          <cell r="EE170" t="str">
            <v>有</v>
          </cell>
          <cell r="EF170" t="str">
            <v>有</v>
          </cell>
          <cell r="EG170" t="str">
            <v>有</v>
          </cell>
          <cell r="EH170" t="str">
            <v>有</v>
          </cell>
          <cell r="EI170" t="str">
            <v>嘱託</v>
          </cell>
          <cell r="EJ170" t="str">
            <v>嘱託</v>
          </cell>
          <cell r="EK170" t="str">
            <v>嘱託</v>
          </cell>
          <cell r="EL170" t="str">
            <v>嘱託</v>
          </cell>
          <cell r="EM170" t="str">
            <v>嘱託</v>
          </cell>
          <cell r="EN170" t="str">
            <v>嘱託</v>
          </cell>
          <cell r="EO170" t="str">
            <v>嘱託</v>
          </cell>
          <cell r="EP170" t="str">
            <v>嘱託</v>
          </cell>
          <cell r="EQ170" t="str">
            <v>嘱託</v>
          </cell>
          <cell r="ER170" t="str">
            <v>嘱託</v>
          </cell>
          <cell r="ES170" t="str">
            <v>嘱託</v>
          </cell>
          <cell r="ET170" t="str">
            <v>嘱託</v>
          </cell>
          <cell r="EU170" t="str">
            <v/>
          </cell>
          <cell r="EV170" t="str">
            <v/>
          </cell>
          <cell r="EW170" t="str">
            <v/>
          </cell>
          <cell r="EX170" t="str">
            <v/>
          </cell>
          <cell r="EY170" t="str">
            <v/>
          </cell>
          <cell r="EZ170" t="str">
            <v/>
          </cell>
          <cell r="FA170" t="str">
            <v/>
          </cell>
          <cell r="FB170" t="str">
            <v/>
          </cell>
          <cell r="FC170" t="str">
            <v/>
          </cell>
          <cell r="FD170" t="str">
            <v/>
          </cell>
          <cell r="FE170" t="str">
            <v/>
          </cell>
          <cell r="FF170" t="str">
            <v/>
          </cell>
        </row>
        <row r="171">
          <cell r="C171">
            <v>205</v>
          </cell>
          <cell r="D171" t="str">
            <v>認定こども園　かしの木学園　カトライア・キンダーガルテン</v>
          </cell>
          <cell r="E171" t="str">
            <v>無</v>
          </cell>
          <cell r="F171">
            <v>36</v>
          </cell>
          <cell r="G171">
            <v>6</v>
          </cell>
          <cell r="H171">
            <v>30</v>
          </cell>
          <cell r="I171">
            <v>0</v>
          </cell>
          <cell r="O171">
            <v>1189000</v>
          </cell>
          <cell r="P171">
            <v>0</v>
          </cell>
          <cell r="Q171">
            <v>0</v>
          </cell>
          <cell r="R171">
            <v>1631000</v>
          </cell>
          <cell r="S171">
            <v>1631000</v>
          </cell>
          <cell r="T171">
            <v>0</v>
          </cell>
          <cell r="U171">
            <v>0</v>
          </cell>
          <cell r="V171">
            <v>792000</v>
          </cell>
          <cell r="W171">
            <v>0</v>
          </cell>
          <cell r="X171">
            <v>0</v>
          </cell>
          <cell r="Y171">
            <v>1087000</v>
          </cell>
          <cell r="Z171">
            <v>1087000</v>
          </cell>
          <cell r="AA171">
            <v>0</v>
          </cell>
          <cell r="AB171">
            <v>0</v>
          </cell>
          <cell r="AC171">
            <v>0</v>
          </cell>
          <cell r="AD171">
            <v>0</v>
          </cell>
          <cell r="AE171">
            <v>0</v>
          </cell>
          <cell r="AF171">
            <v>0</v>
          </cell>
          <cell r="AG171">
            <v>0</v>
          </cell>
          <cell r="AH171">
            <v>0</v>
          </cell>
          <cell r="AI171">
            <v>0</v>
          </cell>
          <cell r="AJ171" t="str">
            <v>令和3年4月1日</v>
          </cell>
          <cell r="AK171" t="str">
            <v>令和3年5月31日交付</v>
          </cell>
          <cell r="AM171" t="str">
            <v>6号の5</v>
          </cell>
          <cell r="AN171" t="str">
            <v>有</v>
          </cell>
          <cell r="AO171" t="str">
            <v>-</v>
          </cell>
          <cell r="AP171" t="str">
            <v>-</v>
          </cell>
          <cell r="AQ171" t="str">
            <v>-</v>
          </cell>
          <cell r="AR171" t="str">
            <v>-</v>
          </cell>
          <cell r="AS171" t="str">
            <v>-</v>
          </cell>
          <cell r="AT171" t="str">
            <v>-</v>
          </cell>
          <cell r="AU171" t="str">
            <v>-</v>
          </cell>
          <cell r="AV171" t="str">
            <v>-</v>
          </cell>
          <cell r="AW171" t="str">
            <v>-</v>
          </cell>
          <cell r="AX171" t="str">
            <v>-</v>
          </cell>
          <cell r="AY171" t="str">
            <v>-</v>
          </cell>
          <cell r="AZ171" t="str">
            <v>-</v>
          </cell>
          <cell r="BA171" t="str">
            <v>-</v>
          </cell>
          <cell r="BB171" t="str">
            <v>-</v>
          </cell>
          <cell r="BC171" t="str">
            <v>-</v>
          </cell>
          <cell r="BD171" t="str">
            <v>-</v>
          </cell>
          <cell r="BE171" t="str">
            <v>-</v>
          </cell>
          <cell r="BF171" t="str">
            <v>-</v>
          </cell>
          <cell r="BG171" t="str">
            <v>-</v>
          </cell>
          <cell r="BH171" t="str">
            <v>-</v>
          </cell>
          <cell r="BI171" t="str">
            <v>-</v>
          </cell>
          <cell r="BJ171" t="str">
            <v>-</v>
          </cell>
          <cell r="BK171" t="str">
            <v>-</v>
          </cell>
          <cell r="BL171" t="str">
            <v>-</v>
          </cell>
          <cell r="CW171" t="str">
            <v>無</v>
          </cell>
          <cell r="CX171">
            <v>0</v>
          </cell>
          <cell r="CY171" t="str">
            <v>有</v>
          </cell>
          <cell r="CZ171" t="str">
            <v>有</v>
          </cell>
          <cell r="DA171" t="str">
            <v>有</v>
          </cell>
          <cell r="DB171" t="str">
            <v>有</v>
          </cell>
          <cell r="DC171" t="str">
            <v>有</v>
          </cell>
          <cell r="DD171" t="str">
            <v>有</v>
          </cell>
          <cell r="DE171" t="str">
            <v>有</v>
          </cell>
          <cell r="DF171" t="str">
            <v>有</v>
          </cell>
          <cell r="DG171" t="str">
            <v>有</v>
          </cell>
          <cell r="DH171" t="str">
            <v>有</v>
          </cell>
          <cell r="DI171" t="str">
            <v>有</v>
          </cell>
          <cell r="DJ171" t="str">
            <v>有</v>
          </cell>
          <cell r="DK171" t="str">
            <v>-</v>
          </cell>
          <cell r="DL171" t="str">
            <v>-</v>
          </cell>
          <cell r="DM171" t="str">
            <v>-</v>
          </cell>
          <cell r="DN171" t="str">
            <v>-</v>
          </cell>
          <cell r="DO171" t="str">
            <v>-</v>
          </cell>
          <cell r="DP171" t="str">
            <v>-</v>
          </cell>
          <cell r="DQ171" t="str">
            <v>-</v>
          </cell>
          <cell r="DR171" t="str">
            <v>-</v>
          </cell>
          <cell r="DS171" t="str">
            <v>-</v>
          </cell>
          <cell r="DT171" t="str">
            <v>-</v>
          </cell>
          <cell r="DU171" t="str">
            <v>-</v>
          </cell>
          <cell r="DV171" t="str">
            <v>-</v>
          </cell>
          <cell r="EI171" t="str">
            <v>嘱託</v>
          </cell>
          <cell r="EJ171" t="str">
            <v>嘱託</v>
          </cell>
          <cell r="EK171" t="str">
            <v>嘱託</v>
          </cell>
          <cell r="EL171" t="str">
            <v>嘱託</v>
          </cell>
          <cell r="EM171" t="str">
            <v>嘱託</v>
          </cell>
          <cell r="EN171" t="str">
            <v>嘱託</v>
          </cell>
          <cell r="EO171" t="str">
            <v>嘱託</v>
          </cell>
          <cell r="EP171" t="str">
            <v>嘱託</v>
          </cell>
          <cell r="EQ171" t="str">
            <v>嘱託</v>
          </cell>
          <cell r="ER171" t="str">
            <v>嘱託</v>
          </cell>
          <cell r="ES171" t="str">
            <v>嘱託</v>
          </cell>
          <cell r="ET171" t="str">
            <v>嘱託</v>
          </cell>
          <cell r="EU171" t="str">
            <v/>
          </cell>
          <cell r="EV171" t="str">
            <v/>
          </cell>
          <cell r="EW171" t="str">
            <v/>
          </cell>
          <cell r="EX171" t="str">
            <v/>
          </cell>
          <cell r="EY171" t="str">
            <v/>
          </cell>
          <cell r="EZ171" t="str">
            <v/>
          </cell>
          <cell r="FA171" t="str">
            <v/>
          </cell>
          <cell r="FB171" t="str">
            <v/>
          </cell>
          <cell r="FC171" t="str">
            <v/>
          </cell>
          <cell r="FD171" t="str">
            <v/>
          </cell>
          <cell r="FE171" t="str">
            <v/>
          </cell>
          <cell r="FF171" t="str">
            <v/>
          </cell>
        </row>
        <row r="172">
          <cell r="C172">
            <v>206</v>
          </cell>
          <cell r="D172" t="str">
            <v>認定こども園　小ばと幼稚園</v>
          </cell>
          <cell r="E172" t="str">
            <v>無</v>
          </cell>
          <cell r="F172">
            <v>155</v>
          </cell>
          <cell r="G172">
            <v>105</v>
          </cell>
          <cell r="H172">
            <v>50</v>
          </cell>
          <cell r="I172">
            <v>0</v>
          </cell>
          <cell r="O172">
            <v>1189000</v>
          </cell>
          <cell r="P172">
            <v>0</v>
          </cell>
          <cell r="Q172">
            <v>0</v>
          </cell>
          <cell r="R172">
            <v>1631000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t="str">
            <v>令和3年4月1日</v>
          </cell>
          <cell r="AM172" t="str">
            <v>6号の6</v>
          </cell>
          <cell r="AN172" t="str">
            <v>有</v>
          </cell>
          <cell r="AO172" t="str">
            <v>-</v>
          </cell>
          <cell r="AP172" t="str">
            <v>-</v>
          </cell>
          <cell r="AQ172" t="str">
            <v>-</v>
          </cell>
          <cell r="AR172" t="str">
            <v>-</v>
          </cell>
          <cell r="AS172" t="str">
            <v>-</v>
          </cell>
          <cell r="AT172" t="str">
            <v>-</v>
          </cell>
          <cell r="AU172" t="str">
            <v>-</v>
          </cell>
          <cell r="AV172" t="str">
            <v>-</v>
          </cell>
          <cell r="AW172" t="str">
            <v>-</v>
          </cell>
          <cell r="AX172" t="str">
            <v>-</v>
          </cell>
          <cell r="AY172" t="str">
            <v>-</v>
          </cell>
          <cell r="AZ172" t="str">
            <v>-</v>
          </cell>
          <cell r="BA172" t="str">
            <v>-</v>
          </cell>
          <cell r="BB172" t="str">
            <v>-</v>
          </cell>
          <cell r="BC172" t="str">
            <v>-</v>
          </cell>
          <cell r="BD172" t="str">
            <v>-</v>
          </cell>
          <cell r="BE172" t="str">
            <v>-</v>
          </cell>
          <cell r="BF172" t="str">
            <v>-</v>
          </cell>
          <cell r="BG172" t="str">
            <v>-</v>
          </cell>
          <cell r="BH172" t="str">
            <v>-</v>
          </cell>
          <cell r="BI172" t="str">
            <v>-</v>
          </cell>
          <cell r="BJ172" t="str">
            <v>-</v>
          </cell>
          <cell r="BK172" t="str">
            <v>-</v>
          </cell>
          <cell r="BL172" t="str">
            <v>-</v>
          </cell>
          <cell r="CW172" t="str">
            <v>無</v>
          </cell>
          <cell r="CX172">
            <v>1</v>
          </cell>
          <cell r="CY172" t="str">
            <v>無</v>
          </cell>
          <cell r="CZ172" t="str">
            <v>無</v>
          </cell>
          <cell r="DA172" t="str">
            <v>無</v>
          </cell>
          <cell r="DB172" t="str">
            <v>無</v>
          </cell>
          <cell r="DC172" t="str">
            <v>無</v>
          </cell>
          <cell r="DD172" t="str">
            <v>無</v>
          </cell>
          <cell r="DE172" t="str">
            <v>無</v>
          </cell>
          <cell r="DF172" t="str">
            <v>無</v>
          </cell>
          <cell r="DG172" t="str">
            <v>無</v>
          </cell>
          <cell r="DH172" t="str">
            <v>無</v>
          </cell>
          <cell r="DI172" t="str">
            <v>無</v>
          </cell>
          <cell r="DJ172" t="str">
            <v>無</v>
          </cell>
          <cell r="DK172" t="str">
            <v>-</v>
          </cell>
          <cell r="DL172" t="str">
            <v>-</v>
          </cell>
          <cell r="DM172" t="str">
            <v>-</v>
          </cell>
          <cell r="DN172" t="str">
            <v>-</v>
          </cell>
          <cell r="DO172" t="str">
            <v>-</v>
          </cell>
          <cell r="DP172" t="str">
            <v>-</v>
          </cell>
          <cell r="DQ172" t="str">
            <v>-</v>
          </cell>
          <cell r="DR172" t="str">
            <v>-</v>
          </cell>
          <cell r="DS172" t="str">
            <v>-</v>
          </cell>
          <cell r="DT172" t="str">
            <v>-</v>
          </cell>
          <cell r="DU172" t="str">
            <v>-</v>
          </cell>
          <cell r="DV172" t="str">
            <v>-</v>
          </cell>
          <cell r="EU172" t="str">
            <v/>
          </cell>
          <cell r="EV172" t="str">
            <v/>
          </cell>
          <cell r="EW172" t="str">
            <v/>
          </cell>
          <cell r="EX172" t="str">
            <v/>
          </cell>
          <cell r="EY172" t="str">
            <v/>
          </cell>
          <cell r="EZ172" t="str">
            <v/>
          </cell>
          <cell r="FA172" t="str">
            <v/>
          </cell>
          <cell r="FB172" t="str">
            <v/>
          </cell>
          <cell r="FC172" t="str">
            <v/>
          </cell>
          <cell r="FD172" t="str">
            <v/>
          </cell>
          <cell r="FE172" t="str">
            <v/>
          </cell>
          <cell r="FF172" t="str">
            <v/>
          </cell>
        </row>
        <row r="173">
          <cell r="C173">
            <v>207</v>
          </cell>
          <cell r="D173" t="str">
            <v>認定こども園　白梅幼稚園</v>
          </cell>
          <cell r="E173" t="str">
            <v>無</v>
          </cell>
          <cell r="F173">
            <v>175</v>
          </cell>
          <cell r="G173">
            <v>105</v>
          </cell>
          <cell r="H173">
            <v>41</v>
          </cell>
          <cell r="I173">
            <v>29</v>
          </cell>
          <cell r="O173">
            <v>1189000</v>
          </cell>
          <cell r="P173">
            <v>2627000</v>
          </cell>
          <cell r="Q173">
            <v>2627000</v>
          </cell>
          <cell r="R173">
            <v>1631000</v>
          </cell>
          <cell r="S173">
            <v>0</v>
          </cell>
          <cell r="T173">
            <v>0</v>
          </cell>
          <cell r="U173">
            <v>0</v>
          </cell>
          <cell r="V173">
            <v>792000</v>
          </cell>
          <cell r="W173">
            <v>1751000</v>
          </cell>
          <cell r="X173">
            <v>1751000</v>
          </cell>
          <cell r="Y173">
            <v>1087000</v>
          </cell>
          <cell r="Z173">
            <v>0</v>
          </cell>
          <cell r="AA173">
            <v>0</v>
          </cell>
          <cell r="AB173">
            <v>0</v>
          </cell>
          <cell r="AC173">
            <v>0</v>
          </cell>
          <cell r="AD173">
            <v>0</v>
          </cell>
          <cell r="AE173">
            <v>0</v>
          </cell>
          <cell r="AF173">
            <v>0</v>
          </cell>
          <cell r="AG173">
            <v>0</v>
          </cell>
          <cell r="AH173">
            <v>0</v>
          </cell>
          <cell r="AI173">
            <v>0</v>
          </cell>
          <cell r="AJ173" t="str">
            <v>令和3年4月1日</v>
          </cell>
          <cell r="AK173" t="str">
            <v>令和3年5月31日交付</v>
          </cell>
          <cell r="AM173" t="str">
            <v>6号の7</v>
          </cell>
          <cell r="AN173" t="str">
            <v>有</v>
          </cell>
          <cell r="AO173" t="str">
            <v>-</v>
          </cell>
          <cell r="AP173" t="str">
            <v>-</v>
          </cell>
          <cell r="AQ173" t="str">
            <v>-</v>
          </cell>
          <cell r="AR173" t="str">
            <v>-</v>
          </cell>
          <cell r="AS173" t="str">
            <v>-</v>
          </cell>
          <cell r="AT173" t="str">
            <v>-</v>
          </cell>
          <cell r="AU173" t="str">
            <v>-</v>
          </cell>
          <cell r="AV173" t="str">
            <v>-</v>
          </cell>
          <cell r="AW173" t="str">
            <v>-</v>
          </cell>
          <cell r="AX173" t="str">
            <v>-</v>
          </cell>
          <cell r="AY173" t="str">
            <v>-</v>
          </cell>
          <cell r="AZ173" t="str">
            <v>-</v>
          </cell>
          <cell r="BA173" t="str">
            <v>-</v>
          </cell>
          <cell r="BB173" t="str">
            <v>-</v>
          </cell>
          <cell r="BC173" t="str">
            <v>-</v>
          </cell>
          <cell r="BD173" t="str">
            <v>-</v>
          </cell>
          <cell r="BE173" t="str">
            <v>-</v>
          </cell>
          <cell r="BF173" t="str">
            <v>-</v>
          </cell>
          <cell r="BG173" t="str">
            <v>-</v>
          </cell>
          <cell r="BH173" t="str">
            <v>-</v>
          </cell>
          <cell r="BI173" t="str">
            <v>-</v>
          </cell>
          <cell r="BJ173" t="str">
            <v>-</v>
          </cell>
          <cell r="BK173" t="str">
            <v>-</v>
          </cell>
          <cell r="BL173" t="str">
            <v>-</v>
          </cell>
          <cell r="BM173">
            <v>1</v>
          </cell>
          <cell r="BN173">
            <v>1</v>
          </cell>
          <cell r="BO173">
            <v>1</v>
          </cell>
          <cell r="BP173">
            <v>1</v>
          </cell>
          <cell r="BQ173">
            <v>1</v>
          </cell>
          <cell r="BR173">
            <v>1</v>
          </cell>
          <cell r="BS173">
            <v>1</v>
          </cell>
          <cell r="BT173">
            <v>1</v>
          </cell>
          <cell r="BU173">
            <v>1</v>
          </cell>
          <cell r="BV173">
            <v>1</v>
          </cell>
          <cell r="BW173">
            <v>1</v>
          </cell>
          <cell r="BX173">
            <v>1</v>
          </cell>
          <cell r="CK173">
            <v>0</v>
          </cell>
          <cell r="CL173">
            <v>0</v>
          </cell>
          <cell r="CM173">
            <v>0</v>
          </cell>
          <cell r="CN173">
            <v>0</v>
          </cell>
          <cell r="CO173">
            <v>0</v>
          </cell>
          <cell r="CP173">
            <v>0</v>
          </cell>
          <cell r="CQ173">
            <v>0</v>
          </cell>
          <cell r="CR173">
            <v>0</v>
          </cell>
          <cell r="CS173">
            <v>0</v>
          </cell>
          <cell r="CT173">
            <v>0</v>
          </cell>
          <cell r="CU173">
            <v>0</v>
          </cell>
          <cell r="CV173">
            <v>0</v>
          </cell>
          <cell r="CW173" t="str">
            <v>無</v>
          </cell>
          <cell r="CX173">
            <v>2</v>
          </cell>
          <cell r="CY173" t="str">
            <v>無</v>
          </cell>
          <cell r="CZ173" t="str">
            <v>無</v>
          </cell>
          <cell r="DA173" t="str">
            <v>無</v>
          </cell>
          <cell r="DB173" t="str">
            <v>無</v>
          </cell>
          <cell r="DC173" t="str">
            <v>無</v>
          </cell>
          <cell r="DD173" t="str">
            <v>無</v>
          </cell>
          <cell r="DE173" t="str">
            <v>無</v>
          </cell>
          <cell r="DF173" t="str">
            <v>無</v>
          </cell>
          <cell r="DG173" t="str">
            <v>無</v>
          </cell>
          <cell r="DH173" t="str">
            <v>無</v>
          </cell>
          <cell r="DI173" t="str">
            <v>無</v>
          </cell>
          <cell r="DJ173" t="str">
            <v>無</v>
          </cell>
          <cell r="DK173" t="str">
            <v>-</v>
          </cell>
          <cell r="DL173" t="str">
            <v>-</v>
          </cell>
          <cell r="DM173" t="str">
            <v>-</v>
          </cell>
          <cell r="DN173" t="str">
            <v>-</v>
          </cell>
          <cell r="DO173" t="str">
            <v>-</v>
          </cell>
          <cell r="DP173" t="str">
            <v>-</v>
          </cell>
          <cell r="DQ173" t="str">
            <v>-</v>
          </cell>
          <cell r="DR173" t="str">
            <v>-</v>
          </cell>
          <cell r="DS173" t="str">
            <v>-</v>
          </cell>
          <cell r="DT173" t="str">
            <v>-</v>
          </cell>
          <cell r="DU173" t="str">
            <v>-</v>
          </cell>
          <cell r="DV173" t="str">
            <v>-</v>
          </cell>
          <cell r="EI173" t="str">
            <v>配置</v>
          </cell>
          <cell r="EJ173" t="str">
            <v>配置</v>
          </cell>
          <cell r="EK173" t="str">
            <v>配置</v>
          </cell>
          <cell r="EL173" t="str">
            <v>配置</v>
          </cell>
          <cell r="EM173" t="str">
            <v>配置</v>
          </cell>
          <cell r="EN173" t="str">
            <v>配置</v>
          </cell>
          <cell r="EO173" t="str">
            <v>配置</v>
          </cell>
          <cell r="EP173" t="str">
            <v>配置</v>
          </cell>
          <cell r="EQ173" t="str">
            <v>配置</v>
          </cell>
          <cell r="ER173" t="str">
            <v>配置</v>
          </cell>
          <cell r="ES173" t="str">
            <v>配置</v>
          </cell>
          <cell r="ET173" t="str">
            <v>配置</v>
          </cell>
          <cell r="EU173">
            <v>76960</v>
          </cell>
          <cell r="EV173">
            <v>76960</v>
          </cell>
          <cell r="EW173">
            <v>76960</v>
          </cell>
          <cell r="EX173">
            <v>76960</v>
          </cell>
          <cell r="EY173">
            <v>76960</v>
          </cell>
          <cell r="EZ173">
            <v>76960</v>
          </cell>
          <cell r="FA173">
            <v>76960</v>
          </cell>
          <cell r="FB173">
            <v>76960</v>
          </cell>
          <cell r="FC173">
            <v>76960</v>
          </cell>
          <cell r="FD173">
            <v>76960</v>
          </cell>
          <cell r="FE173">
            <v>76960</v>
          </cell>
          <cell r="FF173">
            <v>76960</v>
          </cell>
        </row>
        <row r="174">
          <cell r="C174">
            <v>208</v>
          </cell>
          <cell r="D174" t="str">
            <v>幼保連携型認定こども園　植草学園大学附属弁天こども園</v>
          </cell>
          <cell r="E174" t="str">
            <v>無</v>
          </cell>
          <cell r="F174">
            <v>148</v>
          </cell>
          <cell r="G174">
            <v>33</v>
          </cell>
          <cell r="H174">
            <v>70</v>
          </cell>
          <cell r="I174">
            <v>45</v>
          </cell>
          <cell r="O174">
            <v>1189000</v>
          </cell>
          <cell r="P174">
            <v>2627000</v>
          </cell>
          <cell r="Q174">
            <v>2627000</v>
          </cell>
          <cell r="R174">
            <v>981000</v>
          </cell>
          <cell r="S174">
            <v>0</v>
          </cell>
          <cell r="T174">
            <v>0</v>
          </cell>
          <cell r="U174">
            <v>0</v>
          </cell>
          <cell r="V174">
            <v>792000</v>
          </cell>
          <cell r="W174">
            <v>1751000</v>
          </cell>
          <cell r="X174">
            <v>1751000</v>
          </cell>
          <cell r="Y174">
            <v>654000</v>
          </cell>
          <cell r="Z174">
            <v>0</v>
          </cell>
          <cell r="AA174">
            <v>0</v>
          </cell>
          <cell r="AB174">
            <v>0</v>
          </cell>
          <cell r="AC174">
            <v>0</v>
          </cell>
          <cell r="AD174">
            <v>0</v>
          </cell>
          <cell r="AE174">
            <v>0</v>
          </cell>
          <cell r="AF174">
            <v>0</v>
          </cell>
          <cell r="AG174">
            <v>0</v>
          </cell>
          <cell r="AH174">
            <v>0</v>
          </cell>
          <cell r="AI174">
            <v>0</v>
          </cell>
          <cell r="AJ174" t="str">
            <v>令和3年4月1日</v>
          </cell>
          <cell r="AK174" t="str">
            <v>令和3年5月31日交付</v>
          </cell>
          <cell r="AM174" t="str">
            <v>6号の8</v>
          </cell>
          <cell r="AN174" t="str">
            <v>有</v>
          </cell>
          <cell r="AO174" t="str">
            <v>-</v>
          </cell>
          <cell r="AP174" t="str">
            <v>-</v>
          </cell>
          <cell r="AQ174" t="str">
            <v>-</v>
          </cell>
          <cell r="AR174" t="str">
            <v>-</v>
          </cell>
          <cell r="AS174" t="str">
            <v>-</v>
          </cell>
          <cell r="AT174" t="str">
            <v>-</v>
          </cell>
          <cell r="AU174" t="str">
            <v>-</v>
          </cell>
          <cell r="AV174" t="str">
            <v>-</v>
          </cell>
          <cell r="AW174" t="str">
            <v>-</v>
          </cell>
          <cell r="AX174" t="str">
            <v>-</v>
          </cell>
          <cell r="AY174" t="str">
            <v>-</v>
          </cell>
          <cell r="AZ174" t="str">
            <v>-</v>
          </cell>
          <cell r="BA174" t="str">
            <v>-</v>
          </cell>
          <cell r="BB174" t="str">
            <v>-</v>
          </cell>
          <cell r="BC174" t="str">
            <v>-</v>
          </cell>
          <cell r="BD174" t="str">
            <v>-</v>
          </cell>
          <cell r="BE174" t="str">
            <v>-</v>
          </cell>
          <cell r="BF174" t="str">
            <v>-</v>
          </cell>
          <cell r="BG174" t="str">
            <v>-</v>
          </cell>
          <cell r="BH174" t="str">
            <v>-</v>
          </cell>
          <cell r="BI174" t="str">
            <v>-</v>
          </cell>
          <cell r="BJ174" t="str">
            <v>-</v>
          </cell>
          <cell r="BK174" t="str">
            <v>-</v>
          </cell>
          <cell r="BL174" t="str">
            <v>-</v>
          </cell>
          <cell r="BO174">
            <v>1</v>
          </cell>
          <cell r="BP174">
            <v>1</v>
          </cell>
          <cell r="BQ174">
            <v>1</v>
          </cell>
          <cell r="BR174">
            <v>1</v>
          </cell>
          <cell r="BS174">
            <v>1</v>
          </cell>
          <cell r="BT174">
            <v>1</v>
          </cell>
          <cell r="BU174">
            <v>1</v>
          </cell>
          <cell r="BV174">
            <v>1</v>
          </cell>
          <cell r="BW174">
            <v>1</v>
          </cell>
          <cell r="BX174">
            <v>1</v>
          </cell>
          <cell r="CM174">
            <v>0</v>
          </cell>
          <cell r="CN174">
            <v>0</v>
          </cell>
          <cell r="CO174">
            <v>0</v>
          </cell>
          <cell r="CP174">
            <v>0</v>
          </cell>
          <cell r="CQ174">
            <v>0</v>
          </cell>
          <cell r="CR174">
            <v>0</v>
          </cell>
          <cell r="CS174">
            <v>0</v>
          </cell>
          <cell r="CT174">
            <v>0</v>
          </cell>
          <cell r="CU174">
            <v>0</v>
          </cell>
          <cell r="CV174">
            <v>0</v>
          </cell>
          <cell r="CW174" t="str">
            <v>無</v>
          </cell>
          <cell r="CX174">
            <v>2</v>
          </cell>
          <cell r="CY174" t="str">
            <v>無</v>
          </cell>
          <cell r="CZ174" t="str">
            <v>無</v>
          </cell>
          <cell r="DA174" t="str">
            <v>無</v>
          </cell>
          <cell r="DB174" t="str">
            <v>無</v>
          </cell>
          <cell r="DC174" t="str">
            <v>無</v>
          </cell>
          <cell r="DD174" t="str">
            <v>無</v>
          </cell>
          <cell r="DE174" t="str">
            <v>無</v>
          </cell>
          <cell r="DF174" t="str">
            <v>無</v>
          </cell>
          <cell r="DG174" t="str">
            <v>無</v>
          </cell>
          <cell r="DH174" t="str">
            <v>無</v>
          </cell>
          <cell r="DI174" t="str">
            <v>無</v>
          </cell>
          <cell r="DJ174" t="str">
            <v>無</v>
          </cell>
          <cell r="DK174" t="str">
            <v>-</v>
          </cell>
          <cell r="DL174" t="str">
            <v>-</v>
          </cell>
          <cell r="DM174" t="str">
            <v>-</v>
          </cell>
          <cell r="DN174" t="str">
            <v>-</v>
          </cell>
          <cell r="DO174" t="str">
            <v>-</v>
          </cell>
          <cell r="DP174" t="str">
            <v>-</v>
          </cell>
          <cell r="DQ174" t="str">
            <v>-</v>
          </cell>
          <cell r="DR174" t="str">
            <v>-</v>
          </cell>
          <cell r="DS174" t="str">
            <v>-</v>
          </cell>
          <cell r="DT174" t="str">
            <v>-</v>
          </cell>
          <cell r="DU174" t="str">
            <v>-</v>
          </cell>
          <cell r="DV174" t="str">
            <v>-</v>
          </cell>
          <cell r="EI174" t="str">
            <v>配置</v>
          </cell>
          <cell r="EJ174" t="str">
            <v>配置</v>
          </cell>
          <cell r="EK174" t="str">
            <v>配置</v>
          </cell>
          <cell r="EL174" t="str">
            <v>配置</v>
          </cell>
          <cell r="EM174" t="str">
            <v>配置</v>
          </cell>
          <cell r="EN174" t="str">
            <v>配置</v>
          </cell>
          <cell r="EO174" t="str">
            <v>配置</v>
          </cell>
          <cell r="EP174" t="str">
            <v>配置</v>
          </cell>
          <cell r="EQ174" t="str">
            <v>配置</v>
          </cell>
          <cell r="ER174" t="str">
            <v>配置</v>
          </cell>
          <cell r="ES174" t="str">
            <v>配置</v>
          </cell>
          <cell r="ET174" t="str">
            <v>配置</v>
          </cell>
          <cell r="EU174">
            <v>76960</v>
          </cell>
          <cell r="EV174">
            <v>76960</v>
          </cell>
          <cell r="EW174">
            <v>76960</v>
          </cell>
          <cell r="EX174">
            <v>76960</v>
          </cell>
          <cell r="EY174">
            <v>76960</v>
          </cell>
          <cell r="EZ174">
            <v>76960</v>
          </cell>
          <cell r="FA174">
            <v>76960</v>
          </cell>
          <cell r="FB174">
            <v>76960</v>
          </cell>
          <cell r="FC174">
            <v>76960</v>
          </cell>
          <cell r="FD174">
            <v>76960</v>
          </cell>
          <cell r="FE174">
            <v>76960</v>
          </cell>
          <cell r="FF174">
            <v>76960</v>
          </cell>
        </row>
        <row r="175">
          <cell r="C175">
            <v>209</v>
          </cell>
          <cell r="D175" t="str">
            <v>認定こども園　葵幼稚園</v>
          </cell>
          <cell r="E175" t="str">
            <v>無</v>
          </cell>
          <cell r="F175">
            <v>195</v>
          </cell>
          <cell r="G175">
            <v>165</v>
          </cell>
          <cell r="H175">
            <v>30</v>
          </cell>
          <cell r="I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t="str">
            <v>令和3年4月1日</v>
          </cell>
          <cell r="AN175" t="str">
            <v>有</v>
          </cell>
          <cell r="AO175" t="str">
            <v>-</v>
          </cell>
          <cell r="AP175" t="str">
            <v>-</v>
          </cell>
          <cell r="AQ175" t="str">
            <v>-</v>
          </cell>
          <cell r="AR175" t="str">
            <v>-</v>
          </cell>
          <cell r="AS175" t="str">
            <v>-</v>
          </cell>
          <cell r="AT175" t="str">
            <v>-</v>
          </cell>
          <cell r="AU175" t="str">
            <v>-</v>
          </cell>
          <cell r="AV175" t="str">
            <v>-</v>
          </cell>
          <cell r="AW175" t="str">
            <v>-</v>
          </cell>
          <cell r="AX175" t="str">
            <v>-</v>
          </cell>
          <cell r="AY175" t="str">
            <v>-</v>
          </cell>
          <cell r="AZ175" t="str">
            <v>-</v>
          </cell>
          <cell r="BA175" t="str">
            <v>-</v>
          </cell>
          <cell r="BB175" t="str">
            <v>-</v>
          </cell>
          <cell r="BC175" t="str">
            <v>-</v>
          </cell>
          <cell r="BD175" t="str">
            <v>-</v>
          </cell>
          <cell r="BE175" t="str">
            <v>-</v>
          </cell>
          <cell r="BF175" t="str">
            <v>-</v>
          </cell>
          <cell r="BG175" t="str">
            <v>-</v>
          </cell>
          <cell r="BH175" t="str">
            <v>-</v>
          </cell>
          <cell r="BI175" t="str">
            <v>-</v>
          </cell>
          <cell r="BJ175" t="str">
            <v>-</v>
          </cell>
          <cell r="BK175" t="str">
            <v>-</v>
          </cell>
          <cell r="BL175" t="str">
            <v>-</v>
          </cell>
          <cell r="CW175" t="str">
            <v>無</v>
          </cell>
          <cell r="CX175">
            <v>0</v>
          </cell>
          <cell r="DK175" t="str">
            <v>-</v>
          </cell>
          <cell r="DL175" t="str">
            <v>-</v>
          </cell>
          <cell r="DM175" t="str">
            <v>-</v>
          </cell>
          <cell r="DN175" t="str">
            <v>-</v>
          </cell>
          <cell r="DO175" t="str">
            <v>-</v>
          </cell>
          <cell r="DP175" t="str">
            <v>-</v>
          </cell>
          <cell r="DQ175" t="str">
            <v>-</v>
          </cell>
          <cell r="DR175" t="str">
            <v>-</v>
          </cell>
          <cell r="DS175" t="str">
            <v>-</v>
          </cell>
          <cell r="DT175" t="str">
            <v>-</v>
          </cell>
          <cell r="DU175" t="str">
            <v>-</v>
          </cell>
          <cell r="DV175" t="str">
            <v>-</v>
          </cell>
          <cell r="EI175" t="str">
            <v>嘱託</v>
          </cell>
          <cell r="EJ175" t="str">
            <v>嘱託</v>
          </cell>
          <cell r="EK175" t="str">
            <v>嘱託</v>
          </cell>
          <cell r="EL175" t="str">
            <v>嘱託</v>
          </cell>
          <cell r="EM175" t="str">
            <v>嘱託</v>
          </cell>
          <cell r="EN175" t="str">
            <v>嘱託</v>
          </cell>
          <cell r="EO175" t="str">
            <v>嘱託</v>
          </cell>
          <cell r="EP175" t="str">
            <v>嘱託</v>
          </cell>
          <cell r="EQ175" t="str">
            <v>嘱託</v>
          </cell>
          <cell r="ER175" t="str">
            <v>嘱託</v>
          </cell>
          <cell r="ES175" t="str">
            <v>嘱託</v>
          </cell>
          <cell r="ET175" t="str">
            <v>嘱託</v>
          </cell>
          <cell r="EU175" t="str">
            <v/>
          </cell>
          <cell r="EV175" t="str">
            <v/>
          </cell>
          <cell r="EW175" t="str">
            <v/>
          </cell>
          <cell r="EX175" t="str">
            <v/>
          </cell>
          <cell r="EY175" t="str">
            <v/>
          </cell>
          <cell r="EZ175" t="str">
            <v/>
          </cell>
          <cell r="FA175" t="str">
            <v/>
          </cell>
          <cell r="FB175" t="str">
            <v/>
          </cell>
          <cell r="FC175" t="str">
            <v/>
          </cell>
          <cell r="FD175" t="str">
            <v/>
          </cell>
          <cell r="FE175" t="str">
            <v/>
          </cell>
          <cell r="FF175" t="str">
            <v/>
          </cell>
        </row>
        <row r="176">
          <cell r="C176">
            <v>210</v>
          </cell>
          <cell r="D176" t="str">
            <v>認定こども園　仁戸名幼稚園</v>
          </cell>
          <cell r="E176" t="str">
            <v>無</v>
          </cell>
          <cell r="F176">
            <v>195</v>
          </cell>
          <cell r="G176">
            <v>165</v>
          </cell>
          <cell r="H176">
            <v>30</v>
          </cell>
          <cell r="I176">
            <v>0</v>
          </cell>
          <cell r="O176">
            <v>720000</v>
          </cell>
          <cell r="P176">
            <v>2627000</v>
          </cell>
          <cell r="Q176">
            <v>2627000</v>
          </cell>
          <cell r="R176">
            <v>1631000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t="str">
            <v>令和3年4月1日</v>
          </cell>
          <cell r="AM176" t="str">
            <v>6号の9</v>
          </cell>
          <cell r="AN176" t="str">
            <v>有</v>
          </cell>
          <cell r="AO176" t="str">
            <v>-</v>
          </cell>
          <cell r="AP176" t="str">
            <v>-</v>
          </cell>
          <cell r="AQ176" t="str">
            <v>-</v>
          </cell>
          <cell r="AR176" t="str">
            <v>-</v>
          </cell>
          <cell r="AS176" t="str">
            <v>-</v>
          </cell>
          <cell r="AT176" t="str">
            <v>-</v>
          </cell>
          <cell r="AU176" t="str">
            <v>-</v>
          </cell>
          <cell r="AV176" t="str">
            <v>-</v>
          </cell>
          <cell r="AW176" t="str">
            <v>-</v>
          </cell>
          <cell r="AX176" t="str">
            <v>-</v>
          </cell>
          <cell r="AY176" t="str">
            <v>-</v>
          </cell>
          <cell r="AZ176" t="str">
            <v>-</v>
          </cell>
          <cell r="BA176" t="str">
            <v>-</v>
          </cell>
          <cell r="BB176" t="str">
            <v>-</v>
          </cell>
          <cell r="BC176" t="str">
            <v>-</v>
          </cell>
          <cell r="BD176" t="str">
            <v>-</v>
          </cell>
          <cell r="BE176" t="str">
            <v>-</v>
          </cell>
          <cell r="BF176" t="str">
            <v>-</v>
          </cell>
          <cell r="BG176" t="str">
            <v>-</v>
          </cell>
          <cell r="BH176" t="str">
            <v>-</v>
          </cell>
          <cell r="BI176" t="str">
            <v>-</v>
          </cell>
          <cell r="BJ176" t="str">
            <v>-</v>
          </cell>
          <cell r="BK176" t="str">
            <v>-</v>
          </cell>
          <cell r="BL176" t="str">
            <v>-</v>
          </cell>
          <cell r="CW176" t="str">
            <v>無</v>
          </cell>
          <cell r="CX176">
            <v>0</v>
          </cell>
          <cell r="CY176" t="str">
            <v>無</v>
          </cell>
          <cell r="CZ176" t="str">
            <v>無</v>
          </cell>
          <cell r="DA176" t="str">
            <v>無</v>
          </cell>
          <cell r="DB176" t="str">
            <v>無</v>
          </cell>
          <cell r="DC176" t="str">
            <v>無</v>
          </cell>
          <cell r="DD176" t="str">
            <v>無</v>
          </cell>
          <cell r="DE176" t="str">
            <v>無</v>
          </cell>
          <cell r="DF176" t="str">
            <v>無</v>
          </cell>
          <cell r="DG176" t="str">
            <v>無</v>
          </cell>
          <cell r="DH176" t="str">
            <v>無</v>
          </cell>
          <cell r="DI176" t="str">
            <v>無</v>
          </cell>
          <cell r="DJ176" t="str">
            <v>無</v>
          </cell>
          <cell r="DK176" t="str">
            <v>-</v>
          </cell>
          <cell r="DL176" t="str">
            <v>-</v>
          </cell>
          <cell r="DM176" t="str">
            <v>-</v>
          </cell>
          <cell r="DN176" t="str">
            <v>-</v>
          </cell>
          <cell r="DO176" t="str">
            <v>-</v>
          </cell>
          <cell r="DP176" t="str">
            <v>-</v>
          </cell>
          <cell r="DQ176" t="str">
            <v>-</v>
          </cell>
          <cell r="DR176" t="str">
            <v>-</v>
          </cell>
          <cell r="DS176" t="str">
            <v>-</v>
          </cell>
          <cell r="DT176" t="str">
            <v>-</v>
          </cell>
          <cell r="DU176" t="str">
            <v>-</v>
          </cell>
          <cell r="DV176" t="str">
            <v>-</v>
          </cell>
          <cell r="DW176" t="str">
            <v>有</v>
          </cell>
          <cell r="DX176" t="str">
            <v>有</v>
          </cell>
          <cell r="DY176" t="str">
            <v>有</v>
          </cell>
          <cell r="DZ176" t="str">
            <v>有</v>
          </cell>
          <cell r="EA176" t="str">
            <v>有</v>
          </cell>
          <cell r="EB176" t="str">
            <v>有</v>
          </cell>
          <cell r="EC176" t="str">
            <v>有</v>
          </cell>
          <cell r="ED176" t="str">
            <v>有</v>
          </cell>
          <cell r="EE176" t="str">
            <v>有</v>
          </cell>
          <cell r="EF176" t="str">
            <v>有</v>
          </cell>
          <cell r="EG176" t="str">
            <v>有</v>
          </cell>
          <cell r="EH176" t="str">
            <v>有</v>
          </cell>
          <cell r="EU176" t="str">
            <v/>
          </cell>
          <cell r="EV176" t="str">
            <v/>
          </cell>
          <cell r="EW176" t="str">
            <v/>
          </cell>
          <cell r="EX176" t="str">
            <v/>
          </cell>
          <cell r="EY176" t="str">
            <v/>
          </cell>
          <cell r="EZ176" t="str">
            <v/>
          </cell>
          <cell r="FA176" t="str">
            <v/>
          </cell>
          <cell r="FB176" t="str">
            <v/>
          </cell>
          <cell r="FC176" t="str">
            <v/>
          </cell>
          <cell r="FD176" t="str">
            <v/>
          </cell>
          <cell r="FE176" t="str">
            <v/>
          </cell>
          <cell r="FF176" t="str">
            <v/>
          </cell>
        </row>
        <row r="177">
          <cell r="C177">
            <v>211</v>
          </cell>
          <cell r="D177" t="str">
            <v>認定こども園　はまの幼稚園</v>
          </cell>
          <cell r="E177" t="str">
            <v>無</v>
          </cell>
          <cell r="F177">
            <v>325</v>
          </cell>
          <cell r="G177">
            <v>240</v>
          </cell>
          <cell r="H177">
            <v>45</v>
          </cell>
          <cell r="I177">
            <v>40</v>
          </cell>
          <cell r="O177">
            <v>1189000</v>
          </cell>
          <cell r="P177">
            <v>2627000</v>
          </cell>
          <cell r="Q177">
            <v>2627000</v>
          </cell>
          <cell r="R177">
            <v>1631000</v>
          </cell>
          <cell r="S177">
            <v>0</v>
          </cell>
          <cell r="T177">
            <v>0</v>
          </cell>
          <cell r="U177">
            <v>0</v>
          </cell>
          <cell r="V177">
            <v>792000</v>
          </cell>
          <cell r="W177">
            <v>1751000</v>
          </cell>
          <cell r="X177">
            <v>1751000</v>
          </cell>
          <cell r="Y177">
            <v>1087000</v>
          </cell>
          <cell r="Z177">
            <v>0</v>
          </cell>
          <cell r="AA177">
            <v>0</v>
          </cell>
          <cell r="AB177">
            <v>0</v>
          </cell>
          <cell r="AC177">
            <v>0</v>
          </cell>
          <cell r="AD177">
            <v>0</v>
          </cell>
          <cell r="AE177">
            <v>0</v>
          </cell>
          <cell r="AF177">
            <v>0</v>
          </cell>
          <cell r="AG177">
            <v>0</v>
          </cell>
          <cell r="AH177">
            <v>0</v>
          </cell>
          <cell r="AI177">
            <v>0</v>
          </cell>
          <cell r="AJ177" t="str">
            <v>令和3年4月1日</v>
          </cell>
          <cell r="AK177" t="str">
            <v>令和3年5月31日交付</v>
          </cell>
          <cell r="AM177" t="str">
            <v>6号の10</v>
          </cell>
          <cell r="AN177" t="str">
            <v>有</v>
          </cell>
          <cell r="AO177" t="str">
            <v>-</v>
          </cell>
          <cell r="AP177" t="str">
            <v>-</v>
          </cell>
          <cell r="AQ177" t="str">
            <v>-</v>
          </cell>
          <cell r="AR177" t="str">
            <v>-</v>
          </cell>
          <cell r="AS177" t="str">
            <v>-</v>
          </cell>
          <cell r="AT177" t="str">
            <v>-</v>
          </cell>
          <cell r="AU177" t="str">
            <v>-</v>
          </cell>
          <cell r="AV177" t="str">
            <v>-</v>
          </cell>
          <cell r="AW177" t="str">
            <v>-</v>
          </cell>
          <cell r="AX177" t="str">
            <v>-</v>
          </cell>
          <cell r="AY177" t="str">
            <v>-</v>
          </cell>
          <cell r="AZ177" t="str">
            <v>-</v>
          </cell>
          <cell r="BA177" t="str">
            <v>-</v>
          </cell>
          <cell r="BB177" t="str">
            <v>-</v>
          </cell>
          <cell r="BC177" t="str">
            <v>-</v>
          </cell>
          <cell r="BD177" t="str">
            <v>-</v>
          </cell>
          <cell r="BE177" t="str">
            <v>-</v>
          </cell>
          <cell r="BF177" t="str">
            <v>-</v>
          </cell>
          <cell r="BG177" t="str">
            <v>-</v>
          </cell>
          <cell r="BH177" t="str">
            <v>-</v>
          </cell>
          <cell r="BI177" t="str">
            <v>-</v>
          </cell>
          <cell r="BJ177" t="str">
            <v>-</v>
          </cell>
          <cell r="BK177" t="str">
            <v>-</v>
          </cell>
          <cell r="BL177" t="str">
            <v>-</v>
          </cell>
          <cell r="CW177" t="str">
            <v>無</v>
          </cell>
          <cell r="CX177">
            <v>2</v>
          </cell>
          <cell r="CY177" t="str">
            <v>無</v>
          </cell>
          <cell r="CZ177" t="str">
            <v>無</v>
          </cell>
          <cell r="DA177" t="str">
            <v>無</v>
          </cell>
          <cell r="DB177" t="str">
            <v>無</v>
          </cell>
          <cell r="DC177" t="str">
            <v>無</v>
          </cell>
          <cell r="DD177" t="str">
            <v>無</v>
          </cell>
          <cell r="DE177" t="str">
            <v>無</v>
          </cell>
          <cell r="DF177" t="str">
            <v>無</v>
          </cell>
          <cell r="DG177" t="str">
            <v>無</v>
          </cell>
          <cell r="DH177" t="str">
            <v>無</v>
          </cell>
          <cell r="DI177" t="str">
            <v>無</v>
          </cell>
          <cell r="DJ177" t="str">
            <v>無</v>
          </cell>
          <cell r="DK177" t="str">
            <v>-</v>
          </cell>
          <cell r="DL177" t="str">
            <v>-</v>
          </cell>
          <cell r="DM177" t="str">
            <v>-</v>
          </cell>
          <cell r="DN177" t="str">
            <v>-</v>
          </cell>
          <cell r="DO177" t="str">
            <v>-</v>
          </cell>
          <cell r="DP177" t="str">
            <v>-</v>
          </cell>
          <cell r="DQ177" t="str">
            <v>-</v>
          </cell>
          <cell r="DR177" t="str">
            <v>-</v>
          </cell>
          <cell r="DS177" t="str">
            <v>-</v>
          </cell>
          <cell r="DT177" t="str">
            <v>-</v>
          </cell>
          <cell r="DU177" t="str">
            <v>-</v>
          </cell>
          <cell r="DV177" t="str">
            <v>-</v>
          </cell>
          <cell r="EI177" t="str">
            <v>配置</v>
          </cell>
          <cell r="EJ177" t="str">
            <v>配置</v>
          </cell>
          <cell r="EK177" t="str">
            <v>配置</v>
          </cell>
          <cell r="EL177" t="str">
            <v>配置</v>
          </cell>
          <cell r="EM177" t="str">
            <v>配置</v>
          </cell>
          <cell r="EN177" t="str">
            <v>配置</v>
          </cell>
          <cell r="EO177" t="str">
            <v>配置</v>
          </cell>
          <cell r="EP177" t="str">
            <v>配置</v>
          </cell>
          <cell r="EQ177" t="str">
            <v>配置</v>
          </cell>
          <cell r="ER177" t="str">
            <v>配置</v>
          </cell>
          <cell r="ES177" t="str">
            <v>配置</v>
          </cell>
          <cell r="ET177" t="str">
            <v>配置</v>
          </cell>
          <cell r="EU177">
            <v>76960</v>
          </cell>
          <cell r="EV177">
            <v>76960</v>
          </cell>
          <cell r="EW177">
            <v>76960</v>
          </cell>
          <cell r="EX177">
            <v>76960</v>
          </cell>
          <cell r="EY177">
            <v>76960</v>
          </cell>
          <cell r="EZ177">
            <v>76960</v>
          </cell>
          <cell r="FA177">
            <v>76960</v>
          </cell>
          <cell r="FB177">
            <v>76960</v>
          </cell>
          <cell r="FC177">
            <v>76960</v>
          </cell>
          <cell r="FD177">
            <v>76960</v>
          </cell>
          <cell r="FE177">
            <v>76960</v>
          </cell>
          <cell r="FF177">
            <v>76960</v>
          </cell>
        </row>
        <row r="178">
          <cell r="C178">
            <v>212</v>
          </cell>
          <cell r="D178" t="str">
            <v>認定こども園　ひまわり幼稚園</v>
          </cell>
          <cell r="E178" t="str">
            <v>無</v>
          </cell>
          <cell r="F178">
            <v>135</v>
          </cell>
          <cell r="G178">
            <v>105</v>
          </cell>
          <cell r="H178">
            <v>30</v>
          </cell>
          <cell r="I178">
            <v>0</v>
          </cell>
          <cell r="O178">
            <v>1189000</v>
          </cell>
          <cell r="P178">
            <v>2627000</v>
          </cell>
          <cell r="Q178">
            <v>0</v>
          </cell>
          <cell r="R178">
            <v>1631000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t="str">
            <v>令和3年4月1日</v>
          </cell>
          <cell r="AM178" t="str">
            <v>6号の11</v>
          </cell>
          <cell r="AN178" t="str">
            <v>有</v>
          </cell>
          <cell r="AO178" t="str">
            <v>-</v>
          </cell>
          <cell r="AP178" t="str">
            <v>-</v>
          </cell>
          <cell r="AQ178" t="str">
            <v>-</v>
          </cell>
          <cell r="AR178" t="str">
            <v>-</v>
          </cell>
          <cell r="AS178" t="str">
            <v>-</v>
          </cell>
          <cell r="AT178" t="str">
            <v>-</v>
          </cell>
          <cell r="AU178" t="str">
            <v>-</v>
          </cell>
          <cell r="AV178" t="str">
            <v>-</v>
          </cell>
          <cell r="AW178" t="str">
            <v>-</v>
          </cell>
          <cell r="AX178" t="str">
            <v>-</v>
          </cell>
          <cell r="AY178" t="str">
            <v>-</v>
          </cell>
          <cell r="AZ178" t="str">
            <v>-</v>
          </cell>
          <cell r="BA178" t="str">
            <v>-</v>
          </cell>
          <cell r="BB178" t="str">
            <v>-</v>
          </cell>
          <cell r="BC178" t="str">
            <v>-</v>
          </cell>
          <cell r="BD178" t="str">
            <v>-</v>
          </cell>
          <cell r="BE178" t="str">
            <v>-</v>
          </cell>
          <cell r="BF178" t="str">
            <v>-</v>
          </cell>
          <cell r="BG178" t="str">
            <v>-</v>
          </cell>
          <cell r="BH178" t="str">
            <v>-</v>
          </cell>
          <cell r="BI178" t="str">
            <v>-</v>
          </cell>
          <cell r="BJ178" t="str">
            <v>-</v>
          </cell>
          <cell r="BK178" t="str">
            <v>-</v>
          </cell>
          <cell r="BL178" t="str">
            <v>-</v>
          </cell>
          <cell r="CW178" t="str">
            <v>無</v>
          </cell>
          <cell r="CX178">
            <v>0</v>
          </cell>
          <cell r="CY178" t="str">
            <v>無</v>
          </cell>
          <cell r="CZ178" t="str">
            <v>無</v>
          </cell>
          <cell r="DA178" t="str">
            <v>無</v>
          </cell>
          <cell r="DB178" t="str">
            <v>無</v>
          </cell>
          <cell r="DC178" t="str">
            <v>無</v>
          </cell>
          <cell r="DD178" t="str">
            <v>無</v>
          </cell>
          <cell r="DE178" t="str">
            <v>無</v>
          </cell>
          <cell r="DF178" t="str">
            <v>無</v>
          </cell>
          <cell r="DG178" t="str">
            <v>無</v>
          </cell>
          <cell r="DH178" t="str">
            <v>無</v>
          </cell>
          <cell r="DI178" t="str">
            <v>無</v>
          </cell>
          <cell r="DJ178" t="str">
            <v>無</v>
          </cell>
          <cell r="DK178" t="str">
            <v>-</v>
          </cell>
          <cell r="DL178" t="str">
            <v>-</v>
          </cell>
          <cell r="DM178" t="str">
            <v>-</v>
          </cell>
          <cell r="DN178" t="str">
            <v>-</v>
          </cell>
          <cell r="DO178" t="str">
            <v>-</v>
          </cell>
          <cell r="DP178" t="str">
            <v>-</v>
          </cell>
          <cell r="DQ178" t="str">
            <v>-</v>
          </cell>
          <cell r="DR178" t="str">
            <v>-</v>
          </cell>
          <cell r="DS178" t="str">
            <v>-</v>
          </cell>
          <cell r="DT178" t="str">
            <v>-</v>
          </cell>
          <cell r="DU178" t="str">
            <v>-</v>
          </cell>
          <cell r="DV178" t="str">
            <v>-</v>
          </cell>
          <cell r="EU178" t="str">
            <v/>
          </cell>
          <cell r="EV178" t="str">
            <v/>
          </cell>
          <cell r="EW178" t="str">
            <v/>
          </cell>
          <cell r="EX178" t="str">
            <v/>
          </cell>
          <cell r="EY178" t="str">
            <v/>
          </cell>
          <cell r="EZ178" t="str">
            <v/>
          </cell>
          <cell r="FA178" t="str">
            <v/>
          </cell>
          <cell r="FB178" t="str">
            <v/>
          </cell>
          <cell r="FC178" t="str">
            <v/>
          </cell>
          <cell r="FD178" t="str">
            <v/>
          </cell>
          <cell r="FE178" t="str">
            <v/>
          </cell>
          <cell r="FF178" t="str">
            <v/>
          </cell>
        </row>
        <row r="179">
          <cell r="C179">
            <v>213</v>
          </cell>
          <cell r="D179" t="str">
            <v>認定こども園　みつわ台幼稚園</v>
          </cell>
          <cell r="E179" t="str">
            <v>無</v>
          </cell>
          <cell r="F179">
            <v>190</v>
          </cell>
          <cell r="G179">
            <v>150</v>
          </cell>
          <cell r="H179">
            <v>40</v>
          </cell>
          <cell r="I179">
            <v>0</v>
          </cell>
          <cell r="O179">
            <v>1189000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t="str">
            <v>令和3年4月1日</v>
          </cell>
          <cell r="AM179" t="str">
            <v>6号の12</v>
          </cell>
          <cell r="AN179" t="str">
            <v>有</v>
          </cell>
          <cell r="AO179" t="str">
            <v>-</v>
          </cell>
          <cell r="AP179" t="str">
            <v>-</v>
          </cell>
          <cell r="AQ179" t="str">
            <v>-</v>
          </cell>
          <cell r="AR179" t="str">
            <v>-</v>
          </cell>
          <cell r="AS179" t="str">
            <v>-</v>
          </cell>
          <cell r="AT179" t="str">
            <v>-</v>
          </cell>
          <cell r="AU179" t="str">
            <v>-</v>
          </cell>
          <cell r="AV179" t="str">
            <v>-</v>
          </cell>
          <cell r="AW179" t="str">
            <v>-</v>
          </cell>
          <cell r="AX179" t="str">
            <v>-</v>
          </cell>
          <cell r="AY179" t="str">
            <v>-</v>
          </cell>
          <cell r="AZ179" t="str">
            <v>-</v>
          </cell>
          <cell r="BA179" t="str">
            <v>-</v>
          </cell>
          <cell r="BB179" t="str">
            <v>-</v>
          </cell>
          <cell r="BC179" t="str">
            <v>-</v>
          </cell>
          <cell r="BD179" t="str">
            <v>-</v>
          </cell>
          <cell r="BE179" t="str">
            <v>-</v>
          </cell>
          <cell r="BF179" t="str">
            <v>-</v>
          </cell>
          <cell r="BG179" t="str">
            <v>-</v>
          </cell>
          <cell r="BH179" t="str">
            <v>-</v>
          </cell>
          <cell r="BI179" t="str">
            <v>-</v>
          </cell>
          <cell r="BJ179" t="str">
            <v>-</v>
          </cell>
          <cell r="BK179" t="str">
            <v>-</v>
          </cell>
          <cell r="BL179" t="str">
            <v>-</v>
          </cell>
          <cell r="BM179">
            <v>1</v>
          </cell>
          <cell r="BN179">
            <v>1</v>
          </cell>
          <cell r="BO179">
            <v>1</v>
          </cell>
          <cell r="BP179">
            <v>1</v>
          </cell>
          <cell r="BQ179">
            <v>1</v>
          </cell>
          <cell r="BR179">
            <v>1</v>
          </cell>
          <cell r="BS179">
            <v>1</v>
          </cell>
          <cell r="BT179">
            <v>1</v>
          </cell>
          <cell r="BU179">
            <v>1</v>
          </cell>
          <cell r="BV179">
            <v>1</v>
          </cell>
          <cell r="BW179">
            <v>1</v>
          </cell>
          <cell r="BX179">
            <v>1</v>
          </cell>
          <cell r="CK179">
            <v>0</v>
          </cell>
          <cell r="CL179">
            <v>0</v>
          </cell>
          <cell r="CM179">
            <v>0</v>
          </cell>
          <cell r="CN179">
            <v>0</v>
          </cell>
          <cell r="CO179">
            <v>0</v>
          </cell>
          <cell r="CP179">
            <v>0</v>
          </cell>
          <cell r="CQ179">
            <v>0</v>
          </cell>
          <cell r="CR179">
            <v>0</v>
          </cell>
          <cell r="CS179">
            <v>0</v>
          </cell>
          <cell r="CT179">
            <v>0</v>
          </cell>
          <cell r="CU179">
            <v>0</v>
          </cell>
          <cell r="CV179">
            <v>0</v>
          </cell>
          <cell r="CW179" t="str">
            <v>無</v>
          </cell>
          <cell r="CX179">
            <v>0</v>
          </cell>
          <cell r="DK179" t="str">
            <v>-</v>
          </cell>
          <cell r="DL179" t="str">
            <v>-</v>
          </cell>
          <cell r="DM179" t="str">
            <v>-</v>
          </cell>
          <cell r="DN179" t="str">
            <v>-</v>
          </cell>
          <cell r="DO179" t="str">
            <v>-</v>
          </cell>
          <cell r="DP179" t="str">
            <v>-</v>
          </cell>
          <cell r="DQ179" t="str">
            <v>-</v>
          </cell>
          <cell r="DR179" t="str">
            <v>-</v>
          </cell>
          <cell r="DS179" t="str">
            <v>-</v>
          </cell>
          <cell r="DT179" t="str">
            <v>-</v>
          </cell>
          <cell r="DU179" t="str">
            <v>-</v>
          </cell>
          <cell r="DV179" t="str">
            <v>-</v>
          </cell>
          <cell r="EU179" t="str">
            <v/>
          </cell>
          <cell r="EV179" t="str">
            <v/>
          </cell>
          <cell r="EW179" t="str">
            <v/>
          </cell>
          <cell r="EX179" t="str">
            <v/>
          </cell>
          <cell r="EY179" t="str">
            <v/>
          </cell>
          <cell r="EZ179" t="str">
            <v/>
          </cell>
          <cell r="FA179" t="str">
            <v/>
          </cell>
          <cell r="FB179" t="str">
            <v/>
          </cell>
          <cell r="FC179" t="str">
            <v/>
          </cell>
          <cell r="FD179" t="str">
            <v/>
          </cell>
          <cell r="FE179" t="str">
            <v/>
          </cell>
          <cell r="FF179" t="str">
            <v/>
          </cell>
        </row>
        <row r="180">
          <cell r="C180">
            <v>214</v>
          </cell>
          <cell r="D180" t="str">
            <v>認定こども園　キッズビレッジ</v>
          </cell>
          <cell r="E180" t="str">
            <v>無</v>
          </cell>
          <cell r="F180">
            <v>220</v>
          </cell>
          <cell r="G180">
            <v>90</v>
          </cell>
          <cell r="H180">
            <v>90</v>
          </cell>
          <cell r="I180">
            <v>40</v>
          </cell>
          <cell r="O180">
            <v>1189000</v>
          </cell>
          <cell r="P180">
            <v>0</v>
          </cell>
          <cell r="Q180">
            <v>0</v>
          </cell>
          <cell r="R180">
            <v>1631000</v>
          </cell>
          <cell r="S180">
            <v>1295000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t="str">
            <v>令和3年4月1日</v>
          </cell>
          <cell r="AM180" t="str">
            <v>6号の13</v>
          </cell>
          <cell r="AN180" t="str">
            <v>有</v>
          </cell>
          <cell r="AO180" t="str">
            <v>-</v>
          </cell>
          <cell r="AP180" t="str">
            <v>-</v>
          </cell>
          <cell r="AQ180" t="str">
            <v>-</v>
          </cell>
          <cell r="AR180" t="str">
            <v>-</v>
          </cell>
          <cell r="AS180" t="str">
            <v>-</v>
          </cell>
          <cell r="AT180" t="str">
            <v>-</v>
          </cell>
          <cell r="AU180" t="str">
            <v>-</v>
          </cell>
          <cell r="AV180" t="str">
            <v>-</v>
          </cell>
          <cell r="AW180" t="str">
            <v>-</v>
          </cell>
          <cell r="AX180" t="str">
            <v>-</v>
          </cell>
          <cell r="AY180" t="str">
            <v>-</v>
          </cell>
          <cell r="AZ180" t="str">
            <v>-</v>
          </cell>
          <cell r="BA180" t="str">
            <v>-</v>
          </cell>
          <cell r="BB180" t="str">
            <v>-</v>
          </cell>
          <cell r="BC180" t="str">
            <v>-</v>
          </cell>
          <cell r="BD180" t="str">
            <v>-</v>
          </cell>
          <cell r="BE180" t="str">
            <v>-</v>
          </cell>
          <cell r="BF180" t="str">
            <v>-</v>
          </cell>
          <cell r="BG180" t="str">
            <v>-</v>
          </cell>
          <cell r="BH180" t="str">
            <v>-</v>
          </cell>
          <cell r="BI180" t="str">
            <v>-</v>
          </cell>
          <cell r="BJ180" t="str">
            <v>-</v>
          </cell>
          <cell r="BK180" t="str">
            <v>-</v>
          </cell>
          <cell r="BL180" t="str">
            <v>-</v>
          </cell>
          <cell r="CW180" t="str">
            <v>無</v>
          </cell>
          <cell r="CX180">
            <v>0</v>
          </cell>
          <cell r="CY180" t="str">
            <v>無</v>
          </cell>
          <cell r="CZ180" t="str">
            <v>無</v>
          </cell>
          <cell r="DA180" t="str">
            <v>無</v>
          </cell>
          <cell r="DB180" t="str">
            <v>無</v>
          </cell>
          <cell r="DC180" t="str">
            <v>無</v>
          </cell>
          <cell r="DD180" t="str">
            <v>無</v>
          </cell>
          <cell r="DE180" t="str">
            <v>無</v>
          </cell>
          <cell r="DF180" t="str">
            <v>無</v>
          </cell>
          <cell r="DG180" t="str">
            <v>無</v>
          </cell>
          <cell r="DH180" t="str">
            <v>無</v>
          </cell>
          <cell r="DI180" t="str">
            <v>無</v>
          </cell>
          <cell r="DJ180" t="str">
            <v>無</v>
          </cell>
          <cell r="DK180" t="str">
            <v>-</v>
          </cell>
          <cell r="DL180" t="str">
            <v>-</v>
          </cell>
          <cell r="DM180" t="str">
            <v>-</v>
          </cell>
          <cell r="DN180" t="str">
            <v>-</v>
          </cell>
          <cell r="DO180" t="str">
            <v>-</v>
          </cell>
          <cell r="DP180" t="str">
            <v>-</v>
          </cell>
          <cell r="DQ180" t="str">
            <v>-</v>
          </cell>
          <cell r="DR180" t="str">
            <v>-</v>
          </cell>
          <cell r="DS180" t="str">
            <v>-</v>
          </cell>
          <cell r="DT180" t="str">
            <v>-</v>
          </cell>
          <cell r="DU180" t="str">
            <v>-</v>
          </cell>
          <cell r="DV180" t="str">
            <v>-</v>
          </cell>
          <cell r="DW180" t="str">
            <v>有</v>
          </cell>
          <cell r="DX180" t="str">
            <v>有</v>
          </cell>
          <cell r="DY180" t="str">
            <v>有</v>
          </cell>
          <cell r="DZ180" t="str">
            <v>有</v>
          </cell>
          <cell r="EA180" t="str">
            <v>有</v>
          </cell>
          <cell r="EB180" t="str">
            <v>有</v>
          </cell>
          <cell r="EC180" t="str">
            <v>有</v>
          </cell>
          <cell r="ED180" t="str">
            <v>有</v>
          </cell>
          <cell r="EE180" t="str">
            <v>有</v>
          </cell>
          <cell r="EF180" t="str">
            <v>有</v>
          </cell>
          <cell r="EG180" t="str">
            <v>有</v>
          </cell>
          <cell r="EH180" t="str">
            <v>有</v>
          </cell>
          <cell r="EI180" t="str">
            <v>配置</v>
          </cell>
          <cell r="EJ180" t="str">
            <v>配置</v>
          </cell>
          <cell r="EK180" t="str">
            <v>配置</v>
          </cell>
          <cell r="EL180" t="str">
            <v>配置</v>
          </cell>
          <cell r="EM180" t="str">
            <v>配置</v>
          </cell>
          <cell r="EN180" t="str">
            <v>配置</v>
          </cell>
          <cell r="EO180" t="str">
            <v>配置</v>
          </cell>
          <cell r="EP180" t="str">
            <v>配置</v>
          </cell>
          <cell r="EQ180" t="str">
            <v>配置</v>
          </cell>
          <cell r="ER180" t="str">
            <v>配置</v>
          </cell>
          <cell r="ES180" t="str">
            <v>配置</v>
          </cell>
          <cell r="ET180" t="str">
            <v>配置</v>
          </cell>
          <cell r="EU180">
            <v>76960</v>
          </cell>
          <cell r="EV180">
            <v>76960</v>
          </cell>
          <cell r="EW180">
            <v>76960</v>
          </cell>
          <cell r="EX180">
            <v>76960</v>
          </cell>
          <cell r="EY180">
            <v>76960</v>
          </cell>
          <cell r="EZ180">
            <v>76960</v>
          </cell>
          <cell r="FA180">
            <v>76960</v>
          </cell>
          <cell r="FB180">
            <v>76960</v>
          </cell>
          <cell r="FC180">
            <v>76960</v>
          </cell>
          <cell r="FD180">
            <v>76960</v>
          </cell>
          <cell r="FE180">
            <v>76960</v>
          </cell>
          <cell r="FF180">
            <v>76960</v>
          </cell>
        </row>
        <row r="181">
          <cell r="C181">
            <v>215</v>
          </cell>
          <cell r="D181" t="str">
            <v>認定こども園　ほまれ幼稚園</v>
          </cell>
          <cell r="E181" t="str">
            <v>無</v>
          </cell>
          <cell r="F181">
            <v>70</v>
          </cell>
          <cell r="G181">
            <v>60</v>
          </cell>
          <cell r="H181">
            <v>10</v>
          </cell>
          <cell r="I181">
            <v>0</v>
          </cell>
          <cell r="O181">
            <v>1189000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t="str">
            <v>令和3年4月1日</v>
          </cell>
          <cell r="AM181" t="str">
            <v>6号の14</v>
          </cell>
          <cell r="AN181" t="str">
            <v>有</v>
          </cell>
          <cell r="AO181" t="str">
            <v>-</v>
          </cell>
          <cell r="AP181" t="str">
            <v>-</v>
          </cell>
          <cell r="AQ181" t="str">
            <v>-</v>
          </cell>
          <cell r="AR181" t="str">
            <v>-</v>
          </cell>
          <cell r="AS181" t="str">
            <v>-</v>
          </cell>
          <cell r="AT181" t="str">
            <v>-</v>
          </cell>
          <cell r="AU181" t="str">
            <v>-</v>
          </cell>
          <cell r="AV181" t="str">
            <v>-</v>
          </cell>
          <cell r="AW181" t="str">
            <v>-</v>
          </cell>
          <cell r="AX181" t="str">
            <v>-</v>
          </cell>
          <cell r="AY181" t="str">
            <v>-</v>
          </cell>
          <cell r="AZ181" t="str">
            <v>-</v>
          </cell>
          <cell r="BA181" t="str">
            <v>-</v>
          </cell>
          <cell r="BB181" t="str">
            <v>-</v>
          </cell>
          <cell r="BC181" t="str">
            <v>-</v>
          </cell>
          <cell r="BD181" t="str">
            <v>-</v>
          </cell>
          <cell r="BE181" t="str">
            <v>-</v>
          </cell>
          <cell r="BF181" t="str">
            <v>-</v>
          </cell>
          <cell r="BG181" t="str">
            <v>-</v>
          </cell>
          <cell r="BH181" t="str">
            <v>-</v>
          </cell>
          <cell r="BI181" t="str">
            <v>-</v>
          </cell>
          <cell r="BJ181" t="str">
            <v>-</v>
          </cell>
          <cell r="BK181" t="str">
            <v>-</v>
          </cell>
          <cell r="BL181" t="str">
            <v>-</v>
          </cell>
          <cell r="CW181" t="str">
            <v>無</v>
          </cell>
          <cell r="CX181">
            <v>2</v>
          </cell>
          <cell r="DK181" t="str">
            <v>-</v>
          </cell>
          <cell r="DL181" t="str">
            <v>-</v>
          </cell>
          <cell r="DM181" t="str">
            <v>-</v>
          </cell>
          <cell r="DN181" t="str">
            <v>-</v>
          </cell>
          <cell r="DO181" t="str">
            <v>-</v>
          </cell>
          <cell r="DP181" t="str">
            <v>-</v>
          </cell>
          <cell r="DQ181" t="str">
            <v>-</v>
          </cell>
          <cell r="DR181" t="str">
            <v>-</v>
          </cell>
          <cell r="DS181" t="str">
            <v>-</v>
          </cell>
          <cell r="DT181" t="str">
            <v>-</v>
          </cell>
          <cell r="DU181" t="str">
            <v>-</v>
          </cell>
          <cell r="DV181" t="str">
            <v>-</v>
          </cell>
          <cell r="EU181" t="str">
            <v/>
          </cell>
          <cell r="EV181" t="str">
            <v/>
          </cell>
          <cell r="EW181" t="str">
            <v/>
          </cell>
          <cell r="EX181" t="str">
            <v/>
          </cell>
          <cell r="EY181" t="str">
            <v/>
          </cell>
          <cell r="EZ181" t="str">
            <v/>
          </cell>
          <cell r="FA181" t="str">
            <v/>
          </cell>
          <cell r="FB181" t="str">
            <v/>
          </cell>
          <cell r="FC181" t="str">
            <v/>
          </cell>
          <cell r="FD181" t="str">
            <v/>
          </cell>
          <cell r="FE181" t="str">
            <v/>
          </cell>
          <cell r="FF181" t="str">
            <v/>
          </cell>
        </row>
        <row r="182">
          <cell r="C182">
            <v>216</v>
          </cell>
          <cell r="D182" t="str">
            <v>認定こども園　あいりす幼稚園</v>
          </cell>
          <cell r="E182" t="str">
            <v>無</v>
          </cell>
          <cell r="F182">
            <v>100</v>
          </cell>
          <cell r="G182">
            <v>73</v>
          </cell>
          <cell r="H182">
            <v>27</v>
          </cell>
          <cell r="I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t="str">
            <v>令和3年4月1日</v>
          </cell>
          <cell r="AN182" t="str">
            <v>有</v>
          </cell>
          <cell r="AO182" t="str">
            <v>-</v>
          </cell>
          <cell r="AP182" t="str">
            <v>-</v>
          </cell>
          <cell r="AQ182" t="str">
            <v>-</v>
          </cell>
          <cell r="AR182" t="str">
            <v>-</v>
          </cell>
          <cell r="AS182" t="str">
            <v>-</v>
          </cell>
          <cell r="AT182" t="str">
            <v>-</v>
          </cell>
          <cell r="AU182" t="str">
            <v>-</v>
          </cell>
          <cell r="AV182" t="str">
            <v>-</v>
          </cell>
          <cell r="AW182" t="str">
            <v>-</v>
          </cell>
          <cell r="AX182" t="str">
            <v>-</v>
          </cell>
          <cell r="AY182" t="str">
            <v>-</v>
          </cell>
          <cell r="AZ182" t="str">
            <v>-</v>
          </cell>
          <cell r="BA182" t="str">
            <v>-</v>
          </cell>
          <cell r="BB182" t="str">
            <v>-</v>
          </cell>
          <cell r="BC182" t="str">
            <v>-</v>
          </cell>
          <cell r="BD182" t="str">
            <v>-</v>
          </cell>
          <cell r="BE182" t="str">
            <v>-</v>
          </cell>
          <cell r="BF182" t="str">
            <v>-</v>
          </cell>
          <cell r="BG182" t="str">
            <v>-</v>
          </cell>
          <cell r="BH182" t="str">
            <v>-</v>
          </cell>
          <cell r="BI182" t="str">
            <v>-</v>
          </cell>
          <cell r="BJ182" t="str">
            <v>-</v>
          </cell>
          <cell r="BK182" t="str">
            <v>-</v>
          </cell>
          <cell r="BL182" t="str">
            <v>-</v>
          </cell>
          <cell r="CW182" t="str">
            <v>無</v>
          </cell>
          <cell r="CX182">
            <v>1</v>
          </cell>
          <cell r="DK182" t="str">
            <v>-</v>
          </cell>
          <cell r="DL182" t="str">
            <v>-</v>
          </cell>
          <cell r="DM182" t="str">
            <v>-</v>
          </cell>
          <cell r="DN182" t="str">
            <v>-</v>
          </cell>
          <cell r="DO182" t="str">
            <v>-</v>
          </cell>
          <cell r="DP182" t="str">
            <v>-</v>
          </cell>
          <cell r="DQ182" t="str">
            <v>-</v>
          </cell>
          <cell r="DR182" t="str">
            <v>-</v>
          </cell>
          <cell r="DS182" t="str">
            <v>-</v>
          </cell>
          <cell r="DT182" t="str">
            <v>-</v>
          </cell>
          <cell r="DU182" t="str">
            <v>-</v>
          </cell>
          <cell r="DV182" t="str">
            <v>-</v>
          </cell>
          <cell r="DW182" t="str">
            <v>有</v>
          </cell>
          <cell r="DX182" t="str">
            <v>有</v>
          </cell>
          <cell r="DY182" t="str">
            <v>有</v>
          </cell>
          <cell r="DZ182" t="str">
            <v>有</v>
          </cell>
          <cell r="EA182" t="str">
            <v>有</v>
          </cell>
          <cell r="EB182" t="str">
            <v>有</v>
          </cell>
          <cell r="EC182" t="str">
            <v>有</v>
          </cell>
          <cell r="ED182" t="str">
            <v>有</v>
          </cell>
          <cell r="EE182" t="str">
            <v>有</v>
          </cell>
          <cell r="EF182" t="str">
            <v>有</v>
          </cell>
          <cell r="EG182" t="str">
            <v>有</v>
          </cell>
          <cell r="EH182" t="str">
            <v>有</v>
          </cell>
          <cell r="EU182" t="str">
            <v/>
          </cell>
          <cell r="EV182" t="str">
            <v/>
          </cell>
          <cell r="EW182" t="str">
            <v/>
          </cell>
          <cell r="EX182" t="str">
            <v/>
          </cell>
          <cell r="EY182" t="str">
            <v/>
          </cell>
          <cell r="EZ182" t="str">
            <v/>
          </cell>
          <cell r="FA182" t="str">
            <v/>
          </cell>
          <cell r="FB182" t="str">
            <v/>
          </cell>
          <cell r="FC182" t="str">
            <v/>
          </cell>
          <cell r="FD182" t="str">
            <v/>
          </cell>
          <cell r="FE182" t="str">
            <v/>
          </cell>
          <cell r="FF182" t="str">
            <v/>
          </cell>
        </row>
        <row r="183">
          <cell r="C183">
            <v>217</v>
          </cell>
          <cell r="D183" t="str">
            <v>認定こども園　高洲幼稚園</v>
          </cell>
          <cell r="E183" t="str">
            <v>無</v>
          </cell>
          <cell r="F183">
            <v>125</v>
          </cell>
          <cell r="G183">
            <v>75</v>
          </cell>
          <cell r="H183">
            <v>35</v>
          </cell>
          <cell r="I183">
            <v>15</v>
          </cell>
          <cell r="O183">
            <v>1189000</v>
          </cell>
          <cell r="P183">
            <v>2274000</v>
          </cell>
          <cell r="Q183">
            <v>2627000</v>
          </cell>
          <cell r="R183">
            <v>1631000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t="str">
            <v>令和3年4月1日</v>
          </cell>
          <cell r="AM183" t="str">
            <v>6号の15</v>
          </cell>
          <cell r="AN183" t="str">
            <v>有</v>
          </cell>
          <cell r="AO183" t="str">
            <v>-</v>
          </cell>
          <cell r="AP183" t="str">
            <v>-</v>
          </cell>
          <cell r="AQ183" t="str">
            <v>-</v>
          </cell>
          <cell r="AR183" t="str">
            <v>-</v>
          </cell>
          <cell r="AS183" t="str">
            <v>-</v>
          </cell>
          <cell r="AT183" t="str">
            <v>-</v>
          </cell>
          <cell r="AU183" t="str">
            <v>-</v>
          </cell>
          <cell r="AV183" t="str">
            <v>-</v>
          </cell>
          <cell r="AW183" t="str">
            <v>-</v>
          </cell>
          <cell r="AX183" t="str">
            <v>-</v>
          </cell>
          <cell r="AY183" t="str">
            <v>-</v>
          </cell>
          <cell r="AZ183" t="str">
            <v>-</v>
          </cell>
          <cell r="BA183" t="str">
            <v>-</v>
          </cell>
          <cell r="BB183" t="str">
            <v>-</v>
          </cell>
          <cell r="BC183" t="str">
            <v>-</v>
          </cell>
          <cell r="BD183" t="str">
            <v>-</v>
          </cell>
          <cell r="BE183" t="str">
            <v>-</v>
          </cell>
          <cell r="BF183" t="str">
            <v>-</v>
          </cell>
          <cell r="BG183" t="str">
            <v>-</v>
          </cell>
          <cell r="BH183" t="str">
            <v>-</v>
          </cell>
          <cell r="BI183" t="str">
            <v>-</v>
          </cell>
          <cell r="BJ183" t="str">
            <v>-</v>
          </cell>
          <cell r="BK183" t="str">
            <v>-</v>
          </cell>
          <cell r="BL183" t="str">
            <v>-</v>
          </cell>
          <cell r="CW183" t="str">
            <v>無</v>
          </cell>
          <cell r="CX183">
            <v>0</v>
          </cell>
          <cell r="CY183" t="str">
            <v>無</v>
          </cell>
          <cell r="CZ183" t="str">
            <v>無</v>
          </cell>
          <cell r="DA183" t="str">
            <v>無</v>
          </cell>
          <cell r="DB183" t="str">
            <v>無</v>
          </cell>
          <cell r="DC183" t="str">
            <v>無</v>
          </cell>
          <cell r="DD183" t="str">
            <v>無</v>
          </cell>
          <cell r="DE183" t="str">
            <v>無</v>
          </cell>
          <cell r="DF183" t="str">
            <v>無</v>
          </cell>
          <cell r="DG183" t="str">
            <v>無</v>
          </cell>
          <cell r="DH183" t="str">
            <v>無</v>
          </cell>
          <cell r="DI183" t="str">
            <v>無</v>
          </cell>
          <cell r="DJ183" t="str">
            <v>無</v>
          </cell>
          <cell r="DK183" t="str">
            <v>-</v>
          </cell>
          <cell r="DL183" t="str">
            <v>-</v>
          </cell>
          <cell r="DM183" t="str">
            <v>-</v>
          </cell>
          <cell r="DN183" t="str">
            <v>-</v>
          </cell>
          <cell r="DO183" t="str">
            <v>-</v>
          </cell>
          <cell r="DP183" t="str">
            <v>-</v>
          </cell>
          <cell r="DQ183" t="str">
            <v>-</v>
          </cell>
          <cell r="DR183" t="str">
            <v>-</v>
          </cell>
          <cell r="DS183" t="str">
            <v>-</v>
          </cell>
          <cell r="DT183" t="str">
            <v>-</v>
          </cell>
          <cell r="DU183" t="str">
            <v>-</v>
          </cell>
          <cell r="DV183" t="str">
            <v>-</v>
          </cell>
          <cell r="EI183" t="str">
            <v>嘱託</v>
          </cell>
          <cell r="EJ183" t="str">
            <v>嘱託</v>
          </cell>
          <cell r="EK183" t="str">
            <v>嘱託</v>
          </cell>
          <cell r="EL183" t="str">
            <v>嘱託</v>
          </cell>
          <cell r="EM183" t="str">
            <v>嘱託</v>
          </cell>
          <cell r="EN183" t="str">
            <v>嘱託</v>
          </cell>
          <cell r="EO183" t="str">
            <v>嘱託</v>
          </cell>
          <cell r="EP183" t="str">
            <v>嘱託</v>
          </cell>
          <cell r="EQ183" t="str">
            <v>嘱託</v>
          </cell>
          <cell r="ER183" t="str">
            <v>嘱託</v>
          </cell>
          <cell r="ES183" t="str">
            <v>嘱託</v>
          </cell>
          <cell r="ET183" t="str">
            <v>嘱託</v>
          </cell>
          <cell r="EU183" t="str">
            <v/>
          </cell>
          <cell r="EV183" t="str">
            <v/>
          </cell>
          <cell r="EW183" t="str">
            <v/>
          </cell>
          <cell r="EX183" t="str">
            <v/>
          </cell>
          <cell r="EY183" t="str">
            <v/>
          </cell>
          <cell r="EZ183" t="str">
            <v/>
          </cell>
          <cell r="FA183" t="str">
            <v/>
          </cell>
          <cell r="FB183" t="str">
            <v/>
          </cell>
          <cell r="FC183" t="str">
            <v/>
          </cell>
          <cell r="FD183" t="str">
            <v/>
          </cell>
          <cell r="FE183" t="str">
            <v/>
          </cell>
          <cell r="FF183" t="str">
            <v/>
          </cell>
        </row>
        <row r="184">
          <cell r="C184">
            <v>218</v>
          </cell>
          <cell r="D184" t="str">
            <v>認定こども園　高浜幼稚園</v>
          </cell>
          <cell r="E184" t="str">
            <v>無</v>
          </cell>
          <cell r="F184">
            <v>155</v>
          </cell>
          <cell r="G184">
            <v>135</v>
          </cell>
          <cell r="H184">
            <v>20</v>
          </cell>
          <cell r="I184">
            <v>0</v>
          </cell>
          <cell r="O184">
            <v>1189000</v>
          </cell>
          <cell r="P184">
            <v>0</v>
          </cell>
          <cell r="Q184">
            <v>0</v>
          </cell>
          <cell r="R184">
            <v>1631000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t="str">
            <v>令和3年4月1日</v>
          </cell>
          <cell r="AM184" t="str">
            <v>6号の16</v>
          </cell>
          <cell r="AN184" t="str">
            <v>有</v>
          </cell>
          <cell r="AO184" t="str">
            <v>-</v>
          </cell>
          <cell r="AP184" t="str">
            <v>-</v>
          </cell>
          <cell r="AQ184" t="str">
            <v>-</v>
          </cell>
          <cell r="AR184" t="str">
            <v>-</v>
          </cell>
          <cell r="AS184" t="str">
            <v>-</v>
          </cell>
          <cell r="AT184" t="str">
            <v>-</v>
          </cell>
          <cell r="AU184" t="str">
            <v>-</v>
          </cell>
          <cell r="AV184" t="str">
            <v>-</v>
          </cell>
          <cell r="AW184" t="str">
            <v>-</v>
          </cell>
          <cell r="AX184" t="str">
            <v>-</v>
          </cell>
          <cell r="AY184" t="str">
            <v>-</v>
          </cell>
          <cell r="AZ184" t="str">
            <v>-</v>
          </cell>
          <cell r="BA184" t="str">
            <v>-</v>
          </cell>
          <cell r="BB184" t="str">
            <v>-</v>
          </cell>
          <cell r="BC184" t="str">
            <v>-</v>
          </cell>
          <cell r="BD184" t="str">
            <v>-</v>
          </cell>
          <cell r="BE184" t="str">
            <v>-</v>
          </cell>
          <cell r="BF184" t="str">
            <v>-</v>
          </cell>
          <cell r="BG184" t="str">
            <v>-</v>
          </cell>
          <cell r="BH184" t="str">
            <v>-</v>
          </cell>
          <cell r="BI184" t="str">
            <v>-</v>
          </cell>
          <cell r="BJ184" t="str">
            <v>-</v>
          </cell>
          <cell r="BK184" t="str">
            <v>-</v>
          </cell>
          <cell r="BL184" t="str">
            <v>-</v>
          </cell>
          <cell r="CW184" t="str">
            <v>無</v>
          </cell>
          <cell r="CX184">
            <v>0</v>
          </cell>
          <cell r="CY184" t="str">
            <v>無</v>
          </cell>
          <cell r="CZ184" t="str">
            <v>無</v>
          </cell>
          <cell r="DA184" t="str">
            <v>無</v>
          </cell>
          <cell r="DB184" t="str">
            <v>無</v>
          </cell>
          <cell r="DC184" t="str">
            <v>無</v>
          </cell>
          <cell r="DD184" t="str">
            <v>無</v>
          </cell>
          <cell r="DE184" t="str">
            <v>無</v>
          </cell>
          <cell r="DF184" t="str">
            <v>無</v>
          </cell>
          <cell r="DG184" t="str">
            <v>無</v>
          </cell>
          <cell r="DH184" t="str">
            <v>無</v>
          </cell>
          <cell r="DI184" t="str">
            <v>無</v>
          </cell>
          <cell r="DJ184" t="str">
            <v>無</v>
          </cell>
          <cell r="DK184" t="str">
            <v>-</v>
          </cell>
          <cell r="DL184" t="str">
            <v>-</v>
          </cell>
          <cell r="DM184" t="str">
            <v>-</v>
          </cell>
          <cell r="DN184" t="str">
            <v>-</v>
          </cell>
          <cell r="DO184" t="str">
            <v>-</v>
          </cell>
          <cell r="DP184" t="str">
            <v>-</v>
          </cell>
          <cell r="DQ184" t="str">
            <v>-</v>
          </cell>
          <cell r="DR184" t="str">
            <v>-</v>
          </cell>
          <cell r="DS184" t="str">
            <v>-</v>
          </cell>
          <cell r="DT184" t="str">
            <v>-</v>
          </cell>
          <cell r="DU184" t="str">
            <v>-</v>
          </cell>
          <cell r="DV184" t="str">
            <v>-</v>
          </cell>
          <cell r="EU184" t="str">
            <v/>
          </cell>
          <cell r="EV184" t="str">
            <v/>
          </cell>
          <cell r="EW184" t="str">
            <v/>
          </cell>
          <cell r="EX184" t="str">
            <v/>
          </cell>
          <cell r="EY184" t="str">
            <v/>
          </cell>
          <cell r="EZ184" t="str">
            <v/>
          </cell>
          <cell r="FA184" t="str">
            <v/>
          </cell>
          <cell r="FB184" t="str">
            <v/>
          </cell>
          <cell r="FC184" t="str">
            <v/>
          </cell>
          <cell r="FD184" t="str">
            <v/>
          </cell>
          <cell r="FE184" t="str">
            <v/>
          </cell>
          <cell r="FF184" t="str">
            <v/>
          </cell>
        </row>
        <row r="185">
          <cell r="C185">
            <v>219</v>
          </cell>
          <cell r="D185" t="str">
            <v>認定こども園　千葉さざなみ幼稚園</v>
          </cell>
          <cell r="E185" t="str">
            <v>無</v>
          </cell>
          <cell r="F185">
            <v>110</v>
          </cell>
          <cell r="G185">
            <v>90</v>
          </cell>
          <cell r="H185">
            <v>20</v>
          </cell>
          <cell r="I185">
            <v>0</v>
          </cell>
          <cell r="O185">
            <v>1189000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t="str">
            <v>令和3年4月1日</v>
          </cell>
          <cell r="AM185" t="str">
            <v>6号の17</v>
          </cell>
          <cell r="AN185" t="str">
            <v>有</v>
          </cell>
          <cell r="AO185" t="str">
            <v>-</v>
          </cell>
          <cell r="AP185" t="str">
            <v>-</v>
          </cell>
          <cell r="AQ185" t="str">
            <v>-</v>
          </cell>
          <cell r="AR185" t="str">
            <v>-</v>
          </cell>
          <cell r="AS185" t="str">
            <v>-</v>
          </cell>
          <cell r="AT185" t="str">
            <v>-</v>
          </cell>
          <cell r="AU185" t="str">
            <v>-</v>
          </cell>
          <cell r="AV185" t="str">
            <v>-</v>
          </cell>
          <cell r="AW185" t="str">
            <v>-</v>
          </cell>
          <cell r="AX185" t="str">
            <v>-</v>
          </cell>
          <cell r="AY185" t="str">
            <v>-</v>
          </cell>
          <cell r="AZ185" t="str">
            <v>-</v>
          </cell>
          <cell r="BA185" t="str">
            <v>-</v>
          </cell>
          <cell r="BB185" t="str">
            <v>-</v>
          </cell>
          <cell r="BC185" t="str">
            <v>-</v>
          </cell>
          <cell r="BD185" t="str">
            <v>-</v>
          </cell>
          <cell r="BE185" t="str">
            <v>-</v>
          </cell>
          <cell r="BF185" t="str">
            <v>-</v>
          </cell>
          <cell r="BG185" t="str">
            <v>-</v>
          </cell>
          <cell r="BH185" t="str">
            <v>-</v>
          </cell>
          <cell r="BI185" t="str">
            <v>-</v>
          </cell>
          <cell r="BJ185" t="str">
            <v>-</v>
          </cell>
          <cell r="BK185" t="str">
            <v>-</v>
          </cell>
          <cell r="BL185" t="str">
            <v>-</v>
          </cell>
          <cell r="BP185">
            <v>1</v>
          </cell>
          <cell r="BQ185">
            <v>1</v>
          </cell>
          <cell r="BR185">
            <v>1</v>
          </cell>
          <cell r="BS185">
            <v>1</v>
          </cell>
          <cell r="BT185">
            <v>1</v>
          </cell>
          <cell r="BU185">
            <v>1</v>
          </cell>
          <cell r="BV185">
            <v>1</v>
          </cell>
          <cell r="BW185">
            <v>1</v>
          </cell>
          <cell r="BX185">
            <v>1</v>
          </cell>
          <cell r="CN185">
            <v>0</v>
          </cell>
          <cell r="CO185">
            <v>0</v>
          </cell>
          <cell r="CP185">
            <v>0</v>
          </cell>
          <cell r="CQ185">
            <v>0</v>
          </cell>
          <cell r="CR185">
            <v>0</v>
          </cell>
          <cell r="CS185">
            <v>0</v>
          </cell>
          <cell r="CT185">
            <v>0</v>
          </cell>
          <cell r="CU185">
            <v>0</v>
          </cell>
          <cell r="CV185">
            <v>0</v>
          </cell>
          <cell r="CW185" t="str">
            <v>無</v>
          </cell>
          <cell r="CX185">
            <v>0</v>
          </cell>
          <cell r="CY185" t="str">
            <v>無</v>
          </cell>
          <cell r="CZ185" t="str">
            <v>無</v>
          </cell>
          <cell r="DA185" t="str">
            <v>無</v>
          </cell>
          <cell r="DB185" t="str">
            <v>無</v>
          </cell>
          <cell r="DC185" t="str">
            <v>無</v>
          </cell>
          <cell r="DD185" t="str">
            <v>無</v>
          </cell>
          <cell r="DE185" t="str">
            <v>無</v>
          </cell>
          <cell r="DF185" t="str">
            <v>無</v>
          </cell>
          <cell r="DG185" t="str">
            <v>無</v>
          </cell>
          <cell r="DH185" t="str">
            <v>無</v>
          </cell>
          <cell r="DI185" t="str">
            <v>無</v>
          </cell>
          <cell r="DJ185" t="str">
            <v>無</v>
          </cell>
          <cell r="DK185" t="str">
            <v>-</v>
          </cell>
          <cell r="DL185" t="str">
            <v>-</v>
          </cell>
          <cell r="DM185" t="str">
            <v>-</v>
          </cell>
          <cell r="DN185" t="str">
            <v>-</v>
          </cell>
          <cell r="DO185" t="str">
            <v>-</v>
          </cell>
          <cell r="DP185" t="str">
            <v>-</v>
          </cell>
          <cell r="DQ185" t="str">
            <v>-</v>
          </cell>
          <cell r="DR185" t="str">
            <v>-</v>
          </cell>
          <cell r="DS185" t="str">
            <v>-</v>
          </cell>
          <cell r="DT185" t="str">
            <v>-</v>
          </cell>
          <cell r="DU185" t="str">
            <v>-</v>
          </cell>
          <cell r="DV185" t="str">
            <v>-</v>
          </cell>
          <cell r="EU185" t="str">
            <v/>
          </cell>
          <cell r="EV185" t="str">
            <v/>
          </cell>
          <cell r="EW185" t="str">
            <v/>
          </cell>
          <cell r="EX185" t="str">
            <v/>
          </cell>
          <cell r="EY185" t="str">
            <v/>
          </cell>
          <cell r="EZ185" t="str">
            <v/>
          </cell>
          <cell r="FA185" t="str">
            <v/>
          </cell>
          <cell r="FB185" t="str">
            <v/>
          </cell>
          <cell r="FC185" t="str">
            <v/>
          </cell>
          <cell r="FD185" t="str">
            <v/>
          </cell>
          <cell r="FE185" t="str">
            <v/>
          </cell>
          <cell r="FF185" t="str">
            <v/>
          </cell>
        </row>
        <row r="186">
          <cell r="C186">
            <v>220</v>
          </cell>
          <cell r="D186" t="str">
            <v>認定こども園　真砂幼稚園</v>
          </cell>
          <cell r="E186" t="str">
            <v>無</v>
          </cell>
          <cell r="F186">
            <v>280</v>
          </cell>
          <cell r="G186">
            <v>210</v>
          </cell>
          <cell r="H186">
            <v>70</v>
          </cell>
          <cell r="I186">
            <v>0</v>
          </cell>
          <cell r="O186">
            <v>1189000</v>
          </cell>
          <cell r="P186">
            <v>2627000</v>
          </cell>
          <cell r="Q186">
            <v>0</v>
          </cell>
          <cell r="R186">
            <v>1631000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t="str">
            <v>令和3年4月1日</v>
          </cell>
          <cell r="AM186" t="str">
            <v>6号の18</v>
          </cell>
          <cell r="AN186" t="str">
            <v>有</v>
          </cell>
          <cell r="AO186" t="str">
            <v>-</v>
          </cell>
          <cell r="AP186" t="str">
            <v>-</v>
          </cell>
          <cell r="AQ186" t="str">
            <v>-</v>
          </cell>
          <cell r="AR186" t="str">
            <v>-</v>
          </cell>
          <cell r="AS186" t="str">
            <v>-</v>
          </cell>
          <cell r="AT186" t="str">
            <v>-</v>
          </cell>
          <cell r="AU186" t="str">
            <v>-</v>
          </cell>
          <cell r="AV186" t="str">
            <v>-</v>
          </cell>
          <cell r="AW186" t="str">
            <v>-</v>
          </cell>
          <cell r="AX186" t="str">
            <v>-</v>
          </cell>
          <cell r="AY186" t="str">
            <v>-</v>
          </cell>
          <cell r="AZ186" t="str">
            <v>-</v>
          </cell>
          <cell r="BA186" t="str">
            <v>-</v>
          </cell>
          <cell r="BB186" t="str">
            <v>-</v>
          </cell>
          <cell r="BC186" t="str">
            <v>-</v>
          </cell>
          <cell r="BD186" t="str">
            <v>-</v>
          </cell>
          <cell r="BE186" t="str">
            <v>-</v>
          </cell>
          <cell r="BF186" t="str">
            <v>-</v>
          </cell>
          <cell r="BG186" t="str">
            <v>-</v>
          </cell>
          <cell r="BH186" t="str">
            <v>-</v>
          </cell>
          <cell r="BI186" t="str">
            <v>-</v>
          </cell>
          <cell r="BJ186" t="str">
            <v>-</v>
          </cell>
          <cell r="BK186" t="str">
            <v>-</v>
          </cell>
          <cell r="BL186" t="str">
            <v>-</v>
          </cell>
          <cell r="BM186">
            <v>1</v>
          </cell>
          <cell r="BN186">
            <v>1</v>
          </cell>
          <cell r="BO186">
            <v>1</v>
          </cell>
          <cell r="BP186">
            <v>1</v>
          </cell>
          <cell r="BQ186">
            <v>1</v>
          </cell>
          <cell r="BR186">
            <v>1</v>
          </cell>
          <cell r="BS186">
            <v>1</v>
          </cell>
          <cell r="BT186">
            <v>1</v>
          </cell>
          <cell r="BU186">
            <v>1</v>
          </cell>
          <cell r="BV186">
            <v>1</v>
          </cell>
          <cell r="BW186">
            <v>1</v>
          </cell>
          <cell r="BX186">
            <v>1</v>
          </cell>
          <cell r="CK186">
            <v>0</v>
          </cell>
          <cell r="CL186">
            <v>0</v>
          </cell>
          <cell r="CM186">
            <v>0</v>
          </cell>
          <cell r="CN186">
            <v>0</v>
          </cell>
          <cell r="CO186">
            <v>0</v>
          </cell>
          <cell r="CP186">
            <v>0</v>
          </cell>
          <cell r="CQ186">
            <v>0</v>
          </cell>
          <cell r="CR186">
            <v>0</v>
          </cell>
          <cell r="CS186">
            <v>0</v>
          </cell>
          <cell r="CT186">
            <v>0</v>
          </cell>
          <cell r="CU186">
            <v>0</v>
          </cell>
          <cell r="CV186">
            <v>0</v>
          </cell>
          <cell r="CW186" t="str">
            <v>無</v>
          </cell>
          <cell r="CX186">
            <v>0</v>
          </cell>
          <cell r="CY186" t="str">
            <v>無</v>
          </cell>
          <cell r="CZ186" t="str">
            <v>無</v>
          </cell>
          <cell r="DA186" t="str">
            <v>無</v>
          </cell>
          <cell r="DB186" t="str">
            <v>無</v>
          </cell>
          <cell r="DC186" t="str">
            <v>無</v>
          </cell>
          <cell r="DD186" t="str">
            <v>無</v>
          </cell>
          <cell r="DE186" t="str">
            <v>無</v>
          </cell>
          <cell r="DF186" t="str">
            <v>無</v>
          </cell>
          <cell r="DG186" t="str">
            <v>無</v>
          </cell>
          <cell r="DH186" t="str">
            <v>無</v>
          </cell>
          <cell r="DI186" t="str">
            <v>無</v>
          </cell>
          <cell r="DJ186" t="str">
            <v>無</v>
          </cell>
          <cell r="DK186" t="str">
            <v>-</v>
          </cell>
          <cell r="DL186" t="str">
            <v>-</v>
          </cell>
          <cell r="DM186" t="str">
            <v>-</v>
          </cell>
          <cell r="DN186" t="str">
            <v>-</v>
          </cell>
          <cell r="DO186" t="str">
            <v>-</v>
          </cell>
          <cell r="DP186" t="str">
            <v>-</v>
          </cell>
          <cell r="DQ186" t="str">
            <v>-</v>
          </cell>
          <cell r="DR186" t="str">
            <v>-</v>
          </cell>
          <cell r="DS186" t="str">
            <v>-</v>
          </cell>
          <cell r="DT186" t="str">
            <v>-</v>
          </cell>
          <cell r="DU186" t="str">
            <v>-</v>
          </cell>
          <cell r="DV186" t="str">
            <v>-</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row>
        <row r="187">
          <cell r="C187">
            <v>221</v>
          </cell>
          <cell r="D187" t="str">
            <v>認定こども園　千葉明徳短期大学附属幼稚園</v>
          </cell>
          <cell r="E187" t="str">
            <v>無</v>
          </cell>
          <cell r="F187">
            <v>315</v>
          </cell>
          <cell r="G187">
            <v>240</v>
          </cell>
          <cell r="H187">
            <v>45</v>
          </cell>
          <cell r="I187">
            <v>30</v>
          </cell>
          <cell r="O187">
            <v>1189000</v>
          </cell>
          <cell r="P187">
            <v>2627000</v>
          </cell>
          <cell r="Q187">
            <v>2627000</v>
          </cell>
          <cell r="R187">
            <v>831000</v>
          </cell>
          <cell r="S187">
            <v>0</v>
          </cell>
          <cell r="T187">
            <v>0</v>
          </cell>
          <cell r="U187">
            <v>0</v>
          </cell>
          <cell r="V187">
            <v>792000</v>
          </cell>
          <cell r="W187">
            <v>1751000</v>
          </cell>
          <cell r="X187">
            <v>1751000</v>
          </cell>
          <cell r="Y187">
            <v>554000</v>
          </cell>
          <cell r="Z187">
            <v>0</v>
          </cell>
          <cell r="AA187">
            <v>0</v>
          </cell>
          <cell r="AB187">
            <v>0</v>
          </cell>
          <cell r="AC187">
            <v>0</v>
          </cell>
          <cell r="AD187">
            <v>0</v>
          </cell>
          <cell r="AE187">
            <v>0</v>
          </cell>
          <cell r="AF187">
            <v>0</v>
          </cell>
          <cell r="AG187">
            <v>0</v>
          </cell>
          <cell r="AH187">
            <v>0</v>
          </cell>
          <cell r="AI187">
            <v>0</v>
          </cell>
          <cell r="AJ187" t="str">
            <v>令和3年4月1日</v>
          </cell>
          <cell r="AK187" t="str">
            <v>令和3年5月31日交付</v>
          </cell>
          <cell r="AM187" t="str">
            <v>6号の19</v>
          </cell>
          <cell r="AN187" t="str">
            <v>有</v>
          </cell>
          <cell r="AO187" t="str">
            <v>-</v>
          </cell>
          <cell r="AP187" t="str">
            <v>-</v>
          </cell>
          <cell r="AQ187" t="str">
            <v>-</v>
          </cell>
          <cell r="AR187" t="str">
            <v>-</v>
          </cell>
          <cell r="AS187" t="str">
            <v>-</v>
          </cell>
          <cell r="AT187" t="str">
            <v>-</v>
          </cell>
          <cell r="AU187" t="str">
            <v>-</v>
          </cell>
          <cell r="AV187" t="str">
            <v>-</v>
          </cell>
          <cell r="AW187" t="str">
            <v>-</v>
          </cell>
          <cell r="AX187" t="str">
            <v>-</v>
          </cell>
          <cell r="AY187" t="str">
            <v>-</v>
          </cell>
          <cell r="AZ187" t="str">
            <v>-</v>
          </cell>
          <cell r="BA187" t="str">
            <v>-</v>
          </cell>
          <cell r="BB187" t="str">
            <v>-</v>
          </cell>
          <cell r="BC187" t="str">
            <v>-</v>
          </cell>
          <cell r="BD187" t="str">
            <v>-</v>
          </cell>
          <cell r="BE187" t="str">
            <v>-</v>
          </cell>
          <cell r="BF187" t="str">
            <v>-</v>
          </cell>
          <cell r="BG187" t="str">
            <v>-</v>
          </cell>
          <cell r="BH187" t="str">
            <v>-</v>
          </cell>
          <cell r="BI187" t="str">
            <v>-</v>
          </cell>
          <cell r="BJ187" t="str">
            <v>-</v>
          </cell>
          <cell r="BK187" t="str">
            <v>-</v>
          </cell>
          <cell r="BL187" t="str">
            <v>-</v>
          </cell>
          <cell r="CW187" t="str">
            <v>無</v>
          </cell>
          <cell r="CX187">
            <v>0</v>
          </cell>
          <cell r="CY187" t="str">
            <v>無</v>
          </cell>
          <cell r="CZ187" t="str">
            <v>無</v>
          </cell>
          <cell r="DA187" t="str">
            <v>無</v>
          </cell>
          <cell r="DB187" t="str">
            <v>無</v>
          </cell>
          <cell r="DC187" t="str">
            <v>無</v>
          </cell>
          <cell r="DD187" t="str">
            <v>無</v>
          </cell>
          <cell r="DE187" t="str">
            <v>無</v>
          </cell>
          <cell r="DF187" t="str">
            <v>無</v>
          </cell>
          <cell r="DG187" t="str">
            <v>無</v>
          </cell>
          <cell r="DH187" t="str">
            <v>無</v>
          </cell>
          <cell r="DI187" t="str">
            <v>無</v>
          </cell>
          <cell r="DJ187" t="str">
            <v>無</v>
          </cell>
          <cell r="DK187" t="str">
            <v>-</v>
          </cell>
          <cell r="DL187" t="str">
            <v>-</v>
          </cell>
          <cell r="DM187" t="str">
            <v>-</v>
          </cell>
          <cell r="DN187" t="str">
            <v>-</v>
          </cell>
          <cell r="DO187" t="str">
            <v>-</v>
          </cell>
          <cell r="DP187" t="str">
            <v>-</v>
          </cell>
          <cell r="DQ187" t="str">
            <v>-</v>
          </cell>
          <cell r="DR187" t="str">
            <v>-</v>
          </cell>
          <cell r="DS187" t="str">
            <v>-</v>
          </cell>
          <cell r="DT187" t="str">
            <v>-</v>
          </cell>
          <cell r="DU187" t="str">
            <v>-</v>
          </cell>
          <cell r="DV187" t="str">
            <v>-</v>
          </cell>
          <cell r="EI187" t="str">
            <v>配置</v>
          </cell>
          <cell r="EJ187" t="str">
            <v>配置</v>
          </cell>
          <cell r="EK187" t="str">
            <v>配置</v>
          </cell>
          <cell r="EL187" t="str">
            <v>配置</v>
          </cell>
          <cell r="EM187" t="str">
            <v>配置</v>
          </cell>
          <cell r="EN187" t="str">
            <v>配置</v>
          </cell>
          <cell r="EO187" t="str">
            <v>配置</v>
          </cell>
          <cell r="EP187" t="str">
            <v>配置</v>
          </cell>
          <cell r="EQ187" t="str">
            <v>配置</v>
          </cell>
          <cell r="ER187" t="str">
            <v>配置</v>
          </cell>
          <cell r="ES187" t="str">
            <v>配置</v>
          </cell>
          <cell r="ET187" t="str">
            <v>配置</v>
          </cell>
          <cell r="EU187">
            <v>76960</v>
          </cell>
          <cell r="EV187">
            <v>76960</v>
          </cell>
          <cell r="EW187">
            <v>76960</v>
          </cell>
          <cell r="EX187">
            <v>76960</v>
          </cell>
          <cell r="EY187">
            <v>76960</v>
          </cell>
          <cell r="EZ187">
            <v>76960</v>
          </cell>
          <cell r="FA187">
            <v>76960</v>
          </cell>
          <cell r="FB187">
            <v>76960</v>
          </cell>
          <cell r="FC187">
            <v>76960</v>
          </cell>
          <cell r="FD187">
            <v>76960</v>
          </cell>
          <cell r="FE187">
            <v>76960</v>
          </cell>
          <cell r="FF187">
            <v>76960</v>
          </cell>
        </row>
        <row r="188">
          <cell r="C188">
            <v>222</v>
          </cell>
          <cell r="D188" t="str">
            <v>認定こども園　登戸幼稚園</v>
          </cell>
          <cell r="E188" t="str">
            <v>無</v>
          </cell>
          <cell r="F188">
            <v>85</v>
          </cell>
          <cell r="G188">
            <v>75</v>
          </cell>
          <cell r="H188">
            <v>10</v>
          </cell>
          <cell r="I188">
            <v>0</v>
          </cell>
          <cell r="O188">
            <v>1189000</v>
          </cell>
          <cell r="P188">
            <v>0</v>
          </cell>
          <cell r="Q188">
            <v>0</v>
          </cell>
          <cell r="R188">
            <v>1631000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t="str">
            <v>令和3年4月1日</v>
          </cell>
          <cell r="AM188" t="str">
            <v>6号の20</v>
          </cell>
          <cell r="AN188" t="str">
            <v>有</v>
          </cell>
          <cell r="AO188" t="str">
            <v>-</v>
          </cell>
          <cell r="AP188" t="str">
            <v>-</v>
          </cell>
          <cell r="AQ188" t="str">
            <v>-</v>
          </cell>
          <cell r="AR188" t="str">
            <v>-</v>
          </cell>
          <cell r="AS188" t="str">
            <v>-</v>
          </cell>
          <cell r="AT188" t="str">
            <v>-</v>
          </cell>
          <cell r="AU188" t="str">
            <v>-</v>
          </cell>
          <cell r="AV188" t="str">
            <v>-</v>
          </cell>
          <cell r="AW188" t="str">
            <v>-</v>
          </cell>
          <cell r="AX188" t="str">
            <v>-</v>
          </cell>
          <cell r="AY188" t="str">
            <v>-</v>
          </cell>
          <cell r="AZ188" t="str">
            <v>-</v>
          </cell>
          <cell r="BA188" t="str">
            <v>-</v>
          </cell>
          <cell r="BB188" t="str">
            <v>-</v>
          </cell>
          <cell r="BC188" t="str">
            <v>-</v>
          </cell>
          <cell r="BD188" t="str">
            <v>-</v>
          </cell>
          <cell r="BE188" t="str">
            <v>-</v>
          </cell>
          <cell r="BF188" t="str">
            <v>-</v>
          </cell>
          <cell r="BG188" t="str">
            <v>-</v>
          </cell>
          <cell r="BH188" t="str">
            <v>-</v>
          </cell>
          <cell r="BI188" t="str">
            <v>-</v>
          </cell>
          <cell r="BJ188" t="str">
            <v>-</v>
          </cell>
          <cell r="BK188" t="str">
            <v>-</v>
          </cell>
          <cell r="BL188" t="str">
            <v>-</v>
          </cell>
          <cell r="CW188" t="str">
            <v>無</v>
          </cell>
          <cell r="CX188">
            <v>0</v>
          </cell>
          <cell r="DK188" t="str">
            <v>-</v>
          </cell>
          <cell r="DL188" t="str">
            <v>-</v>
          </cell>
          <cell r="DM188" t="str">
            <v>-</v>
          </cell>
          <cell r="DN188" t="str">
            <v>-</v>
          </cell>
          <cell r="DO188" t="str">
            <v>-</v>
          </cell>
          <cell r="DP188" t="str">
            <v>-</v>
          </cell>
          <cell r="DQ188" t="str">
            <v>-</v>
          </cell>
          <cell r="DR188" t="str">
            <v>-</v>
          </cell>
          <cell r="DS188" t="str">
            <v>-</v>
          </cell>
          <cell r="DT188" t="str">
            <v>-</v>
          </cell>
          <cell r="DU188" t="str">
            <v>-</v>
          </cell>
          <cell r="DV188" t="str">
            <v>-</v>
          </cell>
          <cell r="EI188" t="str">
            <v>嘱託</v>
          </cell>
          <cell r="EJ188" t="str">
            <v>嘱託</v>
          </cell>
          <cell r="EK188" t="str">
            <v>嘱託</v>
          </cell>
          <cell r="EL188" t="str">
            <v>嘱託</v>
          </cell>
          <cell r="EM188" t="str">
            <v>嘱託</v>
          </cell>
          <cell r="EN188" t="str">
            <v>嘱託</v>
          </cell>
          <cell r="EO188" t="str">
            <v>嘱託</v>
          </cell>
          <cell r="EP188" t="str">
            <v>嘱託</v>
          </cell>
          <cell r="EQ188" t="str">
            <v>嘱託</v>
          </cell>
          <cell r="ER188" t="str">
            <v>嘱託</v>
          </cell>
          <cell r="ES188" t="str">
            <v>嘱託</v>
          </cell>
          <cell r="ET188" t="str">
            <v>嘱託</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row>
        <row r="189">
          <cell r="C189">
            <v>223</v>
          </cell>
          <cell r="D189" t="str">
            <v>認定こども園　さつきが丘幼稚園</v>
          </cell>
          <cell r="E189" t="str">
            <v>無</v>
          </cell>
          <cell r="F189">
            <v>85</v>
          </cell>
          <cell r="G189">
            <v>75</v>
          </cell>
          <cell r="H189">
            <v>10</v>
          </cell>
          <cell r="I189">
            <v>0</v>
          </cell>
          <cell r="O189">
            <v>1189000</v>
          </cell>
          <cell r="P189">
            <v>0</v>
          </cell>
          <cell r="Q189">
            <v>0</v>
          </cell>
          <cell r="R189">
            <v>1631000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t="str">
            <v>令和3年4月1日</v>
          </cell>
          <cell r="AM189" t="str">
            <v>6号の21</v>
          </cell>
          <cell r="AN189" t="str">
            <v>有</v>
          </cell>
          <cell r="AO189" t="str">
            <v>-</v>
          </cell>
          <cell r="AP189" t="str">
            <v>-</v>
          </cell>
          <cell r="AQ189" t="str">
            <v>-</v>
          </cell>
          <cell r="AR189" t="str">
            <v>-</v>
          </cell>
          <cell r="AS189" t="str">
            <v>-</v>
          </cell>
          <cell r="AT189" t="str">
            <v>-</v>
          </cell>
          <cell r="AU189" t="str">
            <v>-</v>
          </cell>
          <cell r="AV189" t="str">
            <v>-</v>
          </cell>
          <cell r="AW189" t="str">
            <v>-</v>
          </cell>
          <cell r="AX189" t="str">
            <v>-</v>
          </cell>
          <cell r="AY189" t="str">
            <v>-</v>
          </cell>
          <cell r="AZ189" t="str">
            <v>-</v>
          </cell>
          <cell r="BA189" t="str">
            <v>-</v>
          </cell>
          <cell r="BB189" t="str">
            <v>-</v>
          </cell>
          <cell r="BC189" t="str">
            <v>-</v>
          </cell>
          <cell r="BD189" t="str">
            <v>-</v>
          </cell>
          <cell r="BE189" t="str">
            <v>-</v>
          </cell>
          <cell r="BF189" t="str">
            <v>-</v>
          </cell>
          <cell r="BG189" t="str">
            <v>-</v>
          </cell>
          <cell r="BH189" t="str">
            <v>-</v>
          </cell>
          <cell r="BI189" t="str">
            <v>-</v>
          </cell>
          <cell r="BJ189" t="str">
            <v>-</v>
          </cell>
          <cell r="BK189" t="str">
            <v>-</v>
          </cell>
          <cell r="BL189" t="str">
            <v>-</v>
          </cell>
          <cell r="CW189" t="str">
            <v>無</v>
          </cell>
          <cell r="CX189">
            <v>2</v>
          </cell>
          <cell r="CY189" t="str">
            <v>有</v>
          </cell>
          <cell r="CZ189" t="str">
            <v>有</v>
          </cell>
          <cell r="DA189" t="str">
            <v>有</v>
          </cell>
          <cell r="DB189" t="str">
            <v>有</v>
          </cell>
          <cell r="DC189" t="str">
            <v>有</v>
          </cell>
          <cell r="DD189" t="str">
            <v>有</v>
          </cell>
          <cell r="DE189" t="str">
            <v>有</v>
          </cell>
          <cell r="DF189" t="str">
            <v>有</v>
          </cell>
          <cell r="DG189" t="str">
            <v>有</v>
          </cell>
          <cell r="DH189" t="str">
            <v>有</v>
          </cell>
          <cell r="DI189" t="str">
            <v>有</v>
          </cell>
          <cell r="DJ189" t="str">
            <v>有</v>
          </cell>
          <cell r="DK189" t="str">
            <v>-</v>
          </cell>
          <cell r="DL189" t="str">
            <v>-</v>
          </cell>
          <cell r="DM189" t="str">
            <v>-</v>
          </cell>
          <cell r="DN189" t="str">
            <v>-</v>
          </cell>
          <cell r="DO189" t="str">
            <v>-</v>
          </cell>
          <cell r="DP189" t="str">
            <v>-</v>
          </cell>
          <cell r="DQ189" t="str">
            <v>-</v>
          </cell>
          <cell r="DR189" t="str">
            <v>-</v>
          </cell>
          <cell r="DS189" t="str">
            <v>-</v>
          </cell>
          <cell r="DT189" t="str">
            <v>-</v>
          </cell>
          <cell r="DU189" t="str">
            <v>-</v>
          </cell>
          <cell r="DV189" t="str">
            <v>-</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row>
        <row r="190">
          <cell r="C190">
            <v>224</v>
          </cell>
          <cell r="D190" t="str">
            <v>認定こども園　まこと第三幼稚園</v>
          </cell>
          <cell r="E190" t="str">
            <v>無</v>
          </cell>
          <cell r="F190">
            <v>200</v>
          </cell>
          <cell r="G190">
            <v>170</v>
          </cell>
          <cell r="H190">
            <v>30</v>
          </cell>
          <cell r="I190">
            <v>0</v>
          </cell>
          <cell r="O190">
            <v>1189000</v>
          </cell>
          <cell r="P190">
            <v>2627000</v>
          </cell>
          <cell r="Q190">
            <v>2627000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t="str">
            <v>令和3年4月1日</v>
          </cell>
          <cell r="AM190" t="str">
            <v>6号の22</v>
          </cell>
          <cell r="AN190" t="str">
            <v>有</v>
          </cell>
          <cell r="AO190" t="str">
            <v>-</v>
          </cell>
          <cell r="AP190" t="str">
            <v>-</v>
          </cell>
          <cell r="AQ190" t="str">
            <v>-</v>
          </cell>
          <cell r="AR190" t="str">
            <v>-</v>
          </cell>
          <cell r="AS190" t="str">
            <v>-</v>
          </cell>
          <cell r="AT190" t="str">
            <v>-</v>
          </cell>
          <cell r="AU190" t="str">
            <v>-</v>
          </cell>
          <cell r="AV190" t="str">
            <v>-</v>
          </cell>
          <cell r="AW190" t="str">
            <v>-</v>
          </cell>
          <cell r="AX190" t="str">
            <v>-</v>
          </cell>
          <cell r="AY190" t="str">
            <v>-</v>
          </cell>
          <cell r="AZ190" t="str">
            <v>-</v>
          </cell>
          <cell r="BA190" t="str">
            <v>-</v>
          </cell>
          <cell r="BB190" t="str">
            <v>-</v>
          </cell>
          <cell r="BC190" t="str">
            <v>-</v>
          </cell>
          <cell r="BD190" t="str">
            <v>-</v>
          </cell>
          <cell r="BE190" t="str">
            <v>-</v>
          </cell>
          <cell r="BF190" t="str">
            <v>-</v>
          </cell>
          <cell r="BG190" t="str">
            <v>-</v>
          </cell>
          <cell r="BH190" t="str">
            <v>-</v>
          </cell>
          <cell r="BI190" t="str">
            <v>-</v>
          </cell>
          <cell r="BJ190" t="str">
            <v>-</v>
          </cell>
          <cell r="BK190" t="str">
            <v>-</v>
          </cell>
          <cell r="BL190" t="str">
            <v>-</v>
          </cell>
          <cell r="CW190" t="str">
            <v>無</v>
          </cell>
          <cell r="CX190">
            <v>0</v>
          </cell>
          <cell r="CY190" t="str">
            <v>無</v>
          </cell>
          <cell r="CZ190" t="str">
            <v>無</v>
          </cell>
          <cell r="DA190" t="str">
            <v>無</v>
          </cell>
          <cell r="DB190" t="str">
            <v>無</v>
          </cell>
          <cell r="DC190" t="str">
            <v>無</v>
          </cell>
          <cell r="DD190" t="str">
            <v>無</v>
          </cell>
          <cell r="DE190" t="str">
            <v>無</v>
          </cell>
          <cell r="DF190" t="str">
            <v>無</v>
          </cell>
          <cell r="DG190" t="str">
            <v>無</v>
          </cell>
          <cell r="DH190" t="str">
            <v>無</v>
          </cell>
          <cell r="DI190" t="str">
            <v>無</v>
          </cell>
          <cell r="DJ190" t="str">
            <v>無</v>
          </cell>
          <cell r="DK190" t="str">
            <v>-</v>
          </cell>
          <cell r="DL190" t="str">
            <v>-</v>
          </cell>
          <cell r="DM190" t="str">
            <v>-</v>
          </cell>
          <cell r="DN190" t="str">
            <v>-</v>
          </cell>
          <cell r="DO190" t="str">
            <v>-</v>
          </cell>
          <cell r="DP190" t="str">
            <v>-</v>
          </cell>
          <cell r="DQ190" t="str">
            <v>-</v>
          </cell>
          <cell r="DR190" t="str">
            <v>-</v>
          </cell>
          <cell r="DS190" t="str">
            <v>-</v>
          </cell>
          <cell r="DT190" t="str">
            <v>-</v>
          </cell>
          <cell r="DU190" t="str">
            <v>-</v>
          </cell>
          <cell r="DV190" t="str">
            <v>-</v>
          </cell>
          <cell r="DW190" t="str">
            <v>有</v>
          </cell>
          <cell r="DX190" t="str">
            <v>有</v>
          </cell>
          <cell r="DY190" t="str">
            <v>有</v>
          </cell>
          <cell r="DZ190" t="str">
            <v>有</v>
          </cell>
          <cell r="EA190" t="str">
            <v>有</v>
          </cell>
          <cell r="EB190" t="str">
            <v>有</v>
          </cell>
          <cell r="EC190" t="str">
            <v>有</v>
          </cell>
          <cell r="ED190" t="str">
            <v>有</v>
          </cell>
          <cell r="EE190" t="str">
            <v>有</v>
          </cell>
          <cell r="EF190" t="str">
            <v>有</v>
          </cell>
          <cell r="EG190" t="str">
            <v>有</v>
          </cell>
          <cell r="EH190" t="str">
            <v>有</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row>
        <row r="191">
          <cell r="C191">
            <v>225</v>
          </cell>
          <cell r="D191" t="str">
            <v>認定こども園　稲毛すみれ幼稚園</v>
          </cell>
          <cell r="E191" t="str">
            <v>無</v>
          </cell>
          <cell r="F191">
            <v>170</v>
          </cell>
          <cell r="G191">
            <v>120</v>
          </cell>
          <cell r="H191">
            <v>30</v>
          </cell>
          <cell r="I191">
            <v>20</v>
          </cell>
          <cell r="O191">
            <v>1189000</v>
          </cell>
          <cell r="P191">
            <v>2627000</v>
          </cell>
          <cell r="Q191">
            <v>0</v>
          </cell>
          <cell r="R191">
            <v>1631000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t="str">
            <v>令和3年4月1日</v>
          </cell>
          <cell r="AM191" t="str">
            <v>6号の23</v>
          </cell>
          <cell r="AN191" t="str">
            <v>有</v>
          </cell>
          <cell r="AO191" t="str">
            <v>-</v>
          </cell>
          <cell r="AP191" t="str">
            <v>-</v>
          </cell>
          <cell r="AQ191" t="str">
            <v>-</v>
          </cell>
          <cell r="AR191" t="str">
            <v>-</v>
          </cell>
          <cell r="AS191" t="str">
            <v>-</v>
          </cell>
          <cell r="AT191" t="str">
            <v>-</v>
          </cell>
          <cell r="AU191" t="str">
            <v>-</v>
          </cell>
          <cell r="AV191" t="str">
            <v>-</v>
          </cell>
          <cell r="AW191" t="str">
            <v>-</v>
          </cell>
          <cell r="AX191" t="str">
            <v>-</v>
          </cell>
          <cell r="AY191" t="str">
            <v>-</v>
          </cell>
          <cell r="AZ191" t="str">
            <v>-</v>
          </cell>
          <cell r="BA191" t="str">
            <v>-</v>
          </cell>
          <cell r="BB191" t="str">
            <v>-</v>
          </cell>
          <cell r="BC191" t="str">
            <v>-</v>
          </cell>
          <cell r="BD191" t="str">
            <v>-</v>
          </cell>
          <cell r="BE191" t="str">
            <v>-</v>
          </cell>
          <cell r="BF191" t="str">
            <v>-</v>
          </cell>
          <cell r="BG191" t="str">
            <v>-</v>
          </cell>
          <cell r="BH191" t="str">
            <v>-</v>
          </cell>
          <cell r="BI191" t="str">
            <v>-</v>
          </cell>
          <cell r="BJ191" t="str">
            <v>-</v>
          </cell>
          <cell r="BK191" t="str">
            <v>-</v>
          </cell>
          <cell r="BL191" t="str">
            <v>-</v>
          </cell>
          <cell r="CW191" t="str">
            <v>無</v>
          </cell>
          <cell r="CX191">
            <v>0</v>
          </cell>
          <cell r="CY191" t="str">
            <v>有</v>
          </cell>
          <cell r="CZ191" t="str">
            <v>有</v>
          </cell>
          <cell r="DA191" t="str">
            <v>有</v>
          </cell>
          <cell r="DB191" t="str">
            <v>有</v>
          </cell>
          <cell r="DC191" t="str">
            <v>有</v>
          </cell>
          <cell r="DD191" t="str">
            <v>有</v>
          </cell>
          <cell r="DE191" t="str">
            <v>有</v>
          </cell>
          <cell r="DF191" t="str">
            <v>有</v>
          </cell>
          <cell r="DG191" t="str">
            <v>有</v>
          </cell>
          <cell r="DH191" t="str">
            <v>有</v>
          </cell>
          <cell r="DI191" t="str">
            <v>有</v>
          </cell>
          <cell r="DJ191" t="str">
            <v>有</v>
          </cell>
          <cell r="DK191" t="str">
            <v>-</v>
          </cell>
          <cell r="DL191" t="str">
            <v>-</v>
          </cell>
          <cell r="DM191" t="str">
            <v>-</v>
          </cell>
          <cell r="DN191" t="str">
            <v>-</v>
          </cell>
          <cell r="DO191" t="str">
            <v>-</v>
          </cell>
          <cell r="DP191" t="str">
            <v>-</v>
          </cell>
          <cell r="DQ191" t="str">
            <v>-</v>
          </cell>
          <cell r="DR191" t="str">
            <v>-</v>
          </cell>
          <cell r="DS191" t="str">
            <v>-</v>
          </cell>
          <cell r="DT191" t="str">
            <v>-</v>
          </cell>
          <cell r="DU191" t="str">
            <v>-</v>
          </cell>
          <cell r="DV191" t="str">
            <v>-</v>
          </cell>
          <cell r="EI191" t="str">
            <v>嘱託</v>
          </cell>
          <cell r="EJ191" t="str">
            <v>嘱託</v>
          </cell>
          <cell r="EK191" t="str">
            <v>嘱託</v>
          </cell>
          <cell r="EL191" t="str">
            <v>嘱託</v>
          </cell>
          <cell r="EM191" t="str">
            <v>嘱託</v>
          </cell>
          <cell r="EN191" t="str">
            <v>嘱託</v>
          </cell>
          <cell r="EO191" t="str">
            <v>嘱託</v>
          </cell>
          <cell r="EP191" t="str">
            <v>嘱託</v>
          </cell>
          <cell r="EQ191" t="str">
            <v>嘱託</v>
          </cell>
          <cell r="ER191" t="str">
            <v>嘱託</v>
          </cell>
          <cell r="ES191" t="str">
            <v>嘱託</v>
          </cell>
          <cell r="ET191" t="str">
            <v>嘱託</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row>
        <row r="192">
          <cell r="C192">
            <v>226</v>
          </cell>
          <cell r="D192" t="str">
            <v>認定こども園　かしの木学園　かしの木園</v>
          </cell>
          <cell r="E192" t="str">
            <v>無</v>
          </cell>
          <cell r="F192">
            <v>35</v>
          </cell>
          <cell r="G192">
            <v>1</v>
          </cell>
          <cell r="H192">
            <v>3</v>
          </cell>
          <cell r="I192">
            <v>31</v>
          </cell>
          <cell r="O192">
            <v>1189000</v>
          </cell>
          <cell r="P192">
            <v>0</v>
          </cell>
          <cell r="Q192">
            <v>0</v>
          </cell>
          <cell r="R192">
            <v>1631000</v>
          </cell>
          <cell r="S192">
            <v>1631000</v>
          </cell>
          <cell r="T192">
            <v>0</v>
          </cell>
          <cell r="U192">
            <v>0</v>
          </cell>
          <cell r="V192">
            <v>792000</v>
          </cell>
          <cell r="W192">
            <v>0</v>
          </cell>
          <cell r="X192">
            <v>0</v>
          </cell>
          <cell r="Y192">
            <v>1087000</v>
          </cell>
          <cell r="Z192">
            <v>1087000</v>
          </cell>
          <cell r="AA192">
            <v>0</v>
          </cell>
          <cell r="AB192">
            <v>0</v>
          </cell>
          <cell r="AC192">
            <v>0</v>
          </cell>
          <cell r="AD192">
            <v>0</v>
          </cell>
          <cell r="AE192">
            <v>0</v>
          </cell>
          <cell r="AF192">
            <v>0</v>
          </cell>
          <cell r="AG192">
            <v>0</v>
          </cell>
          <cell r="AH192">
            <v>0</v>
          </cell>
          <cell r="AI192">
            <v>0</v>
          </cell>
          <cell r="AJ192" t="str">
            <v>令和3年4月1日</v>
          </cell>
          <cell r="AK192" t="str">
            <v>令和3年5月31日交付</v>
          </cell>
          <cell r="AM192" t="str">
            <v>6号の24</v>
          </cell>
          <cell r="AN192" t="str">
            <v>有</v>
          </cell>
          <cell r="AO192" t="str">
            <v>-</v>
          </cell>
          <cell r="AP192" t="str">
            <v>-</v>
          </cell>
          <cell r="AQ192" t="str">
            <v>-</v>
          </cell>
          <cell r="AR192" t="str">
            <v>-</v>
          </cell>
          <cell r="AS192" t="str">
            <v>-</v>
          </cell>
          <cell r="AT192" t="str">
            <v>-</v>
          </cell>
          <cell r="AU192" t="str">
            <v>-</v>
          </cell>
          <cell r="AV192" t="str">
            <v>-</v>
          </cell>
          <cell r="AW192" t="str">
            <v>-</v>
          </cell>
          <cell r="AX192" t="str">
            <v>-</v>
          </cell>
          <cell r="AY192" t="str">
            <v>-</v>
          </cell>
          <cell r="AZ192" t="str">
            <v>-</v>
          </cell>
          <cell r="BA192" t="str">
            <v>-</v>
          </cell>
          <cell r="BB192" t="str">
            <v>-</v>
          </cell>
          <cell r="BC192" t="str">
            <v>-</v>
          </cell>
          <cell r="BD192" t="str">
            <v>-</v>
          </cell>
          <cell r="BE192" t="str">
            <v>-</v>
          </cell>
          <cell r="BF192" t="str">
            <v>-</v>
          </cell>
          <cell r="BG192" t="str">
            <v>-</v>
          </cell>
          <cell r="BH192" t="str">
            <v>-</v>
          </cell>
          <cell r="BI192" t="str">
            <v>-</v>
          </cell>
          <cell r="BJ192" t="str">
            <v>-</v>
          </cell>
          <cell r="BK192" t="str">
            <v>-</v>
          </cell>
          <cell r="BL192" t="str">
            <v>-</v>
          </cell>
          <cell r="CW192" t="str">
            <v>無</v>
          </cell>
          <cell r="CX192">
            <v>0</v>
          </cell>
          <cell r="CY192" t="str">
            <v>有</v>
          </cell>
          <cell r="CZ192" t="str">
            <v>有</v>
          </cell>
          <cell r="DA192" t="str">
            <v>有</v>
          </cell>
          <cell r="DB192" t="str">
            <v>有</v>
          </cell>
          <cell r="DC192" t="str">
            <v>有</v>
          </cell>
          <cell r="DD192" t="str">
            <v>有</v>
          </cell>
          <cell r="DE192" t="str">
            <v>有</v>
          </cell>
          <cell r="DF192" t="str">
            <v>有</v>
          </cell>
          <cell r="DG192" t="str">
            <v>有</v>
          </cell>
          <cell r="DH192" t="str">
            <v>有</v>
          </cell>
          <cell r="DI192" t="str">
            <v>有</v>
          </cell>
          <cell r="DJ192" t="str">
            <v>有</v>
          </cell>
          <cell r="DK192" t="str">
            <v>-</v>
          </cell>
          <cell r="DL192" t="str">
            <v>-</v>
          </cell>
          <cell r="DM192" t="str">
            <v>-</v>
          </cell>
          <cell r="DN192" t="str">
            <v>-</v>
          </cell>
          <cell r="DO192" t="str">
            <v>-</v>
          </cell>
          <cell r="DP192" t="str">
            <v>-</v>
          </cell>
          <cell r="DQ192" t="str">
            <v>-</v>
          </cell>
          <cell r="DR192" t="str">
            <v>-</v>
          </cell>
          <cell r="DS192" t="str">
            <v>-</v>
          </cell>
          <cell r="DT192" t="str">
            <v>-</v>
          </cell>
          <cell r="DU192" t="str">
            <v>-</v>
          </cell>
          <cell r="DV192" t="str">
            <v>-</v>
          </cell>
          <cell r="DW192" t="str">
            <v>無</v>
          </cell>
          <cell r="DX192" t="str">
            <v>無</v>
          </cell>
          <cell r="DY192" t="str">
            <v>無</v>
          </cell>
          <cell r="DZ192" t="str">
            <v>無</v>
          </cell>
          <cell r="EA192" t="str">
            <v>無</v>
          </cell>
          <cell r="EB192" t="str">
            <v>無</v>
          </cell>
          <cell r="EC192" t="str">
            <v>無</v>
          </cell>
          <cell r="ED192" t="str">
            <v>無</v>
          </cell>
          <cell r="EE192" t="str">
            <v>無</v>
          </cell>
          <cell r="EF192" t="str">
            <v>無</v>
          </cell>
          <cell r="EG192" t="str">
            <v>無</v>
          </cell>
          <cell r="EH192" t="str">
            <v>無</v>
          </cell>
          <cell r="EI192" t="str">
            <v>配置</v>
          </cell>
          <cell r="EJ192" t="str">
            <v>配置</v>
          </cell>
          <cell r="EK192" t="str">
            <v>配置</v>
          </cell>
          <cell r="EL192" t="str">
            <v>配置</v>
          </cell>
          <cell r="EM192" t="str">
            <v>配置</v>
          </cell>
          <cell r="EN192" t="str">
            <v>配置</v>
          </cell>
          <cell r="EO192" t="str">
            <v>配置</v>
          </cell>
          <cell r="EP192" t="str">
            <v>配置</v>
          </cell>
          <cell r="EQ192" t="str">
            <v>配置</v>
          </cell>
          <cell r="ER192" t="str">
            <v>配置</v>
          </cell>
          <cell r="ES192" t="str">
            <v>配置</v>
          </cell>
          <cell r="ET192" t="str">
            <v>配置</v>
          </cell>
          <cell r="EU192">
            <v>76960</v>
          </cell>
          <cell r="EV192">
            <v>76960</v>
          </cell>
          <cell r="EW192">
            <v>76960</v>
          </cell>
          <cell r="EX192">
            <v>76960</v>
          </cell>
          <cell r="EY192">
            <v>76960</v>
          </cell>
          <cell r="EZ192">
            <v>76960</v>
          </cell>
          <cell r="FA192">
            <v>76960</v>
          </cell>
          <cell r="FB192">
            <v>76960</v>
          </cell>
          <cell r="FC192">
            <v>76960</v>
          </cell>
          <cell r="FD192">
            <v>76960</v>
          </cell>
          <cell r="FE192">
            <v>76960</v>
          </cell>
          <cell r="FF192">
            <v>76960</v>
          </cell>
        </row>
        <row r="193">
          <cell r="C193">
            <v>227</v>
          </cell>
          <cell r="D193" t="str">
            <v>認定こども園　松ヶ丘幼稚園</v>
          </cell>
          <cell r="E193" t="str">
            <v>無</v>
          </cell>
          <cell r="F193">
            <v>190</v>
          </cell>
          <cell r="G193">
            <v>150</v>
          </cell>
          <cell r="H193">
            <v>40</v>
          </cell>
          <cell r="I193">
            <v>0</v>
          </cell>
          <cell r="O193">
            <v>1189000</v>
          </cell>
          <cell r="P193">
            <v>2627000</v>
          </cell>
          <cell r="Q193">
            <v>2627000</v>
          </cell>
          <cell r="R193">
            <v>1631000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t="str">
            <v>令和3年4月1日</v>
          </cell>
          <cell r="AM193" t="str">
            <v>6号の25</v>
          </cell>
          <cell r="AN193" t="str">
            <v>有</v>
          </cell>
          <cell r="AO193" t="str">
            <v>-</v>
          </cell>
          <cell r="AP193" t="str">
            <v>-</v>
          </cell>
          <cell r="AQ193" t="str">
            <v>-</v>
          </cell>
          <cell r="AR193" t="str">
            <v>-</v>
          </cell>
          <cell r="AS193" t="str">
            <v>-</v>
          </cell>
          <cell r="AT193" t="str">
            <v>-</v>
          </cell>
          <cell r="AU193" t="str">
            <v>-</v>
          </cell>
          <cell r="AV193" t="str">
            <v>-</v>
          </cell>
          <cell r="AW193" t="str">
            <v>-</v>
          </cell>
          <cell r="AX193" t="str">
            <v>-</v>
          </cell>
          <cell r="AY193" t="str">
            <v>-</v>
          </cell>
          <cell r="AZ193" t="str">
            <v>-</v>
          </cell>
          <cell r="BA193" t="str">
            <v>-</v>
          </cell>
          <cell r="BB193" t="str">
            <v>-</v>
          </cell>
          <cell r="BC193" t="str">
            <v>-</v>
          </cell>
          <cell r="BD193" t="str">
            <v>-</v>
          </cell>
          <cell r="BE193" t="str">
            <v>-</v>
          </cell>
          <cell r="BF193" t="str">
            <v>-</v>
          </cell>
          <cell r="BG193" t="str">
            <v>-</v>
          </cell>
          <cell r="BH193" t="str">
            <v>-</v>
          </cell>
          <cell r="BI193" t="str">
            <v>-</v>
          </cell>
          <cell r="BJ193" t="str">
            <v>-</v>
          </cell>
          <cell r="BK193" t="str">
            <v>-</v>
          </cell>
          <cell r="BL193" t="str">
            <v>-</v>
          </cell>
          <cell r="CW193" t="str">
            <v>無</v>
          </cell>
          <cell r="CX193">
            <v>1</v>
          </cell>
          <cell r="DK193" t="str">
            <v>-</v>
          </cell>
          <cell r="DL193" t="str">
            <v>-</v>
          </cell>
          <cell r="DM193" t="str">
            <v>-</v>
          </cell>
          <cell r="DN193" t="str">
            <v>-</v>
          </cell>
          <cell r="DO193" t="str">
            <v>-</v>
          </cell>
          <cell r="DP193" t="str">
            <v>-</v>
          </cell>
          <cell r="DQ193" t="str">
            <v>-</v>
          </cell>
          <cell r="DR193" t="str">
            <v>-</v>
          </cell>
          <cell r="DS193" t="str">
            <v>-</v>
          </cell>
          <cell r="DT193" t="str">
            <v>-</v>
          </cell>
          <cell r="DU193" t="str">
            <v>-</v>
          </cell>
          <cell r="DV193" t="str">
            <v>-</v>
          </cell>
          <cell r="EU193" t="str">
            <v/>
          </cell>
          <cell r="EV193" t="str">
            <v/>
          </cell>
          <cell r="EW193" t="str">
            <v/>
          </cell>
          <cell r="EX193" t="str">
            <v/>
          </cell>
          <cell r="EY193" t="str">
            <v/>
          </cell>
          <cell r="EZ193" t="str">
            <v/>
          </cell>
          <cell r="FA193" t="str">
            <v/>
          </cell>
          <cell r="FB193" t="str">
            <v/>
          </cell>
          <cell r="FC193" t="str">
            <v/>
          </cell>
          <cell r="FD193" t="str">
            <v/>
          </cell>
          <cell r="FE193" t="str">
            <v/>
          </cell>
          <cell r="FF193" t="str">
            <v/>
          </cell>
        </row>
        <row r="194">
          <cell r="C194">
            <v>228</v>
          </cell>
          <cell r="D194" t="str">
            <v>認定こども園　都幼稚園</v>
          </cell>
          <cell r="E194" t="str">
            <v>無</v>
          </cell>
          <cell r="F194">
            <v>190</v>
          </cell>
          <cell r="G194">
            <v>170</v>
          </cell>
          <cell r="H194">
            <v>20</v>
          </cell>
          <cell r="I194">
            <v>0</v>
          </cell>
          <cell r="O194">
            <v>1189000</v>
          </cell>
          <cell r="P194">
            <v>0</v>
          </cell>
          <cell r="Q194">
            <v>0</v>
          </cell>
          <cell r="R194">
            <v>1631000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t="str">
            <v>令和3年4月1日</v>
          </cell>
          <cell r="AM194" t="str">
            <v>6号の26</v>
          </cell>
          <cell r="AN194" t="str">
            <v>有</v>
          </cell>
          <cell r="AO194" t="str">
            <v>-</v>
          </cell>
          <cell r="AP194" t="str">
            <v>-</v>
          </cell>
          <cell r="AQ194" t="str">
            <v>-</v>
          </cell>
          <cell r="AR194" t="str">
            <v>-</v>
          </cell>
          <cell r="AS194" t="str">
            <v>-</v>
          </cell>
          <cell r="AT194" t="str">
            <v>-</v>
          </cell>
          <cell r="AU194" t="str">
            <v>-</v>
          </cell>
          <cell r="AV194" t="str">
            <v>-</v>
          </cell>
          <cell r="AW194" t="str">
            <v>-</v>
          </cell>
          <cell r="AX194" t="str">
            <v>-</v>
          </cell>
          <cell r="AY194" t="str">
            <v>-</v>
          </cell>
          <cell r="AZ194" t="str">
            <v>-</v>
          </cell>
          <cell r="BA194" t="str">
            <v>-</v>
          </cell>
          <cell r="BB194" t="str">
            <v>-</v>
          </cell>
          <cell r="BC194" t="str">
            <v>-</v>
          </cell>
          <cell r="BD194" t="str">
            <v>-</v>
          </cell>
          <cell r="BE194" t="str">
            <v>-</v>
          </cell>
          <cell r="BF194" t="str">
            <v>-</v>
          </cell>
          <cell r="BG194" t="str">
            <v>-</v>
          </cell>
          <cell r="BH194" t="str">
            <v>-</v>
          </cell>
          <cell r="BI194" t="str">
            <v>-</v>
          </cell>
          <cell r="BJ194" t="str">
            <v>-</v>
          </cell>
          <cell r="BK194" t="str">
            <v>-</v>
          </cell>
          <cell r="BL194" t="str">
            <v>-</v>
          </cell>
          <cell r="CW194" t="str">
            <v>無</v>
          </cell>
          <cell r="CX194">
            <v>0</v>
          </cell>
          <cell r="DK194" t="str">
            <v>-</v>
          </cell>
          <cell r="DL194" t="str">
            <v>-</v>
          </cell>
          <cell r="DM194" t="str">
            <v>-</v>
          </cell>
          <cell r="DN194" t="str">
            <v>-</v>
          </cell>
          <cell r="DO194" t="str">
            <v>-</v>
          </cell>
          <cell r="DP194" t="str">
            <v>-</v>
          </cell>
          <cell r="DQ194" t="str">
            <v>-</v>
          </cell>
          <cell r="DR194" t="str">
            <v>-</v>
          </cell>
          <cell r="DS194" t="str">
            <v>-</v>
          </cell>
          <cell r="DT194" t="str">
            <v>-</v>
          </cell>
          <cell r="DU194" t="str">
            <v>-</v>
          </cell>
          <cell r="DV194" t="str">
            <v>-</v>
          </cell>
          <cell r="DW194" t="str">
            <v>有</v>
          </cell>
          <cell r="DX194" t="str">
            <v>有</v>
          </cell>
          <cell r="DY194" t="str">
            <v>有</v>
          </cell>
          <cell r="DZ194" t="str">
            <v>有</v>
          </cell>
          <cell r="EA194" t="str">
            <v>有</v>
          </cell>
          <cell r="EB194" t="str">
            <v>有</v>
          </cell>
          <cell r="EC194" t="str">
            <v>有</v>
          </cell>
          <cell r="ED194" t="str">
            <v>有</v>
          </cell>
          <cell r="EE194" t="str">
            <v>有</v>
          </cell>
          <cell r="EF194" t="str">
            <v>有</v>
          </cell>
          <cell r="EG194" t="str">
            <v>有</v>
          </cell>
          <cell r="EH194" t="str">
            <v>有</v>
          </cell>
          <cell r="EU194" t="str">
            <v/>
          </cell>
          <cell r="EV194" t="str">
            <v/>
          </cell>
          <cell r="EW194" t="str">
            <v/>
          </cell>
          <cell r="EX194" t="str">
            <v/>
          </cell>
          <cell r="EY194" t="str">
            <v/>
          </cell>
          <cell r="EZ194" t="str">
            <v/>
          </cell>
          <cell r="FA194" t="str">
            <v/>
          </cell>
          <cell r="FB194" t="str">
            <v/>
          </cell>
          <cell r="FC194" t="str">
            <v/>
          </cell>
          <cell r="FD194" t="str">
            <v/>
          </cell>
          <cell r="FE194" t="str">
            <v/>
          </cell>
          <cell r="FF194" t="str">
            <v/>
          </cell>
        </row>
        <row r="195">
          <cell r="C195">
            <v>229</v>
          </cell>
          <cell r="D195" t="str">
            <v>認定こども園　山王幼稚園</v>
          </cell>
          <cell r="E195" t="str">
            <v>無</v>
          </cell>
          <cell r="F195">
            <v>230</v>
          </cell>
          <cell r="G195">
            <v>210</v>
          </cell>
          <cell r="H195">
            <v>20</v>
          </cell>
          <cell r="I195">
            <v>0</v>
          </cell>
          <cell r="O195">
            <v>1189000</v>
          </cell>
          <cell r="P195">
            <v>2627000</v>
          </cell>
          <cell r="Q195">
            <v>0</v>
          </cell>
          <cell r="R195">
            <v>1631000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t="str">
            <v>令和3年4月1日</v>
          </cell>
          <cell r="AM195" t="str">
            <v>6号の27</v>
          </cell>
          <cell r="AN195" t="str">
            <v>有</v>
          </cell>
          <cell r="AO195" t="str">
            <v>-</v>
          </cell>
          <cell r="AP195" t="str">
            <v>-</v>
          </cell>
          <cell r="AQ195" t="str">
            <v>-</v>
          </cell>
          <cell r="AR195" t="str">
            <v>-</v>
          </cell>
          <cell r="AS195" t="str">
            <v>-</v>
          </cell>
          <cell r="AT195" t="str">
            <v>-</v>
          </cell>
          <cell r="AU195" t="str">
            <v>-</v>
          </cell>
          <cell r="AV195" t="str">
            <v>-</v>
          </cell>
          <cell r="AW195" t="str">
            <v>-</v>
          </cell>
          <cell r="AX195" t="str">
            <v>-</v>
          </cell>
          <cell r="AY195" t="str">
            <v>-</v>
          </cell>
          <cell r="AZ195" t="str">
            <v>-</v>
          </cell>
          <cell r="BA195" t="str">
            <v>-</v>
          </cell>
          <cell r="BB195" t="str">
            <v>-</v>
          </cell>
          <cell r="BC195" t="str">
            <v>-</v>
          </cell>
          <cell r="BD195" t="str">
            <v>-</v>
          </cell>
          <cell r="BE195" t="str">
            <v>-</v>
          </cell>
          <cell r="BF195" t="str">
            <v>-</v>
          </cell>
          <cell r="BG195" t="str">
            <v>-</v>
          </cell>
          <cell r="BH195" t="str">
            <v>-</v>
          </cell>
          <cell r="BI195" t="str">
            <v>-</v>
          </cell>
          <cell r="BJ195" t="str">
            <v>-</v>
          </cell>
          <cell r="BK195" t="str">
            <v>-</v>
          </cell>
          <cell r="BL195" t="str">
            <v>-</v>
          </cell>
          <cell r="BM195">
            <v>1</v>
          </cell>
          <cell r="BN195">
            <v>1</v>
          </cell>
          <cell r="BO195">
            <v>1</v>
          </cell>
          <cell r="BP195">
            <v>1</v>
          </cell>
          <cell r="BQ195">
            <v>1</v>
          </cell>
          <cell r="BR195">
            <v>1</v>
          </cell>
          <cell r="BS195">
            <v>1</v>
          </cell>
          <cell r="BT195">
            <v>1</v>
          </cell>
          <cell r="BU195">
            <v>1</v>
          </cell>
          <cell r="BV195">
            <v>1</v>
          </cell>
          <cell r="BW195">
            <v>1</v>
          </cell>
          <cell r="BX195">
            <v>1</v>
          </cell>
          <cell r="CK195">
            <v>0</v>
          </cell>
          <cell r="CL195">
            <v>0</v>
          </cell>
          <cell r="CM195">
            <v>0</v>
          </cell>
          <cell r="CN195">
            <v>0</v>
          </cell>
          <cell r="CO195">
            <v>0</v>
          </cell>
          <cell r="CP195">
            <v>0</v>
          </cell>
          <cell r="CQ195">
            <v>0</v>
          </cell>
          <cell r="CR195">
            <v>0</v>
          </cell>
          <cell r="CS195">
            <v>0</v>
          </cell>
          <cell r="CT195">
            <v>0</v>
          </cell>
          <cell r="CU195">
            <v>0</v>
          </cell>
          <cell r="CV195">
            <v>0</v>
          </cell>
          <cell r="CW195" t="str">
            <v>無</v>
          </cell>
          <cell r="CX195">
            <v>0</v>
          </cell>
          <cell r="CY195" t="str">
            <v>無</v>
          </cell>
          <cell r="CZ195" t="str">
            <v>無</v>
          </cell>
          <cell r="DA195" t="str">
            <v>無</v>
          </cell>
          <cell r="DB195" t="str">
            <v>無</v>
          </cell>
          <cell r="DC195" t="str">
            <v>無</v>
          </cell>
          <cell r="DD195" t="str">
            <v>無</v>
          </cell>
          <cell r="DE195" t="str">
            <v>無</v>
          </cell>
          <cell r="DF195" t="str">
            <v>無</v>
          </cell>
          <cell r="DG195" t="str">
            <v>無</v>
          </cell>
          <cell r="DH195" t="str">
            <v>無</v>
          </cell>
          <cell r="DI195" t="str">
            <v>無</v>
          </cell>
          <cell r="DJ195" t="str">
            <v>無</v>
          </cell>
          <cell r="DK195" t="str">
            <v>-</v>
          </cell>
          <cell r="DL195" t="str">
            <v>-</v>
          </cell>
          <cell r="DM195" t="str">
            <v>-</v>
          </cell>
          <cell r="DN195" t="str">
            <v>-</v>
          </cell>
          <cell r="DO195" t="str">
            <v>-</v>
          </cell>
          <cell r="DP195" t="str">
            <v>-</v>
          </cell>
          <cell r="DQ195" t="str">
            <v>-</v>
          </cell>
          <cell r="DR195" t="str">
            <v>-</v>
          </cell>
          <cell r="DS195" t="str">
            <v>-</v>
          </cell>
          <cell r="DT195" t="str">
            <v>-</v>
          </cell>
          <cell r="DU195" t="str">
            <v>-</v>
          </cell>
          <cell r="DV195" t="str">
            <v>-</v>
          </cell>
          <cell r="DW195" t="str">
            <v>有</v>
          </cell>
          <cell r="DX195" t="str">
            <v>有</v>
          </cell>
          <cell r="DY195" t="str">
            <v>有</v>
          </cell>
          <cell r="DZ195" t="str">
            <v>有</v>
          </cell>
          <cell r="EA195" t="str">
            <v>有</v>
          </cell>
          <cell r="EB195" t="str">
            <v>有</v>
          </cell>
          <cell r="EC195" t="str">
            <v>有</v>
          </cell>
          <cell r="ED195" t="str">
            <v>有</v>
          </cell>
          <cell r="EE195" t="str">
            <v>有</v>
          </cell>
          <cell r="EF195" t="str">
            <v>有</v>
          </cell>
          <cell r="EG195" t="str">
            <v>有</v>
          </cell>
          <cell r="EH195" t="str">
            <v>有</v>
          </cell>
          <cell r="EU195" t="str">
            <v/>
          </cell>
          <cell r="EV195" t="str">
            <v/>
          </cell>
          <cell r="EW195" t="str">
            <v/>
          </cell>
          <cell r="EX195" t="str">
            <v/>
          </cell>
          <cell r="EY195" t="str">
            <v/>
          </cell>
          <cell r="EZ195" t="str">
            <v/>
          </cell>
          <cell r="FA195" t="str">
            <v/>
          </cell>
          <cell r="FB195" t="str">
            <v/>
          </cell>
          <cell r="FC195" t="str">
            <v/>
          </cell>
          <cell r="FD195" t="str">
            <v/>
          </cell>
          <cell r="FE195" t="str">
            <v/>
          </cell>
          <cell r="FF195" t="str">
            <v/>
          </cell>
        </row>
        <row r="196">
          <cell r="C196">
            <v>230</v>
          </cell>
          <cell r="D196" t="str">
            <v>認定こども園　土岐幼稚園</v>
          </cell>
          <cell r="E196" t="str">
            <v>無</v>
          </cell>
          <cell r="F196">
            <v>55</v>
          </cell>
          <cell r="G196">
            <v>45</v>
          </cell>
          <cell r="H196">
            <v>10</v>
          </cell>
          <cell r="I196">
            <v>0</v>
          </cell>
          <cell r="O196">
            <v>1189000</v>
          </cell>
          <cell r="P196">
            <v>2627000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t="str">
            <v>令和3年4月1日</v>
          </cell>
          <cell r="AM196" t="str">
            <v>6号の28</v>
          </cell>
          <cell r="AN196" t="str">
            <v>有</v>
          </cell>
          <cell r="AO196" t="str">
            <v>-</v>
          </cell>
          <cell r="AP196" t="str">
            <v>-</v>
          </cell>
          <cell r="AQ196" t="str">
            <v>-</v>
          </cell>
          <cell r="AR196" t="str">
            <v>-</v>
          </cell>
          <cell r="AS196" t="str">
            <v>-</v>
          </cell>
          <cell r="AT196" t="str">
            <v>-</v>
          </cell>
          <cell r="AU196" t="str">
            <v>-</v>
          </cell>
          <cell r="AV196" t="str">
            <v>-</v>
          </cell>
          <cell r="AW196" t="str">
            <v>-</v>
          </cell>
          <cell r="AX196" t="str">
            <v>-</v>
          </cell>
          <cell r="AY196" t="str">
            <v>-</v>
          </cell>
          <cell r="AZ196" t="str">
            <v>-</v>
          </cell>
          <cell r="BA196" t="str">
            <v>-</v>
          </cell>
          <cell r="BB196" t="str">
            <v>-</v>
          </cell>
          <cell r="BC196" t="str">
            <v>-</v>
          </cell>
          <cell r="BD196" t="str">
            <v>-</v>
          </cell>
          <cell r="BE196" t="str">
            <v>-</v>
          </cell>
          <cell r="BF196" t="str">
            <v>-</v>
          </cell>
          <cell r="BG196" t="str">
            <v>-</v>
          </cell>
          <cell r="BH196" t="str">
            <v>-</v>
          </cell>
          <cell r="BI196" t="str">
            <v>-</v>
          </cell>
          <cell r="BJ196" t="str">
            <v>-</v>
          </cell>
          <cell r="BK196" t="str">
            <v>-</v>
          </cell>
          <cell r="BL196" t="str">
            <v>-</v>
          </cell>
          <cell r="CW196" t="str">
            <v>無</v>
          </cell>
          <cell r="CX196">
            <v>0</v>
          </cell>
          <cell r="DK196" t="str">
            <v>-</v>
          </cell>
          <cell r="DL196" t="str">
            <v>-</v>
          </cell>
          <cell r="DM196" t="str">
            <v>-</v>
          </cell>
          <cell r="DN196" t="str">
            <v>-</v>
          </cell>
          <cell r="DO196" t="str">
            <v>-</v>
          </cell>
          <cell r="DP196" t="str">
            <v>-</v>
          </cell>
          <cell r="DQ196" t="str">
            <v>-</v>
          </cell>
          <cell r="DR196" t="str">
            <v>-</v>
          </cell>
          <cell r="DS196" t="str">
            <v>-</v>
          </cell>
          <cell r="DT196" t="str">
            <v>-</v>
          </cell>
          <cell r="DU196" t="str">
            <v>-</v>
          </cell>
          <cell r="DV196" t="str">
            <v>-</v>
          </cell>
          <cell r="EU196" t="str">
            <v/>
          </cell>
          <cell r="EV196" t="str">
            <v/>
          </cell>
          <cell r="EW196" t="str">
            <v/>
          </cell>
          <cell r="EX196" t="str">
            <v/>
          </cell>
          <cell r="EY196" t="str">
            <v/>
          </cell>
          <cell r="EZ196" t="str">
            <v/>
          </cell>
          <cell r="FA196" t="str">
            <v/>
          </cell>
          <cell r="FB196" t="str">
            <v/>
          </cell>
          <cell r="FC196" t="str">
            <v/>
          </cell>
          <cell r="FD196" t="str">
            <v/>
          </cell>
          <cell r="FE196" t="str">
            <v/>
          </cell>
          <cell r="FF196" t="str">
            <v/>
          </cell>
        </row>
        <row r="197">
          <cell r="C197">
            <v>231</v>
          </cell>
          <cell r="D197" t="str">
            <v>認定こども園　鏡戸幼稚園</v>
          </cell>
          <cell r="E197" t="str">
            <v>無</v>
          </cell>
          <cell r="F197">
            <v>216</v>
          </cell>
          <cell r="G197">
            <v>196</v>
          </cell>
          <cell r="H197">
            <v>15</v>
          </cell>
          <cell r="I197">
            <v>5</v>
          </cell>
          <cell r="O197">
            <v>1189000</v>
          </cell>
          <cell r="P197">
            <v>1803000</v>
          </cell>
          <cell r="Q197">
            <v>2627000</v>
          </cell>
          <cell r="R197">
            <v>1631000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t="str">
            <v>令和3年4月1日</v>
          </cell>
          <cell r="AM197" t="str">
            <v>6号の29</v>
          </cell>
          <cell r="AN197" t="str">
            <v>有</v>
          </cell>
          <cell r="AO197" t="str">
            <v>-</v>
          </cell>
          <cell r="AP197" t="str">
            <v>-</v>
          </cell>
          <cell r="AQ197" t="str">
            <v>-</v>
          </cell>
          <cell r="AR197" t="str">
            <v>-</v>
          </cell>
          <cell r="AS197" t="str">
            <v>-</v>
          </cell>
          <cell r="AT197" t="str">
            <v>-</v>
          </cell>
          <cell r="AU197" t="str">
            <v>-</v>
          </cell>
          <cell r="AV197" t="str">
            <v>-</v>
          </cell>
          <cell r="AW197" t="str">
            <v>-</v>
          </cell>
          <cell r="AX197" t="str">
            <v>-</v>
          </cell>
          <cell r="AY197" t="str">
            <v>-</v>
          </cell>
          <cell r="AZ197" t="str">
            <v>-</v>
          </cell>
          <cell r="BA197" t="str">
            <v>-</v>
          </cell>
          <cell r="BB197" t="str">
            <v>-</v>
          </cell>
          <cell r="BC197" t="str">
            <v>-</v>
          </cell>
          <cell r="BD197" t="str">
            <v>-</v>
          </cell>
          <cell r="BE197" t="str">
            <v>-</v>
          </cell>
          <cell r="BF197" t="str">
            <v>-</v>
          </cell>
          <cell r="BG197" t="str">
            <v>-</v>
          </cell>
          <cell r="BH197" t="str">
            <v>-</v>
          </cell>
          <cell r="BI197" t="str">
            <v>-</v>
          </cell>
          <cell r="BJ197" t="str">
            <v>-</v>
          </cell>
          <cell r="BK197" t="str">
            <v>-</v>
          </cell>
          <cell r="BL197" t="str">
            <v>-</v>
          </cell>
          <cell r="CW197" t="str">
            <v>無</v>
          </cell>
          <cell r="CX197">
            <v>1</v>
          </cell>
          <cell r="CY197" t="str">
            <v>無</v>
          </cell>
          <cell r="CZ197" t="str">
            <v>無</v>
          </cell>
          <cell r="DA197" t="str">
            <v>無</v>
          </cell>
          <cell r="DB197" t="str">
            <v>無</v>
          </cell>
          <cell r="DC197" t="str">
            <v>無</v>
          </cell>
          <cell r="DD197" t="str">
            <v>無</v>
          </cell>
          <cell r="DE197" t="str">
            <v>無</v>
          </cell>
          <cell r="DF197" t="str">
            <v>無</v>
          </cell>
          <cell r="DG197" t="str">
            <v>無</v>
          </cell>
          <cell r="DH197" t="str">
            <v>無</v>
          </cell>
          <cell r="DI197" t="str">
            <v>無</v>
          </cell>
          <cell r="DJ197" t="str">
            <v>無</v>
          </cell>
          <cell r="DK197" t="str">
            <v>-</v>
          </cell>
          <cell r="DL197" t="str">
            <v>-</v>
          </cell>
          <cell r="DM197" t="str">
            <v>-</v>
          </cell>
          <cell r="DN197" t="str">
            <v>-</v>
          </cell>
          <cell r="DO197" t="str">
            <v>-</v>
          </cell>
          <cell r="DP197" t="str">
            <v>-</v>
          </cell>
          <cell r="DQ197" t="str">
            <v>-</v>
          </cell>
          <cell r="DR197" t="str">
            <v>-</v>
          </cell>
          <cell r="DS197" t="str">
            <v>-</v>
          </cell>
          <cell r="DT197" t="str">
            <v>-</v>
          </cell>
          <cell r="DU197" t="str">
            <v>-</v>
          </cell>
          <cell r="DV197" t="str">
            <v>-</v>
          </cell>
          <cell r="DW197" t="str">
            <v>有</v>
          </cell>
          <cell r="DX197" t="str">
            <v>有</v>
          </cell>
          <cell r="DY197" t="str">
            <v>有</v>
          </cell>
          <cell r="DZ197" t="str">
            <v>有</v>
          </cell>
          <cell r="EA197" t="str">
            <v>有</v>
          </cell>
          <cell r="EB197" t="str">
            <v>有</v>
          </cell>
          <cell r="EC197" t="str">
            <v>有</v>
          </cell>
          <cell r="ED197" t="str">
            <v>有</v>
          </cell>
          <cell r="EE197" t="str">
            <v>有</v>
          </cell>
          <cell r="EF197" t="str">
            <v>有</v>
          </cell>
          <cell r="EG197" t="str">
            <v>有</v>
          </cell>
          <cell r="EH197" t="str">
            <v>有</v>
          </cell>
          <cell r="EI197" t="str">
            <v>配置</v>
          </cell>
          <cell r="EJ197" t="str">
            <v>配置</v>
          </cell>
          <cell r="EK197" t="str">
            <v>配置</v>
          </cell>
          <cell r="EL197" t="str">
            <v>配置</v>
          </cell>
          <cell r="EM197" t="str">
            <v>配置</v>
          </cell>
          <cell r="EN197" t="str">
            <v>配置</v>
          </cell>
          <cell r="EO197" t="str">
            <v>配置</v>
          </cell>
          <cell r="EP197" t="str">
            <v>配置</v>
          </cell>
          <cell r="EQ197" t="str">
            <v>配置</v>
          </cell>
          <cell r="ER197" t="str">
            <v>配置</v>
          </cell>
          <cell r="ES197" t="str">
            <v>配置</v>
          </cell>
          <cell r="ET197" t="str">
            <v>配置</v>
          </cell>
          <cell r="EU197">
            <v>76960</v>
          </cell>
          <cell r="EV197">
            <v>76960</v>
          </cell>
          <cell r="EW197">
            <v>76960</v>
          </cell>
          <cell r="EX197">
            <v>76960</v>
          </cell>
          <cell r="EY197">
            <v>76960</v>
          </cell>
          <cell r="EZ197">
            <v>76960</v>
          </cell>
          <cell r="FA197">
            <v>76960</v>
          </cell>
          <cell r="FB197">
            <v>76960</v>
          </cell>
          <cell r="FC197">
            <v>76960</v>
          </cell>
          <cell r="FD197">
            <v>76960</v>
          </cell>
          <cell r="FE197">
            <v>76960</v>
          </cell>
          <cell r="FF197">
            <v>76960</v>
          </cell>
        </row>
        <row r="198">
          <cell r="C198">
            <v>232</v>
          </cell>
          <cell r="D198" t="str">
            <v>認定こども園　植草学園大学附属美浜幼稚園</v>
          </cell>
          <cell r="E198" t="str">
            <v>無</v>
          </cell>
          <cell r="F198">
            <v>100</v>
          </cell>
          <cell r="G198">
            <v>90</v>
          </cell>
          <cell r="H198">
            <v>10</v>
          </cell>
          <cell r="I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t="str">
            <v>令和3年4月1日</v>
          </cell>
          <cell r="AN198" t="str">
            <v>有</v>
          </cell>
          <cell r="AO198" t="str">
            <v>-</v>
          </cell>
          <cell r="AP198" t="str">
            <v>-</v>
          </cell>
          <cell r="AQ198" t="str">
            <v>-</v>
          </cell>
          <cell r="AR198" t="str">
            <v>-</v>
          </cell>
          <cell r="AS198" t="str">
            <v>-</v>
          </cell>
          <cell r="AT198" t="str">
            <v>-</v>
          </cell>
          <cell r="AU198" t="str">
            <v>-</v>
          </cell>
          <cell r="AV198" t="str">
            <v>-</v>
          </cell>
          <cell r="AW198" t="str">
            <v>-</v>
          </cell>
          <cell r="AX198" t="str">
            <v>-</v>
          </cell>
          <cell r="AY198" t="str">
            <v>-</v>
          </cell>
          <cell r="AZ198" t="str">
            <v>-</v>
          </cell>
          <cell r="BA198" t="str">
            <v>-</v>
          </cell>
          <cell r="BB198" t="str">
            <v>-</v>
          </cell>
          <cell r="BC198" t="str">
            <v>-</v>
          </cell>
          <cell r="BD198" t="str">
            <v>-</v>
          </cell>
          <cell r="BE198" t="str">
            <v>-</v>
          </cell>
          <cell r="BF198" t="str">
            <v>-</v>
          </cell>
          <cell r="BG198" t="str">
            <v>-</v>
          </cell>
          <cell r="BH198" t="str">
            <v>-</v>
          </cell>
          <cell r="BI198" t="str">
            <v>-</v>
          </cell>
          <cell r="BJ198" t="str">
            <v>-</v>
          </cell>
          <cell r="BK198" t="str">
            <v>-</v>
          </cell>
          <cell r="BL198" t="str">
            <v>-</v>
          </cell>
          <cell r="CW198" t="str">
            <v>無</v>
          </cell>
          <cell r="CX198">
            <v>1</v>
          </cell>
          <cell r="CY198" t="str">
            <v>無</v>
          </cell>
          <cell r="CZ198" t="str">
            <v>無</v>
          </cell>
          <cell r="DA198" t="str">
            <v>無</v>
          </cell>
          <cell r="DB198" t="str">
            <v>無</v>
          </cell>
          <cell r="DC198" t="str">
            <v>無</v>
          </cell>
          <cell r="DD198" t="str">
            <v>無</v>
          </cell>
          <cell r="DE198" t="str">
            <v>無</v>
          </cell>
          <cell r="DF198" t="str">
            <v>無</v>
          </cell>
          <cell r="DG198" t="str">
            <v>無</v>
          </cell>
          <cell r="DH198" t="str">
            <v>無</v>
          </cell>
          <cell r="DI198" t="str">
            <v>無</v>
          </cell>
          <cell r="DJ198" t="str">
            <v>無</v>
          </cell>
          <cell r="DK198" t="str">
            <v>-</v>
          </cell>
          <cell r="DL198" t="str">
            <v>-</v>
          </cell>
          <cell r="DM198" t="str">
            <v>-</v>
          </cell>
          <cell r="DN198" t="str">
            <v>-</v>
          </cell>
          <cell r="DO198" t="str">
            <v>-</v>
          </cell>
          <cell r="DP198" t="str">
            <v>-</v>
          </cell>
          <cell r="DQ198" t="str">
            <v>-</v>
          </cell>
          <cell r="DR198" t="str">
            <v>-</v>
          </cell>
          <cell r="DS198" t="str">
            <v>-</v>
          </cell>
          <cell r="DT198" t="str">
            <v>-</v>
          </cell>
          <cell r="DU198" t="str">
            <v>-</v>
          </cell>
          <cell r="DV198" t="str">
            <v>-</v>
          </cell>
          <cell r="DW198" t="str">
            <v>無</v>
          </cell>
          <cell r="DX198" t="str">
            <v>無</v>
          </cell>
          <cell r="DY198" t="str">
            <v>無</v>
          </cell>
          <cell r="DZ198" t="str">
            <v>無</v>
          </cell>
          <cell r="EA198" t="str">
            <v>無</v>
          </cell>
          <cell r="EB198" t="str">
            <v>無</v>
          </cell>
          <cell r="EC198" t="str">
            <v>無</v>
          </cell>
          <cell r="ED198" t="str">
            <v>無</v>
          </cell>
          <cell r="EE198" t="str">
            <v>無</v>
          </cell>
          <cell r="EF198" t="str">
            <v>無</v>
          </cell>
          <cell r="EG198" t="str">
            <v>無</v>
          </cell>
          <cell r="EH198" t="str">
            <v>無</v>
          </cell>
          <cell r="EU198" t="str">
            <v/>
          </cell>
          <cell r="EV198" t="str">
            <v/>
          </cell>
          <cell r="EW198" t="str">
            <v/>
          </cell>
          <cell r="EX198" t="str">
            <v/>
          </cell>
          <cell r="EY198" t="str">
            <v/>
          </cell>
          <cell r="EZ198" t="str">
            <v/>
          </cell>
          <cell r="FA198" t="str">
            <v/>
          </cell>
          <cell r="FB198" t="str">
            <v/>
          </cell>
          <cell r="FC198" t="str">
            <v/>
          </cell>
          <cell r="FD198" t="str">
            <v/>
          </cell>
          <cell r="FE198" t="str">
            <v/>
          </cell>
          <cell r="FF198" t="str">
            <v/>
          </cell>
        </row>
        <row r="199">
          <cell r="C199">
            <v>233</v>
          </cell>
          <cell r="D199" t="str">
            <v>認定こども園　千葉敬愛短期大学附属幼稚園</v>
          </cell>
          <cell r="E199" t="str">
            <v>無</v>
          </cell>
          <cell r="F199">
            <v>150</v>
          </cell>
          <cell r="G199">
            <v>120</v>
          </cell>
          <cell r="H199">
            <v>30</v>
          </cell>
          <cell r="I199">
            <v>0</v>
          </cell>
          <cell r="O199">
            <v>1189000</v>
          </cell>
          <cell r="P199">
            <v>1652000</v>
          </cell>
          <cell r="Q199">
            <v>1749000</v>
          </cell>
          <cell r="R199">
            <v>0</v>
          </cell>
          <cell r="S199">
            <v>0</v>
          </cell>
          <cell r="T199">
            <v>0</v>
          </cell>
          <cell r="U199">
            <v>0</v>
          </cell>
          <cell r="V199">
            <v>792000</v>
          </cell>
          <cell r="W199">
            <v>1101000</v>
          </cell>
          <cell r="X199">
            <v>1166000</v>
          </cell>
          <cell r="Y199">
            <v>0</v>
          </cell>
          <cell r="Z199">
            <v>0</v>
          </cell>
          <cell r="AA199">
            <v>0</v>
          </cell>
          <cell r="AB199">
            <v>0</v>
          </cell>
          <cell r="AC199">
            <v>0</v>
          </cell>
          <cell r="AD199">
            <v>0</v>
          </cell>
          <cell r="AE199">
            <v>0</v>
          </cell>
          <cell r="AF199">
            <v>0</v>
          </cell>
          <cell r="AG199">
            <v>0</v>
          </cell>
          <cell r="AH199">
            <v>0</v>
          </cell>
          <cell r="AI199">
            <v>0</v>
          </cell>
          <cell r="AJ199" t="str">
            <v>令和3年4月1日</v>
          </cell>
          <cell r="AK199" t="str">
            <v>令和3年5月31日交付</v>
          </cell>
          <cell r="AM199" t="str">
            <v>6号の30</v>
          </cell>
          <cell r="AN199" t="str">
            <v>有</v>
          </cell>
          <cell r="AO199" t="str">
            <v>-</v>
          </cell>
          <cell r="AP199" t="str">
            <v>-</v>
          </cell>
          <cell r="AQ199" t="str">
            <v>-</v>
          </cell>
          <cell r="AR199" t="str">
            <v>-</v>
          </cell>
          <cell r="AS199" t="str">
            <v>-</v>
          </cell>
          <cell r="AT199" t="str">
            <v>-</v>
          </cell>
          <cell r="AU199" t="str">
            <v>-</v>
          </cell>
          <cell r="AV199" t="str">
            <v>-</v>
          </cell>
          <cell r="AW199" t="str">
            <v>-</v>
          </cell>
          <cell r="AX199" t="str">
            <v>-</v>
          </cell>
          <cell r="AY199" t="str">
            <v>-</v>
          </cell>
          <cell r="AZ199" t="str">
            <v>-</v>
          </cell>
          <cell r="BA199" t="str">
            <v>-</v>
          </cell>
          <cell r="BB199" t="str">
            <v>-</v>
          </cell>
          <cell r="BC199" t="str">
            <v>-</v>
          </cell>
          <cell r="BD199" t="str">
            <v>-</v>
          </cell>
          <cell r="BE199" t="str">
            <v>-</v>
          </cell>
          <cell r="BF199" t="str">
            <v>-</v>
          </cell>
          <cell r="BG199" t="str">
            <v>-</v>
          </cell>
          <cell r="BH199" t="str">
            <v>-</v>
          </cell>
          <cell r="BI199" t="str">
            <v>-</v>
          </cell>
          <cell r="BJ199" t="str">
            <v>-</v>
          </cell>
          <cell r="BK199" t="str">
            <v>-</v>
          </cell>
          <cell r="BL199" t="str">
            <v>-</v>
          </cell>
          <cell r="CW199" t="str">
            <v>無</v>
          </cell>
          <cell r="CX199">
            <v>0</v>
          </cell>
          <cell r="CY199" t="str">
            <v>無</v>
          </cell>
          <cell r="CZ199" t="str">
            <v>無</v>
          </cell>
          <cell r="DA199" t="str">
            <v>無</v>
          </cell>
          <cell r="DB199" t="str">
            <v>無</v>
          </cell>
          <cell r="DC199" t="str">
            <v>無</v>
          </cell>
          <cell r="DD199" t="str">
            <v>無</v>
          </cell>
          <cell r="DE199" t="str">
            <v>無</v>
          </cell>
          <cell r="DF199" t="str">
            <v>無</v>
          </cell>
          <cell r="DG199" t="str">
            <v>無</v>
          </cell>
          <cell r="DH199" t="str">
            <v>無</v>
          </cell>
          <cell r="DI199" t="str">
            <v>無</v>
          </cell>
          <cell r="DJ199" t="str">
            <v>無</v>
          </cell>
          <cell r="DK199" t="str">
            <v>-</v>
          </cell>
          <cell r="DL199" t="str">
            <v>-</v>
          </cell>
          <cell r="DM199" t="str">
            <v>-</v>
          </cell>
          <cell r="DN199" t="str">
            <v>-</v>
          </cell>
          <cell r="DO199" t="str">
            <v>-</v>
          </cell>
          <cell r="DP199" t="str">
            <v>-</v>
          </cell>
          <cell r="DQ199" t="str">
            <v>-</v>
          </cell>
          <cell r="DR199" t="str">
            <v>-</v>
          </cell>
          <cell r="DS199" t="str">
            <v>-</v>
          </cell>
          <cell r="DT199" t="str">
            <v>-</v>
          </cell>
          <cell r="DU199" t="str">
            <v>-</v>
          </cell>
          <cell r="DV199" t="str">
            <v>-</v>
          </cell>
          <cell r="DW199" t="str">
            <v>有</v>
          </cell>
          <cell r="DX199" t="str">
            <v>有</v>
          </cell>
          <cell r="DY199" t="str">
            <v>有</v>
          </cell>
          <cell r="DZ199" t="str">
            <v>有</v>
          </cell>
          <cell r="EA199" t="str">
            <v>有</v>
          </cell>
          <cell r="EB199" t="str">
            <v>有</v>
          </cell>
          <cell r="EC199" t="str">
            <v>有</v>
          </cell>
          <cell r="ED199" t="str">
            <v>有</v>
          </cell>
          <cell r="EE199" t="str">
            <v>有</v>
          </cell>
          <cell r="EF199" t="str">
            <v>有</v>
          </cell>
          <cell r="EG199" t="str">
            <v>有</v>
          </cell>
          <cell r="EH199" t="str">
            <v>有</v>
          </cell>
          <cell r="EI199" t="str">
            <v>嘱託</v>
          </cell>
          <cell r="EJ199" t="str">
            <v>嘱託</v>
          </cell>
          <cell r="EK199" t="str">
            <v>嘱託</v>
          </cell>
          <cell r="EL199" t="str">
            <v>嘱託</v>
          </cell>
          <cell r="EM199" t="str">
            <v>嘱託</v>
          </cell>
          <cell r="EN199" t="str">
            <v>嘱託</v>
          </cell>
          <cell r="EO199" t="str">
            <v>嘱託</v>
          </cell>
          <cell r="EP199" t="str">
            <v>嘱託</v>
          </cell>
          <cell r="EQ199" t="str">
            <v>嘱託</v>
          </cell>
          <cell r="ER199" t="str">
            <v>嘱託</v>
          </cell>
          <cell r="ES199" t="str">
            <v>嘱託</v>
          </cell>
          <cell r="ET199" t="str">
            <v>嘱託</v>
          </cell>
          <cell r="EU199" t="str">
            <v/>
          </cell>
          <cell r="EV199" t="str">
            <v/>
          </cell>
          <cell r="EW199" t="str">
            <v/>
          </cell>
          <cell r="EX199" t="str">
            <v/>
          </cell>
          <cell r="EY199" t="str">
            <v/>
          </cell>
          <cell r="EZ199" t="str">
            <v/>
          </cell>
          <cell r="FA199" t="str">
            <v/>
          </cell>
          <cell r="FB199" t="str">
            <v/>
          </cell>
          <cell r="FC199" t="str">
            <v/>
          </cell>
          <cell r="FD199" t="str">
            <v/>
          </cell>
          <cell r="FE199" t="str">
            <v/>
          </cell>
          <cell r="FF199" t="str">
            <v/>
          </cell>
        </row>
        <row r="200">
          <cell r="C200">
            <v>234</v>
          </cell>
          <cell r="D200" t="str">
            <v>認定こども園　まこと第二幼稚園</v>
          </cell>
          <cell r="E200" t="str">
            <v>無</v>
          </cell>
          <cell r="F200">
            <v>190</v>
          </cell>
          <cell r="G200">
            <v>160</v>
          </cell>
          <cell r="H200">
            <v>30</v>
          </cell>
          <cell r="I200">
            <v>0</v>
          </cell>
          <cell r="O200">
            <v>1189000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t="str">
            <v>令和3年4月1日</v>
          </cell>
          <cell r="AM200" t="str">
            <v>6号の31</v>
          </cell>
          <cell r="AN200" t="str">
            <v>有</v>
          </cell>
          <cell r="AO200" t="str">
            <v>-</v>
          </cell>
          <cell r="AP200" t="str">
            <v>-</v>
          </cell>
          <cell r="AQ200" t="str">
            <v>-</v>
          </cell>
          <cell r="AR200" t="str">
            <v>-</v>
          </cell>
          <cell r="AS200" t="str">
            <v>-</v>
          </cell>
          <cell r="AT200" t="str">
            <v>-</v>
          </cell>
          <cell r="AU200" t="str">
            <v>-</v>
          </cell>
          <cell r="AV200" t="str">
            <v>-</v>
          </cell>
          <cell r="AW200" t="str">
            <v>-</v>
          </cell>
          <cell r="AX200" t="str">
            <v>-</v>
          </cell>
          <cell r="AY200" t="str">
            <v>-</v>
          </cell>
          <cell r="AZ200" t="str">
            <v>-</v>
          </cell>
          <cell r="BA200" t="str">
            <v>-</v>
          </cell>
          <cell r="BB200" t="str">
            <v>-</v>
          </cell>
          <cell r="BC200" t="str">
            <v>-</v>
          </cell>
          <cell r="BD200" t="str">
            <v>-</v>
          </cell>
          <cell r="BE200" t="str">
            <v>-</v>
          </cell>
          <cell r="BF200" t="str">
            <v>-</v>
          </cell>
          <cell r="BG200" t="str">
            <v>-</v>
          </cell>
          <cell r="BH200" t="str">
            <v>-</v>
          </cell>
          <cell r="BI200" t="str">
            <v>-</v>
          </cell>
          <cell r="BJ200" t="str">
            <v>-</v>
          </cell>
          <cell r="BK200" t="str">
            <v>-</v>
          </cell>
          <cell r="BL200" t="str">
            <v>-</v>
          </cell>
          <cell r="CW200" t="str">
            <v>無</v>
          </cell>
          <cell r="CX200">
            <v>0</v>
          </cell>
          <cell r="CY200" t="str">
            <v>無</v>
          </cell>
          <cell r="CZ200" t="str">
            <v>無</v>
          </cell>
          <cell r="DA200" t="str">
            <v>無</v>
          </cell>
          <cell r="DB200" t="str">
            <v>無</v>
          </cell>
          <cell r="DC200" t="str">
            <v>無</v>
          </cell>
          <cell r="DD200" t="str">
            <v>無</v>
          </cell>
          <cell r="DE200" t="str">
            <v>無</v>
          </cell>
          <cell r="DF200" t="str">
            <v>無</v>
          </cell>
          <cell r="DG200" t="str">
            <v>無</v>
          </cell>
          <cell r="DH200" t="str">
            <v>無</v>
          </cell>
          <cell r="DI200" t="str">
            <v>無</v>
          </cell>
          <cell r="DJ200" t="str">
            <v>無</v>
          </cell>
          <cell r="DK200" t="str">
            <v>-</v>
          </cell>
          <cell r="DL200" t="str">
            <v>-</v>
          </cell>
          <cell r="DM200" t="str">
            <v>-</v>
          </cell>
          <cell r="DN200" t="str">
            <v>-</v>
          </cell>
          <cell r="DO200" t="str">
            <v>-</v>
          </cell>
          <cell r="DP200" t="str">
            <v>-</v>
          </cell>
          <cell r="DQ200" t="str">
            <v>-</v>
          </cell>
          <cell r="DR200" t="str">
            <v>-</v>
          </cell>
          <cell r="DS200" t="str">
            <v>-</v>
          </cell>
          <cell r="DT200" t="str">
            <v>-</v>
          </cell>
          <cell r="DU200" t="str">
            <v>-</v>
          </cell>
          <cell r="DV200" t="str">
            <v>-</v>
          </cell>
          <cell r="DW200" t="str">
            <v>有</v>
          </cell>
          <cell r="DX200" t="str">
            <v>有</v>
          </cell>
          <cell r="DY200" t="str">
            <v>有</v>
          </cell>
          <cell r="DZ200" t="str">
            <v>有</v>
          </cell>
          <cell r="EA200" t="str">
            <v>有</v>
          </cell>
          <cell r="EB200" t="str">
            <v>有</v>
          </cell>
          <cell r="EC200" t="str">
            <v>有</v>
          </cell>
          <cell r="ED200" t="str">
            <v>有</v>
          </cell>
          <cell r="EE200" t="str">
            <v>有</v>
          </cell>
          <cell r="EF200" t="str">
            <v>有</v>
          </cell>
          <cell r="EG200" t="str">
            <v>有</v>
          </cell>
          <cell r="EH200" t="str">
            <v>有</v>
          </cell>
          <cell r="EU200" t="str">
            <v/>
          </cell>
          <cell r="EV200" t="str">
            <v/>
          </cell>
          <cell r="EW200" t="str">
            <v/>
          </cell>
          <cell r="EX200" t="str">
            <v/>
          </cell>
          <cell r="EY200" t="str">
            <v/>
          </cell>
          <cell r="EZ200" t="str">
            <v/>
          </cell>
          <cell r="FA200" t="str">
            <v/>
          </cell>
          <cell r="FB200" t="str">
            <v/>
          </cell>
          <cell r="FC200" t="str">
            <v/>
          </cell>
          <cell r="FD200" t="str">
            <v/>
          </cell>
          <cell r="FE200" t="str">
            <v/>
          </cell>
          <cell r="FF200" t="str">
            <v/>
          </cell>
        </row>
        <row r="201">
          <cell r="C201">
            <v>235</v>
          </cell>
          <cell r="D201" t="str">
            <v>認定こども園　花見川ちぐさ幼稚園</v>
          </cell>
          <cell r="E201" t="str">
            <v>無</v>
          </cell>
          <cell r="F201">
            <v>90</v>
          </cell>
          <cell r="G201">
            <v>60</v>
          </cell>
          <cell r="H201">
            <v>18</v>
          </cell>
          <cell r="I201">
            <v>12</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t="str">
            <v>令和3年4月1日</v>
          </cell>
          <cell r="AN201" t="str">
            <v>有</v>
          </cell>
          <cell r="AO201" t="str">
            <v>-</v>
          </cell>
          <cell r="AP201" t="str">
            <v>-</v>
          </cell>
          <cell r="AQ201" t="str">
            <v>-</v>
          </cell>
          <cell r="AR201" t="str">
            <v>-</v>
          </cell>
          <cell r="AS201" t="str">
            <v>-</v>
          </cell>
          <cell r="AT201" t="str">
            <v>-</v>
          </cell>
          <cell r="AU201" t="str">
            <v>-</v>
          </cell>
          <cell r="AV201" t="str">
            <v>-</v>
          </cell>
          <cell r="AW201" t="str">
            <v>-</v>
          </cell>
          <cell r="AX201" t="str">
            <v>-</v>
          </cell>
          <cell r="AY201" t="str">
            <v>-</v>
          </cell>
          <cell r="AZ201" t="str">
            <v>-</v>
          </cell>
          <cell r="BA201" t="str">
            <v>-</v>
          </cell>
          <cell r="BB201" t="str">
            <v>-</v>
          </cell>
          <cell r="BC201" t="str">
            <v>-</v>
          </cell>
          <cell r="BD201" t="str">
            <v>-</v>
          </cell>
          <cell r="BE201" t="str">
            <v>-</v>
          </cell>
          <cell r="BF201" t="str">
            <v>-</v>
          </cell>
          <cell r="BG201" t="str">
            <v>-</v>
          </cell>
          <cell r="BH201" t="str">
            <v>-</v>
          </cell>
          <cell r="BI201" t="str">
            <v>-</v>
          </cell>
          <cell r="BJ201" t="str">
            <v>-</v>
          </cell>
          <cell r="BK201" t="str">
            <v>-</v>
          </cell>
          <cell r="BL201" t="str">
            <v>-</v>
          </cell>
          <cell r="CW201" t="str">
            <v>無</v>
          </cell>
          <cell r="CX201">
            <v>0</v>
          </cell>
          <cell r="CY201" t="str">
            <v>有</v>
          </cell>
          <cell r="CZ201" t="str">
            <v>有</v>
          </cell>
          <cell r="DA201" t="str">
            <v>有</v>
          </cell>
          <cell r="DB201" t="str">
            <v>有</v>
          </cell>
          <cell r="DC201" t="str">
            <v>有</v>
          </cell>
          <cell r="DD201" t="str">
            <v>有</v>
          </cell>
          <cell r="DE201" t="str">
            <v>有</v>
          </cell>
          <cell r="DF201" t="str">
            <v>有</v>
          </cell>
          <cell r="DG201" t="str">
            <v>有</v>
          </cell>
          <cell r="DH201" t="str">
            <v>有</v>
          </cell>
          <cell r="DI201" t="str">
            <v>有</v>
          </cell>
          <cell r="DJ201" t="str">
            <v>有</v>
          </cell>
          <cell r="DK201" t="str">
            <v>-</v>
          </cell>
          <cell r="DL201" t="str">
            <v>-</v>
          </cell>
          <cell r="DM201" t="str">
            <v>-</v>
          </cell>
          <cell r="DN201" t="str">
            <v>-</v>
          </cell>
          <cell r="DO201" t="str">
            <v>-</v>
          </cell>
          <cell r="DP201" t="str">
            <v>-</v>
          </cell>
          <cell r="DQ201" t="str">
            <v>-</v>
          </cell>
          <cell r="DR201" t="str">
            <v>-</v>
          </cell>
          <cell r="DS201" t="str">
            <v>-</v>
          </cell>
          <cell r="DT201" t="str">
            <v>-</v>
          </cell>
          <cell r="DU201" t="str">
            <v>-</v>
          </cell>
          <cell r="DV201" t="str">
            <v>-</v>
          </cell>
          <cell r="EI201" t="str">
            <v>嘱託</v>
          </cell>
          <cell r="EJ201" t="str">
            <v>嘱託</v>
          </cell>
          <cell r="EK201" t="str">
            <v>嘱託</v>
          </cell>
          <cell r="EL201" t="str">
            <v>嘱託</v>
          </cell>
          <cell r="EM201" t="str">
            <v>嘱託</v>
          </cell>
          <cell r="EN201" t="str">
            <v>嘱託</v>
          </cell>
          <cell r="EO201" t="str">
            <v>嘱託</v>
          </cell>
          <cell r="EP201" t="str">
            <v>嘱託</v>
          </cell>
          <cell r="EQ201" t="str">
            <v>嘱託</v>
          </cell>
          <cell r="ER201" t="str">
            <v>嘱託</v>
          </cell>
          <cell r="ES201" t="str">
            <v>嘱託</v>
          </cell>
          <cell r="ET201" t="str">
            <v>嘱託</v>
          </cell>
          <cell r="EU201" t="str">
            <v/>
          </cell>
          <cell r="EV201" t="str">
            <v/>
          </cell>
          <cell r="EW201" t="str">
            <v/>
          </cell>
          <cell r="EX201" t="str">
            <v/>
          </cell>
          <cell r="EY201" t="str">
            <v/>
          </cell>
          <cell r="EZ201" t="str">
            <v/>
          </cell>
          <cell r="FA201" t="str">
            <v/>
          </cell>
          <cell r="FB201" t="str">
            <v/>
          </cell>
          <cell r="FC201" t="str">
            <v/>
          </cell>
          <cell r="FD201" t="str">
            <v/>
          </cell>
          <cell r="FE201" t="str">
            <v/>
          </cell>
          <cell r="FF201" t="str">
            <v/>
          </cell>
        </row>
        <row r="202">
          <cell r="C202">
            <v>236</v>
          </cell>
          <cell r="D202" t="str">
            <v>認定こども園　明徳土気こども園</v>
          </cell>
          <cell r="E202" t="str">
            <v>無</v>
          </cell>
          <cell r="F202">
            <v>145</v>
          </cell>
          <cell r="G202">
            <v>5</v>
          </cell>
          <cell r="H202">
            <v>79</v>
          </cell>
          <cell r="I202">
            <v>61</v>
          </cell>
          <cell r="O202">
            <v>1189000</v>
          </cell>
          <cell r="P202">
            <v>2627000</v>
          </cell>
          <cell r="Q202">
            <v>2627000</v>
          </cell>
          <cell r="R202">
            <v>1631000</v>
          </cell>
          <cell r="S202">
            <v>0</v>
          </cell>
          <cell r="T202">
            <v>1486000</v>
          </cell>
          <cell r="U202">
            <v>1982000</v>
          </cell>
          <cell r="V202">
            <v>792000</v>
          </cell>
          <cell r="W202">
            <v>1751000</v>
          </cell>
          <cell r="X202">
            <v>1751000</v>
          </cell>
          <cell r="Y202">
            <v>1087000</v>
          </cell>
          <cell r="Z202">
            <v>0</v>
          </cell>
          <cell r="AA202">
            <v>990000</v>
          </cell>
          <cell r="AB202">
            <v>1321000</v>
          </cell>
          <cell r="AC202">
            <v>397000</v>
          </cell>
          <cell r="AD202">
            <v>876000</v>
          </cell>
          <cell r="AE202">
            <v>876000</v>
          </cell>
          <cell r="AF202">
            <v>544000</v>
          </cell>
          <cell r="AG202">
            <v>0</v>
          </cell>
          <cell r="AH202">
            <v>496000</v>
          </cell>
          <cell r="AI202">
            <v>661000</v>
          </cell>
          <cell r="AJ202" t="str">
            <v>令和3年4月1日</v>
          </cell>
          <cell r="AK202" t="str">
            <v>令和3年5月31日交付</v>
          </cell>
          <cell r="AL202" t="str">
            <v>令和3年10月29日交付</v>
          </cell>
          <cell r="AM202" t="str">
            <v>6号の32</v>
          </cell>
          <cell r="AN202" t="str">
            <v>有</v>
          </cell>
          <cell r="AO202" t="str">
            <v>一般型</v>
          </cell>
          <cell r="AP202" t="str">
            <v>一般型</v>
          </cell>
          <cell r="AQ202" t="str">
            <v>一般型</v>
          </cell>
          <cell r="AR202" t="str">
            <v>一般型</v>
          </cell>
          <cell r="AS202" t="str">
            <v>一般型</v>
          </cell>
          <cell r="AT202" t="str">
            <v>一般型</v>
          </cell>
          <cell r="AU202" t="str">
            <v>一般型</v>
          </cell>
          <cell r="AV202" t="str">
            <v>一般型</v>
          </cell>
          <cell r="AW202" t="str">
            <v>一般型</v>
          </cell>
          <cell r="AX202" t="str">
            <v>一般型</v>
          </cell>
          <cell r="AY202" t="str">
            <v>一般型</v>
          </cell>
          <cell r="AZ202" t="str">
            <v>一般型</v>
          </cell>
          <cell r="BA202" t="str">
            <v>-</v>
          </cell>
          <cell r="BB202" t="str">
            <v>-</v>
          </cell>
          <cell r="BC202" t="str">
            <v>-</v>
          </cell>
          <cell r="BD202" t="str">
            <v>-</v>
          </cell>
          <cell r="BE202" t="str">
            <v>-</v>
          </cell>
          <cell r="BF202" t="str">
            <v>-</v>
          </cell>
          <cell r="BG202" t="str">
            <v>-</v>
          </cell>
          <cell r="BH202" t="str">
            <v>-</v>
          </cell>
          <cell r="BI202" t="str">
            <v>-</v>
          </cell>
          <cell r="BJ202" t="str">
            <v>-</v>
          </cell>
          <cell r="BK202" t="str">
            <v>-</v>
          </cell>
          <cell r="BL202" t="str">
            <v>-</v>
          </cell>
          <cell r="BM202">
            <v>2</v>
          </cell>
          <cell r="BN202">
            <v>2</v>
          </cell>
          <cell r="BO202">
            <v>2</v>
          </cell>
          <cell r="BP202">
            <v>2</v>
          </cell>
          <cell r="BQ202">
            <v>2</v>
          </cell>
          <cell r="BR202">
            <v>2</v>
          </cell>
          <cell r="BS202">
            <v>2</v>
          </cell>
          <cell r="BT202">
            <v>2</v>
          </cell>
          <cell r="BU202">
            <v>2</v>
          </cell>
          <cell r="BV202">
            <v>2</v>
          </cell>
          <cell r="BW202">
            <v>2</v>
          </cell>
          <cell r="BX202">
            <v>2</v>
          </cell>
          <cell r="CK202">
            <v>0</v>
          </cell>
          <cell r="CL202">
            <v>0</v>
          </cell>
          <cell r="CM202">
            <v>0</v>
          </cell>
          <cell r="CN202">
            <v>0</v>
          </cell>
          <cell r="CO202">
            <v>0</v>
          </cell>
          <cell r="CP202">
            <v>0</v>
          </cell>
          <cell r="CQ202">
            <v>0</v>
          </cell>
          <cell r="CR202">
            <v>0</v>
          </cell>
          <cell r="CS202">
            <v>0</v>
          </cell>
          <cell r="CT202">
            <v>0</v>
          </cell>
          <cell r="CU202">
            <v>0</v>
          </cell>
          <cell r="CV202">
            <v>0</v>
          </cell>
          <cell r="CW202" t="str">
            <v>有</v>
          </cell>
          <cell r="CX202">
            <v>1</v>
          </cell>
          <cell r="CY202" t="str">
            <v>無</v>
          </cell>
          <cell r="CZ202" t="str">
            <v>無</v>
          </cell>
          <cell r="DA202" t="str">
            <v>無</v>
          </cell>
          <cell r="DB202" t="str">
            <v>無</v>
          </cell>
          <cell r="DC202" t="str">
            <v>無</v>
          </cell>
          <cell r="DD202" t="str">
            <v>無</v>
          </cell>
          <cell r="DE202" t="str">
            <v>無</v>
          </cell>
          <cell r="DF202" t="str">
            <v>無</v>
          </cell>
          <cell r="DG202" t="str">
            <v>無</v>
          </cell>
          <cell r="DH202" t="str">
            <v>無</v>
          </cell>
          <cell r="DI202" t="str">
            <v>無</v>
          </cell>
          <cell r="DJ202" t="str">
            <v>無</v>
          </cell>
          <cell r="DK202" t="str">
            <v>-</v>
          </cell>
          <cell r="DL202" t="str">
            <v>-</v>
          </cell>
          <cell r="DM202" t="str">
            <v>-</v>
          </cell>
          <cell r="DN202" t="str">
            <v>-</v>
          </cell>
          <cell r="DO202" t="str">
            <v>-</v>
          </cell>
          <cell r="DP202" t="str">
            <v>-</v>
          </cell>
          <cell r="DQ202" t="str">
            <v>-</v>
          </cell>
          <cell r="DR202" t="str">
            <v>-</v>
          </cell>
          <cell r="DS202" t="str">
            <v>-</v>
          </cell>
          <cell r="DT202" t="str">
            <v>-</v>
          </cell>
          <cell r="DU202" t="str">
            <v>-</v>
          </cell>
          <cell r="DV202" t="str">
            <v>-</v>
          </cell>
          <cell r="EI202" t="str">
            <v>配置</v>
          </cell>
          <cell r="EJ202" t="str">
            <v>配置</v>
          </cell>
          <cell r="EK202" t="str">
            <v>配置</v>
          </cell>
          <cell r="EL202" t="str">
            <v>配置</v>
          </cell>
          <cell r="EM202" t="str">
            <v>配置</v>
          </cell>
          <cell r="EN202" t="str">
            <v>配置</v>
          </cell>
          <cell r="EO202" t="str">
            <v>配置</v>
          </cell>
          <cell r="EP202" t="str">
            <v>配置</v>
          </cell>
          <cell r="EQ202" t="str">
            <v>配置</v>
          </cell>
          <cell r="ER202" t="str">
            <v>配置</v>
          </cell>
          <cell r="ES202" t="str">
            <v>配置</v>
          </cell>
          <cell r="ET202" t="str">
            <v>配置</v>
          </cell>
          <cell r="EU202">
            <v>76960</v>
          </cell>
          <cell r="EV202">
            <v>76960</v>
          </cell>
          <cell r="EW202">
            <v>76960</v>
          </cell>
          <cell r="EX202">
            <v>76960</v>
          </cell>
          <cell r="EY202">
            <v>76960</v>
          </cell>
          <cell r="EZ202">
            <v>76960</v>
          </cell>
          <cell r="FA202">
            <v>76960</v>
          </cell>
          <cell r="FB202">
            <v>76960</v>
          </cell>
          <cell r="FC202">
            <v>76960</v>
          </cell>
          <cell r="FD202">
            <v>76960</v>
          </cell>
          <cell r="FE202">
            <v>76960</v>
          </cell>
          <cell r="FF202">
            <v>76960</v>
          </cell>
        </row>
        <row r="203">
          <cell r="C203">
            <v>237</v>
          </cell>
          <cell r="D203" t="str">
            <v>（仮称）認定こども園　のぞみ幼稚園</v>
          </cell>
          <cell r="E203" t="str">
            <v>無</v>
          </cell>
          <cell r="F203">
            <v>65</v>
          </cell>
          <cell r="G203">
            <v>55</v>
          </cell>
          <cell r="H203">
            <v>10</v>
          </cell>
          <cell r="I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t="str">
            <v>令和3年4月1日</v>
          </cell>
          <cell r="AN203" t="str">
            <v>有</v>
          </cell>
          <cell r="AO203" t="str">
            <v>-</v>
          </cell>
          <cell r="AP203" t="str">
            <v>-</v>
          </cell>
          <cell r="AQ203" t="str">
            <v>-</v>
          </cell>
          <cell r="AR203" t="str">
            <v>-</v>
          </cell>
          <cell r="AS203" t="str">
            <v>-</v>
          </cell>
          <cell r="AT203" t="str">
            <v>-</v>
          </cell>
          <cell r="AU203" t="str">
            <v>-</v>
          </cell>
          <cell r="AV203" t="str">
            <v>-</v>
          </cell>
          <cell r="AW203" t="str">
            <v>-</v>
          </cell>
          <cell r="AX203" t="str">
            <v>-</v>
          </cell>
          <cell r="AY203" t="str">
            <v>-</v>
          </cell>
          <cell r="AZ203" t="str">
            <v>-</v>
          </cell>
          <cell r="BA203" t="str">
            <v>-</v>
          </cell>
          <cell r="BB203" t="str">
            <v>-</v>
          </cell>
          <cell r="BC203" t="str">
            <v>-</v>
          </cell>
          <cell r="BD203" t="str">
            <v>-</v>
          </cell>
          <cell r="BE203" t="str">
            <v>-</v>
          </cell>
          <cell r="BF203" t="str">
            <v>-</v>
          </cell>
          <cell r="BG203" t="str">
            <v>-</v>
          </cell>
          <cell r="BH203" t="str">
            <v>-</v>
          </cell>
          <cell r="BI203" t="str">
            <v>-</v>
          </cell>
          <cell r="BJ203" t="str">
            <v>-</v>
          </cell>
          <cell r="BK203" t="str">
            <v>-</v>
          </cell>
          <cell r="BL203" t="str">
            <v>-</v>
          </cell>
          <cell r="CW203" t="str">
            <v>無</v>
          </cell>
          <cell r="CX203">
            <v>0</v>
          </cell>
          <cell r="CY203" t="str">
            <v>無</v>
          </cell>
          <cell r="CZ203" t="str">
            <v>無</v>
          </cell>
          <cell r="DA203" t="str">
            <v>無</v>
          </cell>
          <cell r="DB203" t="str">
            <v>無</v>
          </cell>
          <cell r="DC203" t="str">
            <v>無</v>
          </cell>
          <cell r="DD203" t="str">
            <v>無</v>
          </cell>
          <cell r="DE203" t="str">
            <v>無</v>
          </cell>
          <cell r="DF203" t="str">
            <v>無</v>
          </cell>
          <cell r="DG203" t="str">
            <v>無</v>
          </cell>
          <cell r="DH203" t="str">
            <v>無</v>
          </cell>
          <cell r="DI203" t="str">
            <v>無</v>
          </cell>
          <cell r="DJ203" t="str">
            <v>無</v>
          </cell>
          <cell r="DK203" t="str">
            <v>-</v>
          </cell>
          <cell r="DL203" t="str">
            <v>-</v>
          </cell>
          <cell r="DM203" t="str">
            <v>-</v>
          </cell>
          <cell r="DN203" t="str">
            <v>-</v>
          </cell>
          <cell r="DO203" t="str">
            <v>-</v>
          </cell>
          <cell r="DP203" t="str">
            <v>-</v>
          </cell>
          <cell r="DQ203" t="str">
            <v>-</v>
          </cell>
          <cell r="DR203" t="str">
            <v>-</v>
          </cell>
          <cell r="DS203" t="str">
            <v>-</v>
          </cell>
          <cell r="DT203" t="str">
            <v>-</v>
          </cell>
          <cell r="DU203" t="str">
            <v>-</v>
          </cell>
          <cell r="DV203" t="str">
            <v>-</v>
          </cell>
          <cell r="EI203" t="str">
            <v>嘱託</v>
          </cell>
          <cell r="EJ203" t="str">
            <v>嘱託</v>
          </cell>
          <cell r="EK203" t="str">
            <v>嘱託</v>
          </cell>
          <cell r="EL203" t="str">
            <v>嘱託</v>
          </cell>
          <cell r="EM203" t="str">
            <v>嘱託</v>
          </cell>
          <cell r="EN203" t="str">
            <v>嘱託</v>
          </cell>
          <cell r="EO203" t="str">
            <v>嘱託</v>
          </cell>
          <cell r="EP203" t="str">
            <v>嘱託</v>
          </cell>
          <cell r="EQ203" t="str">
            <v>嘱託</v>
          </cell>
          <cell r="ER203" t="str">
            <v>嘱託</v>
          </cell>
          <cell r="ES203" t="str">
            <v>嘱託</v>
          </cell>
          <cell r="ET203" t="str">
            <v>嘱託</v>
          </cell>
          <cell r="EU203" t="str">
            <v/>
          </cell>
          <cell r="EV203" t="str">
            <v/>
          </cell>
          <cell r="EW203" t="str">
            <v/>
          </cell>
          <cell r="EX203" t="str">
            <v/>
          </cell>
          <cell r="EY203" t="str">
            <v/>
          </cell>
          <cell r="EZ203" t="str">
            <v/>
          </cell>
          <cell r="FA203" t="str">
            <v/>
          </cell>
          <cell r="FB203" t="str">
            <v/>
          </cell>
          <cell r="FC203" t="str">
            <v/>
          </cell>
          <cell r="FD203" t="str">
            <v/>
          </cell>
          <cell r="FE203" t="str">
            <v/>
          </cell>
          <cell r="FF203" t="str">
            <v/>
          </cell>
        </row>
        <row r="204">
          <cell r="C204">
            <v>238</v>
          </cell>
          <cell r="D204" t="str">
            <v>（仮称）認定こども園　へいわ幼稚園</v>
          </cell>
          <cell r="E204" t="str">
            <v>無</v>
          </cell>
          <cell r="F204">
            <v>75</v>
          </cell>
          <cell r="G204">
            <v>65</v>
          </cell>
          <cell r="H204">
            <v>10</v>
          </cell>
          <cell r="I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t="str">
            <v>令和3年4月1日</v>
          </cell>
          <cell r="AN204" t="str">
            <v>有</v>
          </cell>
          <cell r="AO204" t="str">
            <v>-</v>
          </cell>
          <cell r="AP204" t="str">
            <v>-</v>
          </cell>
          <cell r="AQ204" t="str">
            <v>-</v>
          </cell>
          <cell r="AR204" t="str">
            <v>-</v>
          </cell>
          <cell r="AS204" t="str">
            <v>-</v>
          </cell>
          <cell r="AT204" t="str">
            <v>-</v>
          </cell>
          <cell r="AU204" t="str">
            <v>-</v>
          </cell>
          <cell r="AV204" t="str">
            <v>-</v>
          </cell>
          <cell r="AW204" t="str">
            <v>-</v>
          </cell>
          <cell r="AX204" t="str">
            <v>-</v>
          </cell>
          <cell r="AY204" t="str">
            <v>-</v>
          </cell>
          <cell r="AZ204" t="str">
            <v>-</v>
          </cell>
          <cell r="BA204" t="str">
            <v>-</v>
          </cell>
          <cell r="BB204" t="str">
            <v>-</v>
          </cell>
          <cell r="BC204" t="str">
            <v>-</v>
          </cell>
          <cell r="BD204" t="str">
            <v>-</v>
          </cell>
          <cell r="BE204" t="str">
            <v>-</v>
          </cell>
          <cell r="BF204" t="str">
            <v>-</v>
          </cell>
          <cell r="BG204" t="str">
            <v>-</v>
          </cell>
          <cell r="BH204" t="str">
            <v>-</v>
          </cell>
          <cell r="BI204" t="str">
            <v>-</v>
          </cell>
          <cell r="BJ204" t="str">
            <v>-</v>
          </cell>
          <cell r="BK204" t="str">
            <v>-</v>
          </cell>
          <cell r="BL204" t="str">
            <v>-</v>
          </cell>
          <cell r="CW204" t="str">
            <v>無</v>
          </cell>
          <cell r="CX204">
            <v>0</v>
          </cell>
          <cell r="CY204" t="str">
            <v>無</v>
          </cell>
          <cell r="CZ204" t="str">
            <v>無</v>
          </cell>
          <cell r="DA204" t="str">
            <v>無</v>
          </cell>
          <cell r="DB204" t="str">
            <v>無</v>
          </cell>
          <cell r="DC204" t="str">
            <v>無</v>
          </cell>
          <cell r="DD204" t="str">
            <v>無</v>
          </cell>
          <cell r="DE204" t="str">
            <v>無</v>
          </cell>
          <cell r="DF204" t="str">
            <v>無</v>
          </cell>
          <cell r="DG204" t="str">
            <v>無</v>
          </cell>
          <cell r="DH204" t="str">
            <v>無</v>
          </cell>
          <cell r="DI204" t="str">
            <v>無</v>
          </cell>
          <cell r="DJ204" t="str">
            <v>無</v>
          </cell>
          <cell r="DK204" t="str">
            <v>-</v>
          </cell>
          <cell r="DL204" t="str">
            <v>-</v>
          </cell>
          <cell r="DM204" t="str">
            <v>-</v>
          </cell>
          <cell r="DN204" t="str">
            <v>-</v>
          </cell>
          <cell r="DO204" t="str">
            <v>-</v>
          </cell>
          <cell r="DP204" t="str">
            <v>-</v>
          </cell>
          <cell r="DQ204" t="str">
            <v>-</v>
          </cell>
          <cell r="DR204" t="str">
            <v>-</v>
          </cell>
          <cell r="DS204" t="str">
            <v>-</v>
          </cell>
          <cell r="DT204" t="str">
            <v>-</v>
          </cell>
          <cell r="DU204" t="str">
            <v>-</v>
          </cell>
          <cell r="DV204" t="str">
            <v>-</v>
          </cell>
          <cell r="EI204" t="str">
            <v>嘱託</v>
          </cell>
          <cell r="EJ204" t="str">
            <v>嘱託</v>
          </cell>
          <cell r="EK204" t="str">
            <v>嘱託</v>
          </cell>
          <cell r="EL204" t="str">
            <v>嘱託</v>
          </cell>
          <cell r="EM204" t="str">
            <v>嘱託</v>
          </cell>
          <cell r="EN204" t="str">
            <v>嘱託</v>
          </cell>
          <cell r="EO204" t="str">
            <v>嘱託</v>
          </cell>
          <cell r="EP204" t="str">
            <v>嘱託</v>
          </cell>
          <cell r="EQ204" t="str">
            <v>嘱託</v>
          </cell>
          <cell r="ER204" t="str">
            <v>嘱託</v>
          </cell>
          <cell r="ES204" t="str">
            <v>嘱託</v>
          </cell>
          <cell r="ET204" t="str">
            <v>嘱託</v>
          </cell>
          <cell r="EU204" t="str">
            <v/>
          </cell>
          <cell r="EV204" t="str">
            <v/>
          </cell>
          <cell r="EW204" t="str">
            <v/>
          </cell>
          <cell r="EX204" t="str">
            <v/>
          </cell>
          <cell r="EY204" t="str">
            <v/>
          </cell>
          <cell r="EZ204" t="str">
            <v/>
          </cell>
          <cell r="FA204" t="str">
            <v/>
          </cell>
          <cell r="FB204" t="str">
            <v/>
          </cell>
          <cell r="FC204" t="str">
            <v/>
          </cell>
          <cell r="FD204" t="str">
            <v/>
          </cell>
          <cell r="FE204" t="str">
            <v/>
          </cell>
          <cell r="FF20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補助転記"/>
      <sheetName val="⓪ファイルの説明"/>
      <sheetName val="修正等箇所"/>
      <sheetName val="①基本情報"/>
      <sheetName val="②-1職員名簿"/>
      <sheetName val="②-2勤務時間数入力"/>
      <sheetName val="③児童数及び保育士定数 (2)-(1)"/>
      <sheetName val="④-1月別配置内訳書(2)-(2)-(A)"/>
      <sheetName val="④-2月別配置内訳書(2)-(2)-(B)"/>
      <sheetName val="④-3月別配置内訳書(2)-(2)-(C)・(D)"/>
      <sheetName val="④-４月別配置内訳書(2)-(2)-(E)"/>
      <sheetName val="判定"/>
      <sheetName val="⑤基本加算１"/>
      <sheetName val="⑥基本加算２"/>
      <sheetName val="⑦基本加算３"/>
      <sheetName val="⑧一般加算１"/>
      <sheetName val="⑨一般加算２"/>
      <sheetName val="⑩特定加算１"/>
      <sheetName val="⑪特定加算２"/>
      <sheetName val="様式１"/>
      <sheetName val="様式３"/>
      <sheetName val="様式４"/>
      <sheetName val="様式６"/>
      <sheetName val="様式８"/>
      <sheetName val="精算書"/>
      <sheetName val="様式３(第二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B6" t="str">
            <v>-</v>
          </cell>
        </row>
      </sheetData>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s>
    <sheetDataSet>
      <sheetData sheetId="0" refreshError="1"/>
      <sheetData sheetId="1" refreshError="1"/>
      <sheetData sheetId="2">
        <row r="3">
          <cell r="I3" t="str">
            <v>なし</v>
          </cell>
          <cell r="L3" t="str">
            <v>0日</v>
          </cell>
          <cell r="N3" t="str">
            <v>0人</v>
          </cell>
          <cell r="O3" t="str">
            <v>認可施設</v>
          </cell>
        </row>
        <row r="4">
          <cell r="L4" t="str">
            <v>1日</v>
          </cell>
          <cell r="N4" t="str">
            <v>1人</v>
          </cell>
          <cell r="O4" t="str">
            <v>機能部分</v>
          </cell>
        </row>
        <row r="5">
          <cell r="L5" t="str">
            <v>2日</v>
          </cell>
          <cell r="N5" t="str">
            <v>2人</v>
          </cell>
        </row>
        <row r="6">
          <cell r="L6" t="str">
            <v>3日</v>
          </cell>
          <cell r="N6" t="str">
            <v>3人</v>
          </cell>
        </row>
        <row r="7">
          <cell r="L7" t="str">
            <v>4日</v>
          </cell>
          <cell r="N7" t="str">
            <v>4人</v>
          </cell>
        </row>
        <row r="8">
          <cell r="L8" t="str">
            <v>5日</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修正等箇所"/>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４"/>
      <sheetName val="様式６"/>
      <sheetName val="様式８"/>
      <sheetName val="精算書"/>
      <sheetName val="様式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比較前】単価入力"/>
      <sheetName val="入力シート"/>
      <sheetName val="Sheet3"/>
      <sheetName val="Sheet2"/>
      <sheetName val="実績報告書（処遇改善Ⅰ）"/>
      <sheetName val="【提出不要】実績報告書（処遇改善Ⅰ）"/>
      <sheetName val="【様式５別添１】賃金改善明細書（職員別）"/>
      <sheetName val="保育単価表【抽出】"/>
    </sheetNames>
    <sheetDataSet>
      <sheetData sheetId="0" refreshError="1">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s>
    <sheetDataSet>
      <sheetData sheetId="0">
        <row r="1">
          <cell r="A1" t="str">
            <v>平成27年度　千葉市保育ルーム認定施設一覧</v>
          </cell>
        </row>
        <row r="5">
          <cell r="A5">
            <v>1</v>
          </cell>
          <cell r="B5" t="str">
            <v>かるがも保育園蘇我園</v>
          </cell>
          <cell r="C5" t="str">
            <v>260-0842</v>
          </cell>
          <cell r="D5" t="str">
            <v>中央区南町2-6-10 初芝ﾋﾞﾙ101</v>
          </cell>
          <cell r="E5" t="str">
            <v>丸　恵美</v>
          </cell>
          <cell r="F5" t="str">
            <v>261-8349</v>
          </cell>
          <cell r="G5" t="str">
            <v>261-8349</v>
          </cell>
          <cell r="H5" t="str">
            <v>rnqsc985@ybb.ne.jp</v>
          </cell>
          <cell r="I5">
            <v>37653</v>
          </cell>
          <cell r="J5" t="str">
            <v>1・2F</v>
          </cell>
          <cell r="K5">
            <v>77.33</v>
          </cell>
          <cell r="L5">
            <v>45</v>
          </cell>
          <cell r="M5">
            <v>45</v>
          </cell>
          <cell r="N5" t="str">
            <v>7:00～20:00</v>
          </cell>
          <cell r="O5" t="str">
            <v>51,500～74,300円</v>
          </cell>
          <cell r="P5">
            <v>53300</v>
          </cell>
          <cell r="Q5">
            <v>43000</v>
          </cell>
          <cell r="R5">
            <v>43000</v>
          </cell>
          <cell r="S5">
            <v>44500</v>
          </cell>
          <cell r="T5">
            <v>44500</v>
          </cell>
          <cell r="U5">
            <v>44500</v>
          </cell>
          <cell r="V5">
            <v>74300</v>
          </cell>
          <cell r="W5">
            <v>64000</v>
          </cell>
          <cell r="X5">
            <v>64000</v>
          </cell>
          <cell r="Y5">
            <v>51500</v>
          </cell>
          <cell r="Z5">
            <v>51500</v>
          </cell>
          <cell r="AA5">
            <v>51500</v>
          </cell>
          <cell r="AB5" t="str">
            <v>上の子・1万円引</v>
          </cell>
          <cell r="AC5">
            <v>21000</v>
          </cell>
          <cell r="AD5" t="str">
            <v>施設調理</v>
          </cell>
          <cell r="AE5" t="str">
            <v>○</v>
          </cell>
          <cell r="AF5" t="str">
            <v>○</v>
          </cell>
          <cell r="AG5" t="str">
            <v>株式会社</v>
          </cell>
          <cell r="AH5" t="str">
            <v>株式会社　かるがも</v>
          </cell>
          <cell r="AI5" t="str">
            <v>四街道市四街道1-5-5</v>
          </cell>
          <cell r="AJ5" t="str">
            <v>代表取締役　目片智恵美</v>
          </cell>
          <cell r="AK5" t="str">
            <v>株式会社　かるがも</v>
          </cell>
          <cell r="AL5" t="str">
            <v>四街道市四街道1-5-5</v>
          </cell>
          <cell r="AM5" t="str">
            <v>代表取締役　目片智恵美</v>
          </cell>
        </row>
        <row r="6">
          <cell r="A6">
            <v>2</v>
          </cell>
          <cell r="B6" t="str">
            <v>キッズ・ガーデン千葉中央園</v>
          </cell>
          <cell r="C6" t="str">
            <v>260-0013</v>
          </cell>
          <cell r="D6" t="str">
            <v>中央区中央3-13-1 富士屋ﾋﾞﾙ2F</v>
          </cell>
          <cell r="E6" t="str">
            <v>井手　健二郎</v>
          </cell>
          <cell r="F6" t="str">
            <v>202-3888</v>
          </cell>
          <cell r="G6" t="str">
            <v>202-3888</v>
          </cell>
          <cell r="H6" t="str">
            <v>ide@kids-garden.co.jp</v>
          </cell>
          <cell r="I6">
            <v>36220</v>
          </cell>
          <cell r="J6" t="str">
            <v>2F</v>
          </cell>
          <cell r="K6">
            <v>50.17</v>
          </cell>
          <cell r="L6">
            <v>30</v>
          </cell>
          <cell r="M6">
            <v>30</v>
          </cell>
          <cell r="N6" t="str">
            <v>7:00～19:30</v>
          </cell>
          <cell r="O6" t="str">
            <v>52,150～56,950円</v>
          </cell>
          <cell r="P6">
            <v>51950</v>
          </cell>
          <cell r="Q6">
            <v>51950</v>
          </cell>
          <cell r="R6">
            <v>51950</v>
          </cell>
          <cell r="S6">
            <v>47150</v>
          </cell>
          <cell r="T6">
            <v>47150</v>
          </cell>
          <cell r="U6">
            <v>47150</v>
          </cell>
          <cell r="V6">
            <v>56950</v>
          </cell>
          <cell r="W6">
            <v>56950</v>
          </cell>
          <cell r="X6">
            <v>56950</v>
          </cell>
          <cell r="Y6">
            <v>52150</v>
          </cell>
          <cell r="Z6">
            <v>52150</v>
          </cell>
          <cell r="AA6">
            <v>52150</v>
          </cell>
          <cell r="AB6" t="str">
            <v>上の子・半額</v>
          </cell>
          <cell r="AC6">
            <v>0</v>
          </cell>
          <cell r="AD6" t="str">
            <v>外部委託</v>
          </cell>
          <cell r="AE6" t="str">
            <v>×</v>
          </cell>
          <cell r="AF6" t="str">
            <v>○</v>
          </cell>
          <cell r="AG6" t="str">
            <v>株式会社</v>
          </cell>
          <cell r="AH6" t="str">
            <v>(株)生活設計</v>
          </cell>
          <cell r="AI6" t="str">
            <v>八千代市勝田1247-6</v>
          </cell>
          <cell r="AJ6" t="str">
            <v>代表取締役　井手　健二郎</v>
          </cell>
          <cell r="AK6" t="str">
            <v>(株)生活設計</v>
          </cell>
          <cell r="AL6" t="str">
            <v>八千代市勝田1247-6</v>
          </cell>
          <cell r="AM6" t="str">
            <v>代表取締役　井手　健二郎</v>
          </cell>
        </row>
        <row r="7">
          <cell r="A7">
            <v>3</v>
          </cell>
          <cell r="B7" t="str">
            <v>こどもハウスいるか</v>
          </cell>
          <cell r="C7" t="str">
            <v>260-0012</v>
          </cell>
          <cell r="D7" t="str">
            <v>中央区本町1-5-3</v>
          </cell>
          <cell r="E7" t="str">
            <v>島田　和典</v>
          </cell>
          <cell r="F7" t="str">
            <v>224-7171</v>
          </cell>
          <cell r="G7" t="str">
            <v>224-7179</v>
          </cell>
          <cell r="H7" t="str">
            <v>なし</v>
          </cell>
          <cell r="I7">
            <v>38534</v>
          </cell>
          <cell r="J7" t="str">
            <v>1F</v>
          </cell>
          <cell r="K7">
            <v>51.48</v>
          </cell>
          <cell r="L7">
            <v>31</v>
          </cell>
          <cell r="M7">
            <v>31</v>
          </cell>
          <cell r="N7" t="str">
            <v>6:00～23:00</v>
          </cell>
          <cell r="O7" t="str">
            <v>34,000～49,000円</v>
          </cell>
          <cell r="P7">
            <v>37000</v>
          </cell>
          <cell r="Q7">
            <v>35000</v>
          </cell>
          <cell r="R7">
            <v>30000</v>
          </cell>
          <cell r="S7">
            <v>25000</v>
          </cell>
          <cell r="T7">
            <v>22000</v>
          </cell>
          <cell r="U7">
            <v>22000</v>
          </cell>
          <cell r="V7">
            <v>49000</v>
          </cell>
          <cell r="W7">
            <v>47000</v>
          </cell>
          <cell r="X7">
            <v>42000</v>
          </cell>
          <cell r="Y7">
            <v>37000</v>
          </cell>
          <cell r="Z7">
            <v>34000</v>
          </cell>
          <cell r="AA7">
            <v>34000</v>
          </cell>
          <cell r="AB7" t="str">
            <v>上の子・1万円引</v>
          </cell>
          <cell r="AC7">
            <v>0</v>
          </cell>
          <cell r="AD7" t="str">
            <v>外部委託</v>
          </cell>
          <cell r="AE7" t="str">
            <v>○</v>
          </cell>
          <cell r="AF7" t="str">
            <v>○</v>
          </cell>
          <cell r="AG7" t="str">
            <v>NPO法人</v>
          </cell>
          <cell r="AH7" t="str">
            <v>民間会社</v>
          </cell>
          <cell r="AI7" t="str">
            <v>民間会社</v>
          </cell>
          <cell r="AJ7" t="str">
            <v>千葉市中央区院内2-15-13</v>
          </cell>
          <cell r="AK7" t="str">
            <v>(非)介護サービス</v>
          </cell>
          <cell r="AL7" t="str">
            <v>千葉市中央区院内2-15-13</v>
          </cell>
          <cell r="AM7" t="str">
            <v>理事代表　島田　裕子</v>
          </cell>
        </row>
        <row r="8">
          <cell r="A8">
            <v>4</v>
          </cell>
          <cell r="B8" t="str">
            <v>中央保育所</v>
          </cell>
          <cell r="C8" t="str">
            <v>260-0007</v>
          </cell>
          <cell r="D8" t="str">
            <v>中央区祐光2-11-12 SKﾏﾝｼｮﾝ213号</v>
          </cell>
          <cell r="E8" t="str">
            <v>渡邉　正行</v>
          </cell>
          <cell r="F8" t="str">
            <v>227-5155</v>
          </cell>
          <cell r="G8" t="str">
            <v>227-5508</v>
          </cell>
          <cell r="H8" t="str">
            <v>qq5t2nmd@honey.ocn.ne.jp</v>
          </cell>
          <cell r="I8">
            <v>36346</v>
          </cell>
          <cell r="J8" t="str">
            <v>1・2F</v>
          </cell>
          <cell r="K8">
            <v>290.2</v>
          </cell>
          <cell r="L8">
            <v>130</v>
          </cell>
          <cell r="M8">
            <v>59</v>
          </cell>
          <cell r="N8" t="str">
            <v>6:00～22:00</v>
          </cell>
          <cell r="O8" t="str">
            <v>37,090～61,860円</v>
          </cell>
          <cell r="P8">
            <v>46860</v>
          </cell>
          <cell r="Q8">
            <v>40660</v>
          </cell>
          <cell r="R8">
            <v>28300</v>
          </cell>
          <cell r="S8">
            <v>27090</v>
          </cell>
          <cell r="T8">
            <v>27090</v>
          </cell>
          <cell r="U8">
            <v>27090</v>
          </cell>
          <cell r="V8">
            <v>61860</v>
          </cell>
          <cell r="W8">
            <v>55660</v>
          </cell>
          <cell r="X8">
            <v>43300</v>
          </cell>
          <cell r="Y8">
            <v>37090</v>
          </cell>
          <cell r="Z8">
            <v>37090</v>
          </cell>
          <cell r="AA8">
            <v>37090</v>
          </cell>
          <cell r="AB8" t="str">
            <v>上の子・０歳、１歳、２歳→１万５千円引き、３歳以上→１万円引</v>
          </cell>
          <cell r="AC8">
            <v>0</v>
          </cell>
          <cell r="AD8" t="str">
            <v>施設調理</v>
          </cell>
          <cell r="AE8" t="str">
            <v>○</v>
          </cell>
          <cell r="AF8" t="str">
            <v>○</v>
          </cell>
          <cell r="AG8" t="str">
            <v>株式会社</v>
          </cell>
          <cell r="AH8" t="str">
            <v>有</v>
          </cell>
          <cell r="AI8" t="str">
            <v>個人</v>
          </cell>
          <cell r="AJ8" t="str">
            <v>昼間型</v>
          </cell>
          <cell r="AK8" t="str">
            <v>（株）かずさケアーサポート</v>
          </cell>
          <cell r="AL8" t="str">
            <v>千葉市中央区神明町26番地３</v>
          </cell>
          <cell r="AM8" t="str">
            <v>代表取締役　渡邉正行</v>
          </cell>
        </row>
        <row r="9">
          <cell r="A9">
            <v>5</v>
          </cell>
          <cell r="B9" t="str">
            <v>はっぴぃルーム本千葉駅前園</v>
          </cell>
          <cell r="C9" t="str">
            <v>260-0854</v>
          </cell>
          <cell r="D9" t="str">
            <v>中央区長洲1-24-12 今井ﾋﾞﾙ1F</v>
          </cell>
          <cell r="E9" t="str">
            <v>川崎　いずみ</v>
          </cell>
          <cell r="F9" t="str">
            <v>202-2562</v>
          </cell>
          <cell r="G9" t="str">
            <v>202-2562</v>
          </cell>
          <cell r="H9" t="str">
            <v>なし</v>
          </cell>
          <cell r="I9">
            <v>37247</v>
          </cell>
          <cell r="J9" t="str">
            <v>1F</v>
          </cell>
          <cell r="K9">
            <v>55.5</v>
          </cell>
          <cell r="L9">
            <v>28</v>
          </cell>
          <cell r="M9">
            <v>28</v>
          </cell>
          <cell r="N9" t="str">
            <v>7:30～21:00</v>
          </cell>
          <cell r="O9" t="str">
            <v>51,700～64,700円</v>
          </cell>
          <cell r="P9">
            <v>44500</v>
          </cell>
          <cell r="Q9">
            <v>50700</v>
          </cell>
          <cell r="R9">
            <v>47700</v>
          </cell>
          <cell r="S9">
            <v>44700</v>
          </cell>
          <cell r="T9">
            <v>41700</v>
          </cell>
          <cell r="U9">
            <v>41700</v>
          </cell>
          <cell r="V9">
            <v>58500</v>
          </cell>
          <cell r="W9">
            <v>64700</v>
          </cell>
          <cell r="X9">
            <v>61700</v>
          </cell>
          <cell r="Y9">
            <v>58700</v>
          </cell>
          <cell r="Z9">
            <v>51700</v>
          </cell>
          <cell r="AA9">
            <v>51700</v>
          </cell>
          <cell r="AB9" t="str">
            <v>上の子・半額</v>
          </cell>
          <cell r="AC9">
            <v>10000</v>
          </cell>
          <cell r="AD9" t="str">
            <v>外部委託</v>
          </cell>
          <cell r="AE9" t="str">
            <v>×</v>
          </cell>
          <cell r="AF9" t="str">
            <v>○</v>
          </cell>
          <cell r="AG9" t="str">
            <v>個人</v>
          </cell>
          <cell r="AH9" t="str">
            <v>有</v>
          </cell>
          <cell r="AI9" t="str">
            <v>個人</v>
          </cell>
          <cell r="AJ9" t="str">
            <v>併用型</v>
          </cell>
          <cell r="AK9" t="str">
            <v>浅沼　滝二</v>
          </cell>
          <cell r="AL9" t="str">
            <v>千葉市中央区仁戸名町236-9</v>
          </cell>
          <cell r="AM9" t="str">
            <v>浅沼　滝二</v>
          </cell>
        </row>
        <row r="10">
          <cell r="A10">
            <v>6</v>
          </cell>
          <cell r="B10" t="str">
            <v>ベビールームこどものへや</v>
          </cell>
          <cell r="C10" t="str">
            <v>260-0854</v>
          </cell>
          <cell r="D10" t="str">
            <v>中央区長洲1-33-13 共栄ﾋﾞﾙ</v>
          </cell>
          <cell r="E10" t="str">
            <v>岩本　明</v>
          </cell>
          <cell r="F10" t="str">
            <v>227-0007</v>
          </cell>
          <cell r="G10" t="str">
            <v>202-2723</v>
          </cell>
          <cell r="H10" t="str">
            <v xml:space="preserve">ak.4000@tea.ocn.ne.jp
</v>
          </cell>
          <cell r="I10">
            <v>35217</v>
          </cell>
          <cell r="J10" t="str">
            <v>1F</v>
          </cell>
          <cell r="K10">
            <v>39.83</v>
          </cell>
          <cell r="L10">
            <v>23</v>
          </cell>
          <cell r="M10">
            <v>23</v>
          </cell>
          <cell r="N10" t="str">
            <v>8:00～20:00</v>
          </cell>
          <cell r="O10" t="str">
            <v>58,500～73,500円</v>
          </cell>
          <cell r="P10">
            <v>63500</v>
          </cell>
          <cell r="Q10">
            <v>53500</v>
          </cell>
          <cell r="R10">
            <v>53500</v>
          </cell>
          <cell r="S10">
            <v>48500</v>
          </cell>
          <cell r="T10">
            <v>48500</v>
          </cell>
          <cell r="U10">
            <v>48500</v>
          </cell>
          <cell r="V10">
            <v>73500</v>
          </cell>
          <cell r="W10">
            <v>63500</v>
          </cell>
          <cell r="X10">
            <v>63500</v>
          </cell>
          <cell r="Y10">
            <v>58500</v>
          </cell>
          <cell r="Z10">
            <v>58500</v>
          </cell>
          <cell r="AA10">
            <v>58500</v>
          </cell>
          <cell r="AB10" t="str">
            <v>上の子・半額</v>
          </cell>
          <cell r="AC10">
            <v>15000</v>
          </cell>
          <cell r="AD10" t="str">
            <v>外部委託</v>
          </cell>
          <cell r="AE10" t="str">
            <v>×</v>
          </cell>
          <cell r="AF10" t="str">
            <v>○</v>
          </cell>
          <cell r="AG10" t="str">
            <v>有限会社</v>
          </cell>
          <cell r="AH10" t="str">
            <v>無</v>
          </cell>
          <cell r="AI10" t="str">
            <v>民間会社</v>
          </cell>
          <cell r="AJ10" t="str">
            <v>併用型</v>
          </cell>
          <cell r="AK10" t="str">
            <v>(有)共栄サークル</v>
          </cell>
          <cell r="AL10" t="str">
            <v>千葉市中央区長洲1-33-13</v>
          </cell>
          <cell r="AM10" t="str">
            <v>代表取締役　岩本　明</v>
          </cell>
        </row>
        <row r="11">
          <cell r="A11">
            <v>7</v>
          </cell>
          <cell r="B11" t="str">
            <v>リトルガーデン千葉ポートタウン</v>
          </cell>
          <cell r="C11" t="str">
            <v>260-0025</v>
          </cell>
          <cell r="D11" t="str">
            <v>中央区問屋町1-50 千葉ﾎﾟｰﾄﾀｳﾝ1F</v>
          </cell>
          <cell r="E11" t="str">
            <v>吉田　さやか</v>
          </cell>
          <cell r="F11" t="str">
            <v>244-8839</v>
          </cell>
          <cell r="G11" t="str">
            <v>244-8839</v>
          </cell>
          <cell r="H11" t="str">
            <v>porttown@littlegarden-inter.com</v>
          </cell>
          <cell r="I11">
            <v>38403</v>
          </cell>
          <cell r="J11" t="str">
            <v>1F</v>
          </cell>
          <cell r="K11">
            <v>278.97000000000003</v>
          </cell>
          <cell r="L11">
            <v>100</v>
          </cell>
          <cell r="M11">
            <v>59</v>
          </cell>
          <cell r="N11" t="str">
            <v>7:00～19:00</v>
          </cell>
          <cell r="O11" t="str">
            <v>76,000～92,500円</v>
          </cell>
          <cell r="P11">
            <v>66000</v>
          </cell>
          <cell r="Q11">
            <v>59000</v>
          </cell>
          <cell r="R11">
            <v>59000</v>
          </cell>
          <cell r="S11">
            <v>76000</v>
          </cell>
          <cell r="T11">
            <v>72000</v>
          </cell>
          <cell r="U11">
            <v>72000</v>
          </cell>
          <cell r="V11">
            <v>86000</v>
          </cell>
          <cell r="W11">
            <v>76000</v>
          </cell>
          <cell r="X11">
            <v>76000</v>
          </cell>
          <cell r="Y11">
            <v>95000</v>
          </cell>
          <cell r="Z11">
            <v>92500</v>
          </cell>
          <cell r="AA11">
            <v>92500</v>
          </cell>
          <cell r="AB11" t="str">
            <v>第２子以降・１万円引</v>
          </cell>
          <cell r="AC11">
            <v>50000</v>
          </cell>
          <cell r="AD11" t="str">
            <v>施設調理</v>
          </cell>
          <cell r="AE11" t="str">
            <v>×</v>
          </cell>
          <cell r="AF11" t="str">
            <v>○</v>
          </cell>
          <cell r="AG11" t="str">
            <v>合資会社</v>
          </cell>
          <cell r="AH11" t="str">
            <v>無</v>
          </cell>
          <cell r="AI11" t="str">
            <v>個人</v>
          </cell>
          <cell r="AJ11" t="str">
            <v>併用型</v>
          </cell>
          <cell r="AK11" t="str">
            <v>合資会社ライフコミュニケーション</v>
          </cell>
          <cell r="AL11" t="str">
            <v>美浜区中瀬2－6－1　WBGﾏﾘﾌﾞｳｴｽﾄ2F</v>
          </cell>
          <cell r="AM11" t="str">
            <v>無限責任社員　佐々木　豊</v>
          </cell>
        </row>
        <row r="12">
          <cell r="A12">
            <v>8</v>
          </cell>
          <cell r="B12" t="str">
            <v>エバーキッズ幕張保育園</v>
          </cell>
          <cell r="C12" t="str">
            <v>262-0033</v>
          </cell>
          <cell r="D12" t="str">
            <v>花見川区幕張本郷2-4-8</v>
          </cell>
          <cell r="E12" t="str">
            <v>松原　舞</v>
          </cell>
          <cell r="F12" t="str">
            <v>276-8451</v>
          </cell>
          <cell r="G12" t="str">
            <v>276-8451</v>
          </cell>
          <cell r="H12" t="str">
            <v xml:space="preserve">maruyama@babys-breath.org </v>
          </cell>
          <cell r="I12">
            <v>39886</v>
          </cell>
          <cell r="J12" t="str">
            <v>1F</v>
          </cell>
          <cell r="K12">
            <v>39.6</v>
          </cell>
          <cell r="L12">
            <v>24</v>
          </cell>
          <cell r="M12">
            <v>24</v>
          </cell>
          <cell r="N12" t="str">
            <v>7:30～19:00</v>
          </cell>
          <cell r="O12" t="str">
            <v>55,000～59,000円</v>
          </cell>
          <cell r="P12">
            <v>54000</v>
          </cell>
          <cell r="Q12">
            <v>50000</v>
          </cell>
          <cell r="R12">
            <v>50000</v>
          </cell>
          <cell r="S12">
            <v>50000</v>
          </cell>
          <cell r="T12">
            <v>50000</v>
          </cell>
          <cell r="U12">
            <v>50000</v>
          </cell>
          <cell r="V12">
            <v>59000</v>
          </cell>
          <cell r="W12">
            <v>55000</v>
          </cell>
          <cell r="X12">
            <v>55000</v>
          </cell>
          <cell r="Y12">
            <v>55000</v>
          </cell>
          <cell r="Z12">
            <v>55000</v>
          </cell>
          <cell r="AA12">
            <v>55000</v>
          </cell>
          <cell r="AB12" t="str">
            <v>上の子・１万円引</v>
          </cell>
          <cell r="AC12">
            <v>20000</v>
          </cell>
          <cell r="AD12" t="str">
            <v>施設調理</v>
          </cell>
          <cell r="AE12" t="str">
            <v>×</v>
          </cell>
          <cell r="AF12" t="str">
            <v>○</v>
          </cell>
          <cell r="AG12" t="str">
            <v>株式会社</v>
          </cell>
          <cell r="AH12" t="str">
            <v>(株)babys breath</v>
          </cell>
          <cell r="AI12" t="str">
            <v>東京都千代田区東神田2-9-8　高橋ビル4F</v>
          </cell>
          <cell r="AJ12" t="str">
            <v>代表取締役　松原　舞</v>
          </cell>
          <cell r="AK12" t="str">
            <v>(株)babys breath</v>
          </cell>
          <cell r="AL12" t="str">
            <v>東京都千代田区東神田2-9-8　高橋ビル4F</v>
          </cell>
          <cell r="AM12" t="str">
            <v>代表取締役　松原　舞</v>
          </cell>
        </row>
        <row r="13">
          <cell r="A13">
            <v>9</v>
          </cell>
          <cell r="B13" t="str">
            <v>きっずかりん</v>
          </cell>
          <cell r="C13" t="str">
            <v>262-0012</v>
          </cell>
          <cell r="D13" t="str">
            <v>花見川区千種町112-1</v>
          </cell>
          <cell r="E13" t="str">
            <v>吉田　良則</v>
          </cell>
          <cell r="F13" t="str">
            <v>286-7755</v>
          </cell>
          <cell r="G13" t="str">
            <v>286-7850</v>
          </cell>
          <cell r="H13" t="str">
            <v>hayasaka@yamamori-inc.co.jp</v>
          </cell>
          <cell r="I13">
            <v>39983</v>
          </cell>
          <cell r="J13" t="str">
            <v>1F</v>
          </cell>
          <cell r="K13">
            <v>28.37</v>
          </cell>
          <cell r="L13">
            <v>10</v>
          </cell>
          <cell r="M13">
            <v>10</v>
          </cell>
          <cell r="N13" t="str">
            <v>8:00～18:00</v>
          </cell>
          <cell r="O13" t="str">
            <v>40,000～50,000円</v>
          </cell>
          <cell r="P13">
            <v>45000</v>
          </cell>
          <cell r="Q13">
            <v>42000</v>
          </cell>
          <cell r="R13">
            <v>42000</v>
          </cell>
          <cell r="S13">
            <v>35000</v>
          </cell>
          <cell r="T13">
            <v>35000</v>
          </cell>
          <cell r="U13">
            <v>35000</v>
          </cell>
          <cell r="V13">
            <v>50000</v>
          </cell>
          <cell r="W13">
            <v>47000</v>
          </cell>
          <cell r="X13">
            <v>47000</v>
          </cell>
          <cell r="Y13">
            <v>40000</v>
          </cell>
          <cell r="Z13">
            <v>40000</v>
          </cell>
          <cell r="AA13">
            <v>40000</v>
          </cell>
          <cell r="AB13" t="str">
            <v>上の子・半額</v>
          </cell>
          <cell r="AC13">
            <v>0</v>
          </cell>
          <cell r="AD13" t="str">
            <v>外部委託</v>
          </cell>
          <cell r="AE13" t="str">
            <v>○</v>
          </cell>
          <cell r="AF13" t="str">
            <v>○</v>
          </cell>
          <cell r="AG13" t="str">
            <v>株式会社</v>
          </cell>
          <cell r="AH13" t="str">
            <v>㈱ユタカ</v>
          </cell>
          <cell r="AI13" t="str">
            <v>花見川区千種町112-6</v>
          </cell>
          <cell r="AJ13" t="str">
            <v>代表取締役　吉田　良則</v>
          </cell>
          <cell r="AK13" t="str">
            <v>㈱ユタカ</v>
          </cell>
          <cell r="AL13" t="str">
            <v>花見川区千種町112-6</v>
          </cell>
          <cell r="AM13" t="str">
            <v>代表取締役　吉田　良則</v>
          </cell>
        </row>
        <row r="14">
          <cell r="A14">
            <v>10</v>
          </cell>
          <cell r="B14" t="str">
            <v>キッズスペース・ウィーピー幕張本郷</v>
          </cell>
          <cell r="C14" t="str">
            <v>262-0033</v>
          </cell>
          <cell r="D14" t="str">
            <v>花見川区幕張本郷2-6-4</v>
          </cell>
          <cell r="E14" t="str">
            <v>本明　日出紀</v>
          </cell>
          <cell r="F14" t="str">
            <v>213-8311</v>
          </cell>
          <cell r="G14" t="str">
            <v>213-8311</v>
          </cell>
          <cell r="H14" t="str">
            <v>info@weepee.jp</v>
          </cell>
          <cell r="I14">
            <v>37928</v>
          </cell>
          <cell r="J14" t="str">
            <v>1F</v>
          </cell>
          <cell r="K14">
            <v>112.29</v>
          </cell>
          <cell r="L14">
            <v>51</v>
          </cell>
          <cell r="M14">
            <v>51</v>
          </cell>
          <cell r="N14" t="str">
            <v>7:00～20:00</v>
          </cell>
          <cell r="O14" t="str">
            <v>48,500～71,750円</v>
          </cell>
          <cell r="P14">
            <v>50000</v>
          </cell>
          <cell r="Q14">
            <v>48200</v>
          </cell>
          <cell r="R14">
            <v>44900</v>
          </cell>
          <cell r="S14">
            <v>41500</v>
          </cell>
          <cell r="T14">
            <v>38200</v>
          </cell>
          <cell r="U14">
            <v>38200</v>
          </cell>
          <cell r="V14">
            <v>71750</v>
          </cell>
          <cell r="W14">
            <v>69500</v>
          </cell>
          <cell r="X14">
            <v>66000</v>
          </cell>
          <cell r="Y14">
            <v>53200</v>
          </cell>
          <cell r="Z14">
            <v>48500</v>
          </cell>
          <cell r="AA14">
            <v>48500</v>
          </cell>
          <cell r="AB14" t="str">
            <v>上の子・半額</v>
          </cell>
          <cell r="AC14">
            <v>10800</v>
          </cell>
          <cell r="AD14" t="str">
            <v>外部委託</v>
          </cell>
          <cell r="AE14" t="str">
            <v>×</v>
          </cell>
          <cell r="AF14" t="str">
            <v>○</v>
          </cell>
          <cell r="AG14" t="str">
            <v>株式会社</v>
          </cell>
          <cell r="AH14" t="str">
            <v>不明</v>
          </cell>
          <cell r="AI14" t="str">
            <v>不明</v>
          </cell>
          <cell r="AJ14" t="str">
            <v>習志野市津田沼3-17-18</v>
          </cell>
          <cell r="AK14" t="str">
            <v>(株)習志野駅前託児所</v>
          </cell>
          <cell r="AL14" t="str">
            <v>習志野市津田沼3-17-18</v>
          </cell>
          <cell r="AM14" t="str">
            <v>代表取締役　藤本　みのり</v>
          </cell>
        </row>
        <row r="15">
          <cell r="A15">
            <v>11</v>
          </cell>
          <cell r="B15" t="str">
            <v>ＫＩＤＤＹ　ＫＩＮＧＤＯＭ</v>
          </cell>
          <cell r="C15" t="str">
            <v>262-0033</v>
          </cell>
          <cell r="D15" t="str">
            <v>花見川区幕張本郷6-15-2</v>
          </cell>
          <cell r="E15" t="str">
            <v>濱出　真志子</v>
          </cell>
          <cell r="F15" t="str">
            <v>308-9552</v>
          </cell>
          <cell r="G15" t="str">
            <v>308-9552</v>
          </cell>
          <cell r="H15" t="str">
            <v>info@kiddykingdom.lolipop.jp</v>
          </cell>
          <cell r="I15">
            <v>39322</v>
          </cell>
          <cell r="J15" t="str">
            <v>1・2F</v>
          </cell>
          <cell r="K15">
            <v>33.700000000000003</v>
          </cell>
          <cell r="L15">
            <v>20</v>
          </cell>
          <cell r="M15">
            <v>20</v>
          </cell>
          <cell r="N15" t="str">
            <v>7:00～19:00</v>
          </cell>
          <cell r="O15" t="str">
            <v>42,000～75,000円</v>
          </cell>
          <cell r="P15">
            <v>60000</v>
          </cell>
          <cell r="Q15">
            <v>50000</v>
          </cell>
          <cell r="R15">
            <v>45000</v>
          </cell>
          <cell r="S15">
            <v>37000</v>
          </cell>
          <cell r="T15">
            <v>32000</v>
          </cell>
          <cell r="U15">
            <v>32000</v>
          </cell>
          <cell r="V15">
            <v>75000</v>
          </cell>
          <cell r="W15">
            <v>65000</v>
          </cell>
          <cell r="X15">
            <v>55000</v>
          </cell>
          <cell r="Y15">
            <v>47000</v>
          </cell>
          <cell r="Z15">
            <v>42000</v>
          </cell>
          <cell r="AA15">
            <v>42000</v>
          </cell>
          <cell r="AB15" t="str">
            <v>上の子・半額</v>
          </cell>
          <cell r="AC15">
            <v>15000</v>
          </cell>
          <cell r="AD15" t="str">
            <v>外部委託</v>
          </cell>
          <cell r="AE15" t="str">
            <v>×</v>
          </cell>
          <cell r="AF15" t="str">
            <v>○</v>
          </cell>
          <cell r="AG15" t="str">
            <v>株式会社</v>
          </cell>
          <cell r="AH15" t="str">
            <v>有</v>
          </cell>
          <cell r="AI15" t="str">
            <v>民間会社</v>
          </cell>
          <cell r="AJ15" t="str">
            <v>併用型</v>
          </cell>
          <cell r="AK15" t="str">
            <v>(株)PowerBean</v>
          </cell>
          <cell r="AL15" t="str">
            <v>千葉市花見川区幕張本郷6-26-4</v>
          </cell>
          <cell r="AM15" t="str">
            <v>代表取締役　石坂　淳</v>
          </cell>
        </row>
        <row r="16">
          <cell r="A16">
            <v>12</v>
          </cell>
          <cell r="B16" t="str">
            <v>キャンディ検見川園</v>
          </cell>
          <cell r="C16" t="str">
            <v>262-0023</v>
          </cell>
          <cell r="D16" t="str">
            <v>花見川区検見川町3-302-25</v>
          </cell>
          <cell r="E16" t="str">
            <v>平賀　淳</v>
          </cell>
          <cell r="F16" t="str">
            <v>310-3577</v>
          </cell>
          <cell r="G16" t="str">
            <v>310-3577</v>
          </cell>
          <cell r="H16" t="str">
            <v>candy_hoikuroom@yahoo.co.jp</v>
          </cell>
          <cell r="I16">
            <v>39728</v>
          </cell>
          <cell r="J16" t="str">
            <v>2F</v>
          </cell>
          <cell r="K16">
            <v>46.74</v>
          </cell>
          <cell r="L16">
            <v>27</v>
          </cell>
          <cell r="M16">
            <v>27</v>
          </cell>
          <cell r="N16" t="str">
            <v>7:30～19:00</v>
          </cell>
          <cell r="O16" t="str">
            <v>53,200～63,200円</v>
          </cell>
          <cell r="P16">
            <v>45000</v>
          </cell>
          <cell r="Q16">
            <v>53200</v>
          </cell>
          <cell r="R16">
            <v>51200</v>
          </cell>
          <cell r="S16">
            <v>51200</v>
          </cell>
          <cell r="T16">
            <v>46200</v>
          </cell>
          <cell r="U16">
            <v>46200</v>
          </cell>
          <cell r="V16">
            <v>55000</v>
          </cell>
          <cell r="W16">
            <v>63200</v>
          </cell>
          <cell r="X16">
            <v>58200</v>
          </cell>
          <cell r="Y16">
            <v>58200</v>
          </cell>
          <cell r="Z16">
            <v>53200</v>
          </cell>
          <cell r="AA16">
            <v>53200</v>
          </cell>
          <cell r="AB16" t="str">
            <v>上の子・１万円引</v>
          </cell>
          <cell r="AC16">
            <v>15000</v>
          </cell>
          <cell r="AD16" t="str">
            <v>外部委託</v>
          </cell>
          <cell r="AE16" t="str">
            <v>×</v>
          </cell>
          <cell r="AF16" t="str">
            <v>○</v>
          </cell>
          <cell r="AG16" t="str">
            <v>個人</v>
          </cell>
          <cell r="AH16" t="str">
            <v>石川　義人</v>
          </cell>
          <cell r="AI16" t="str">
            <v>千葉市花見川区検見川町3-326-3</v>
          </cell>
          <cell r="AJ16" t="str">
            <v>石川　義人</v>
          </cell>
          <cell r="AK16" t="str">
            <v>石川　義人</v>
          </cell>
          <cell r="AL16" t="str">
            <v>千葉市花見川区検見川町3-326-3</v>
          </cell>
          <cell r="AM16" t="str">
            <v>石川　義人</v>
          </cell>
        </row>
        <row r="17">
          <cell r="A17">
            <v>13</v>
          </cell>
          <cell r="B17" t="str">
            <v>新検見川駅前保育園（旧：ちびっこランド新検見川園）</v>
          </cell>
          <cell r="C17" t="str">
            <v>262-0022</v>
          </cell>
          <cell r="D17" t="str">
            <v>花見川区南花園2-2-12-ｱｺﾙﾃﾞ新検見川201</v>
          </cell>
          <cell r="E17" t="str">
            <v>西重　誠</v>
          </cell>
          <cell r="F17" t="str">
            <v>301-2877</v>
          </cell>
          <cell r="G17" t="str">
            <v>301-2877</v>
          </cell>
          <cell r="H17" t="str">
            <v xml:space="preserve">nishishige.makoto@rose.plala.or.jp
</v>
          </cell>
          <cell r="I17">
            <v>40631</v>
          </cell>
          <cell r="J17" t="str">
            <v>2F</v>
          </cell>
          <cell r="K17">
            <v>80.8</v>
          </cell>
          <cell r="L17">
            <v>40</v>
          </cell>
          <cell r="M17">
            <v>40</v>
          </cell>
          <cell r="N17" t="str">
            <v>7:30～19:00</v>
          </cell>
          <cell r="O17" t="str">
            <v>39,380～56,180円</v>
          </cell>
          <cell r="P17">
            <v>39300</v>
          </cell>
          <cell r="Q17">
            <v>37800</v>
          </cell>
          <cell r="R17">
            <v>37400</v>
          </cell>
          <cell r="S17">
            <v>39900</v>
          </cell>
          <cell r="T17">
            <v>33400</v>
          </cell>
          <cell r="U17">
            <v>31500</v>
          </cell>
          <cell r="V17">
            <v>56180</v>
          </cell>
          <cell r="W17">
            <v>53030</v>
          </cell>
          <cell r="X17">
            <v>49880</v>
          </cell>
          <cell r="Y17">
            <v>49880</v>
          </cell>
          <cell r="Z17">
            <v>39380</v>
          </cell>
          <cell r="AA17">
            <v>39380</v>
          </cell>
          <cell r="AB17" t="str">
            <v>上の子・6割引</v>
          </cell>
          <cell r="AC17">
            <v>10800</v>
          </cell>
          <cell r="AD17" t="str">
            <v>外部委託</v>
          </cell>
          <cell r="AE17" t="str">
            <v>×</v>
          </cell>
          <cell r="AF17" t="str">
            <v>○</v>
          </cell>
          <cell r="AG17" t="str">
            <v>個人</v>
          </cell>
          <cell r="AH17" t="str">
            <v>西重　誠</v>
          </cell>
          <cell r="AI17" t="str">
            <v>美浜区幸町1-7-1-709</v>
          </cell>
          <cell r="AJ17" t="str">
            <v>西重　誠</v>
          </cell>
          <cell r="AK17" t="str">
            <v>西重　誠</v>
          </cell>
          <cell r="AL17" t="str">
            <v>美浜区幸町1-7-1-709</v>
          </cell>
          <cell r="AM17" t="str">
            <v>西重　誠</v>
          </cell>
        </row>
        <row r="18">
          <cell r="A18">
            <v>14</v>
          </cell>
          <cell r="B18" t="str">
            <v>チャイルドケアセンター・プレイディア</v>
          </cell>
          <cell r="C18" t="str">
            <v>262-0033</v>
          </cell>
          <cell r="D18" t="str">
            <v>花見川区幕張本郷1-3-22　</v>
          </cell>
          <cell r="E18" t="str">
            <v>伊藤　紗智子</v>
          </cell>
          <cell r="F18" t="str">
            <v>273-8866</v>
          </cell>
          <cell r="G18" t="str">
            <v>273-8866</v>
          </cell>
          <cell r="H18" t="str">
            <v>info@playidea.jp</v>
          </cell>
          <cell r="I18">
            <v>41548</v>
          </cell>
          <cell r="J18" t="str">
            <v>1F</v>
          </cell>
          <cell r="K18">
            <v>75.63</v>
          </cell>
          <cell r="L18">
            <v>29</v>
          </cell>
          <cell r="M18">
            <v>29</v>
          </cell>
          <cell r="N18" t="str">
            <v>7:45～19:00</v>
          </cell>
          <cell r="O18" t="str">
            <v>71,000～79,000円</v>
          </cell>
          <cell r="P18">
            <v>59000</v>
          </cell>
          <cell r="Q18">
            <v>53000</v>
          </cell>
          <cell r="R18">
            <v>53000</v>
          </cell>
          <cell r="S18">
            <v>51000</v>
          </cell>
          <cell r="T18">
            <v>51000</v>
          </cell>
          <cell r="U18">
            <v>51000</v>
          </cell>
          <cell r="V18">
            <v>79000</v>
          </cell>
          <cell r="W18">
            <v>73000</v>
          </cell>
          <cell r="X18">
            <v>73000</v>
          </cell>
          <cell r="Y18">
            <v>71000</v>
          </cell>
          <cell r="Z18">
            <v>71000</v>
          </cell>
          <cell r="AA18">
            <v>71000</v>
          </cell>
          <cell r="AB18" t="str">
            <v>上の子・半額</v>
          </cell>
          <cell r="AC18">
            <v>12000</v>
          </cell>
          <cell r="AD18" t="str">
            <v>外部委託</v>
          </cell>
          <cell r="AE18" t="str">
            <v>×</v>
          </cell>
          <cell r="AF18" t="str">
            <v>○</v>
          </cell>
          <cell r="AG18" t="str">
            <v>株式会社</v>
          </cell>
          <cell r="AH18" t="str">
            <v>(株)習志野駅前託児所</v>
          </cell>
          <cell r="AI18" t="str">
            <v>習志野市津田沼3-17-18</v>
          </cell>
          <cell r="AJ18" t="str">
            <v>代表取締役　藤本　みのり</v>
          </cell>
          <cell r="AK18" t="str">
            <v>(株)習志野駅前託児所</v>
          </cell>
          <cell r="AL18" t="str">
            <v>習志野市津田沼3-17-18</v>
          </cell>
          <cell r="AM18" t="str">
            <v>代表取締役　藤本　みのり</v>
          </cell>
        </row>
        <row r="19">
          <cell r="A19">
            <v>15</v>
          </cell>
          <cell r="B19" t="str">
            <v>花見川さくら学園</v>
          </cell>
          <cell r="C19" t="str">
            <v>262-0042</v>
          </cell>
          <cell r="D19" t="str">
            <v>花見川区花島町430-35</v>
          </cell>
          <cell r="E19" t="str">
            <v>鈴木　信吾</v>
          </cell>
          <cell r="F19" t="str">
            <v>250-4150</v>
          </cell>
          <cell r="G19" t="str">
            <v>258-0246</v>
          </cell>
          <cell r="H19" t="str">
            <v>info@sakura-n.jp</v>
          </cell>
          <cell r="I19">
            <v>28581</v>
          </cell>
          <cell r="J19" t="str">
            <v>1F</v>
          </cell>
          <cell r="K19">
            <v>159</v>
          </cell>
          <cell r="L19">
            <v>78</v>
          </cell>
          <cell r="M19">
            <v>59</v>
          </cell>
          <cell r="N19" t="str">
            <v>7:00～19:00</v>
          </cell>
          <cell r="O19" t="str">
            <v>45,410～103,910円</v>
          </cell>
          <cell r="P19">
            <v>59910</v>
          </cell>
          <cell r="Q19">
            <v>55910</v>
          </cell>
          <cell r="R19">
            <v>45910</v>
          </cell>
          <cell r="S19">
            <v>31910</v>
          </cell>
          <cell r="T19">
            <v>31410</v>
          </cell>
          <cell r="U19">
            <v>31410</v>
          </cell>
          <cell r="V19">
            <v>103910</v>
          </cell>
          <cell r="W19">
            <v>99910</v>
          </cell>
          <cell r="X19">
            <v>89910</v>
          </cell>
          <cell r="Y19">
            <v>45910</v>
          </cell>
          <cell r="Z19">
            <v>45410</v>
          </cell>
          <cell r="AA19">
            <v>45410</v>
          </cell>
          <cell r="AB19" t="str">
            <v>助成対象児：下の子、対象外児：上の子・ 助成対象児：下の子が0～2歳までは下の子から2万円引、下の子が3歳以上からは下の子から1万円引 対象外児：上の子が0～2歳までは上の子から1万5千円引、上の子が3歳以上からは上の子から5千円引</v>
          </cell>
          <cell r="AC19">
            <v>50000</v>
          </cell>
          <cell r="AD19" t="str">
            <v>外部委託</v>
          </cell>
          <cell r="AE19" t="str">
            <v>×</v>
          </cell>
          <cell r="AF19" t="str">
            <v>×</v>
          </cell>
          <cell r="AG19" t="str">
            <v>個人</v>
          </cell>
          <cell r="AH19" t="str">
            <v>鈴木　信吾</v>
          </cell>
          <cell r="AI19" t="str">
            <v>千葉市花見川区花島町432－10</v>
          </cell>
          <cell r="AJ19" t="str">
            <v>鈴木　信吾</v>
          </cell>
          <cell r="AK19" t="str">
            <v>鈴木　信吾</v>
          </cell>
          <cell r="AL19" t="str">
            <v>千葉市花見川区花島町432－10</v>
          </cell>
          <cell r="AM19" t="str">
            <v>鈴木　信吾</v>
          </cell>
        </row>
        <row r="20">
          <cell r="A20">
            <v>16</v>
          </cell>
          <cell r="B20" t="str">
            <v>幕張おおぞら保育園</v>
          </cell>
          <cell r="C20" t="str">
            <v>262-0032</v>
          </cell>
          <cell r="D20" t="str">
            <v>花見川区幕張町6-291-2 ﾆｭｰｳｨﾝｸﾞ幕張2F</v>
          </cell>
          <cell r="E20" t="str">
            <v>仮屋　明浩</v>
          </cell>
          <cell r="F20" t="str">
            <v>275-7827</v>
          </cell>
          <cell r="G20" t="str">
            <v>275-7827</v>
          </cell>
          <cell r="H20" t="str">
            <v xml:space="preserve">makusorahoiku@xsj.biglobe.ne.jp
</v>
          </cell>
          <cell r="I20">
            <v>37417</v>
          </cell>
          <cell r="J20" t="str">
            <v>2F</v>
          </cell>
          <cell r="K20">
            <v>46.7</v>
          </cell>
          <cell r="L20">
            <v>28</v>
          </cell>
          <cell r="M20">
            <v>28</v>
          </cell>
          <cell r="N20" t="str">
            <v>7:00～19:00</v>
          </cell>
          <cell r="O20" t="str">
            <v>48,170～65,450円</v>
          </cell>
          <cell r="P20">
            <v>46670</v>
          </cell>
          <cell r="Q20">
            <v>44140</v>
          </cell>
          <cell r="R20">
            <v>44140</v>
          </cell>
          <cell r="S20">
            <v>43630</v>
          </cell>
          <cell r="T20">
            <v>39980</v>
          </cell>
          <cell r="U20">
            <v>39980</v>
          </cell>
          <cell r="V20">
            <v>65450</v>
          </cell>
          <cell r="W20">
            <v>62200</v>
          </cell>
          <cell r="X20">
            <v>62200</v>
          </cell>
          <cell r="Y20">
            <v>58970</v>
          </cell>
          <cell r="Z20">
            <v>48170</v>
          </cell>
          <cell r="AA20">
            <v>48170</v>
          </cell>
          <cell r="AB20" t="str">
            <v>上の子・半額</v>
          </cell>
          <cell r="AC20">
            <v>10500</v>
          </cell>
          <cell r="AD20" t="str">
            <v>外部委託</v>
          </cell>
          <cell r="AE20" t="str">
            <v>×</v>
          </cell>
          <cell r="AF20" t="str">
            <v>○</v>
          </cell>
          <cell r="AG20" t="str">
            <v>個人</v>
          </cell>
          <cell r="AH20" t="str">
            <v>有</v>
          </cell>
          <cell r="AI20" t="str">
            <v>個人</v>
          </cell>
          <cell r="AJ20" t="str">
            <v>昼間型</v>
          </cell>
          <cell r="AK20" t="str">
            <v>仮屋　明浩</v>
          </cell>
          <cell r="AL20" t="str">
            <v>花見川区み春野１－２２－６</v>
          </cell>
          <cell r="AM20" t="str">
            <v>仮屋　明浩</v>
          </cell>
        </row>
        <row r="21">
          <cell r="A21">
            <v>17</v>
          </cell>
          <cell r="B21" t="str">
            <v>幕張台保育園</v>
          </cell>
          <cell r="C21" t="str">
            <v>262-0033</v>
          </cell>
          <cell r="D21" t="str">
            <v>花見川区幕張本郷5-17-4</v>
          </cell>
          <cell r="E21" t="str">
            <v>若山　喜世子</v>
          </cell>
          <cell r="F21" t="str">
            <v>272-9206</v>
          </cell>
          <cell r="G21" t="str">
            <v>272-9206</v>
          </cell>
          <cell r="H21" t="str">
            <v>makuharidaihoikuen@yahoo.co.jp</v>
          </cell>
          <cell r="I21">
            <v>28230</v>
          </cell>
          <cell r="J21" t="str">
            <v>1F</v>
          </cell>
          <cell r="K21">
            <v>177.2</v>
          </cell>
          <cell r="L21">
            <v>30</v>
          </cell>
          <cell r="M21">
            <v>30</v>
          </cell>
          <cell r="N21" t="str">
            <v>7:30～18:00</v>
          </cell>
          <cell r="O21" t="str">
            <v>32,800～47,800円</v>
          </cell>
          <cell r="P21" t="str">
            <v>-</v>
          </cell>
          <cell r="Q21">
            <v>34000</v>
          </cell>
          <cell r="R21">
            <v>24000</v>
          </cell>
          <cell r="S21">
            <v>19000</v>
          </cell>
          <cell r="T21">
            <v>19000</v>
          </cell>
          <cell r="U21">
            <v>19000</v>
          </cell>
          <cell r="V21" t="str">
            <v>-</v>
          </cell>
          <cell r="W21">
            <v>37000</v>
          </cell>
          <cell r="X21">
            <v>27000</v>
          </cell>
          <cell r="Y21">
            <v>22000</v>
          </cell>
          <cell r="Z21">
            <v>22000</v>
          </cell>
          <cell r="AA21">
            <v>22000</v>
          </cell>
          <cell r="AB21" t="str">
            <v>下の子・1万円引</v>
          </cell>
          <cell r="AC21">
            <v>50000</v>
          </cell>
          <cell r="AD21" t="str">
            <v>外部委託</v>
          </cell>
          <cell r="AE21" t="str">
            <v>×</v>
          </cell>
          <cell r="AF21" t="str">
            <v>×</v>
          </cell>
          <cell r="AG21" t="str">
            <v>個人</v>
          </cell>
          <cell r="AH21" t="str">
            <v>若山　明日香</v>
          </cell>
          <cell r="AI21" t="str">
            <v>花見川区幕張町２－１０１０－４６</v>
          </cell>
          <cell r="AJ21" t="str">
            <v>若山　明日香</v>
          </cell>
          <cell r="AK21" t="str">
            <v>若山　明日香</v>
          </cell>
          <cell r="AL21" t="str">
            <v>花見川区幕張町２－１０１０－４６</v>
          </cell>
          <cell r="AM21" t="str">
            <v>若山　明日香</v>
          </cell>
        </row>
        <row r="22">
          <cell r="A22">
            <v>18</v>
          </cell>
          <cell r="B22" t="str">
            <v>幕張星の子保育園</v>
          </cell>
          <cell r="C22" t="str">
            <v>262-0032</v>
          </cell>
          <cell r="D22" t="str">
            <v>花見川区幕張町4－586－1</v>
          </cell>
          <cell r="E22" t="str">
            <v>伊藤　正一</v>
          </cell>
          <cell r="F22" t="str">
            <v>213-3331</v>
          </cell>
          <cell r="G22" t="str">
            <v>213-3382</v>
          </cell>
          <cell r="H22" t="str">
            <v xml:space="preserve">makuhari-hoshinoko@jbs-nursery.co.jp
</v>
          </cell>
          <cell r="I22">
            <v>41183</v>
          </cell>
          <cell r="J22" t="str">
            <v>１・2F</v>
          </cell>
          <cell r="K22">
            <v>41.63</v>
          </cell>
          <cell r="L22">
            <v>24</v>
          </cell>
          <cell r="M22">
            <v>24</v>
          </cell>
          <cell r="N22" t="str">
            <v>7:00～20:00</v>
          </cell>
          <cell r="O22" t="str">
            <v>69,000～78,000円</v>
          </cell>
          <cell r="P22">
            <v>63000</v>
          </cell>
          <cell r="Q22">
            <v>61000</v>
          </cell>
          <cell r="R22">
            <v>61000</v>
          </cell>
          <cell r="S22">
            <v>57000</v>
          </cell>
          <cell r="T22">
            <v>54000</v>
          </cell>
          <cell r="U22">
            <v>54000</v>
          </cell>
          <cell r="V22">
            <v>78000</v>
          </cell>
          <cell r="W22">
            <v>76000</v>
          </cell>
          <cell r="X22">
            <v>76000</v>
          </cell>
          <cell r="Y22">
            <v>72000</v>
          </cell>
          <cell r="Z22">
            <v>69000</v>
          </cell>
          <cell r="AA22">
            <v>69000</v>
          </cell>
          <cell r="AB22" t="str">
            <v>上の子・1万円引</v>
          </cell>
          <cell r="AC22">
            <v>15000</v>
          </cell>
          <cell r="AD22" t="str">
            <v>外部委託</v>
          </cell>
          <cell r="AE22" t="str">
            <v>×</v>
          </cell>
          <cell r="AF22" t="str">
            <v>○</v>
          </cell>
          <cell r="AG22" t="str">
            <v>株式会社</v>
          </cell>
          <cell r="AH22" t="str">
            <v>JBSナーサリー株式会社</v>
          </cell>
          <cell r="AI22" t="str">
            <v>東京都中央区銀座2丁目15番2号</v>
          </cell>
          <cell r="AJ22" t="str">
            <v>代表取締役社長　池内　規行</v>
          </cell>
          <cell r="AK22" t="str">
            <v>JBSナーサリー株式会社</v>
          </cell>
          <cell r="AL22" t="str">
            <v>東京都中央区銀座2丁目15番2号</v>
          </cell>
          <cell r="AM22" t="str">
            <v>代表取締役社長　池内　規行</v>
          </cell>
        </row>
        <row r="23">
          <cell r="A23">
            <v>19</v>
          </cell>
          <cell r="B23" t="str">
            <v>マミー＆ミー幕張</v>
          </cell>
          <cell r="C23" t="str">
            <v>262-0032</v>
          </cell>
          <cell r="D23" t="str">
            <v>花見川区幕張町5-417-222 幕張ｸﾞﾘｰﾝﾊｲﾂ117</v>
          </cell>
          <cell r="E23" t="str">
            <v>袖山　雄士</v>
          </cell>
          <cell r="F23" t="str">
            <v>213-2373</v>
          </cell>
          <cell r="G23" t="str">
            <v>213-2374</v>
          </cell>
          <cell r="H23" t="str">
            <v>kouno@spinaldesign.co.jp</v>
          </cell>
          <cell r="I23">
            <v>39171</v>
          </cell>
          <cell r="J23" t="str">
            <v>1F</v>
          </cell>
          <cell r="K23">
            <v>50.37</v>
          </cell>
          <cell r="L23">
            <v>30</v>
          </cell>
          <cell r="M23">
            <v>30</v>
          </cell>
          <cell r="N23" t="str">
            <v>7:30～18:00</v>
          </cell>
          <cell r="O23" t="str">
            <v>45,000～59,000円</v>
          </cell>
          <cell r="P23">
            <v>49000</v>
          </cell>
          <cell r="Q23">
            <v>43000</v>
          </cell>
          <cell r="R23">
            <v>43000</v>
          </cell>
          <cell r="S23">
            <v>35000</v>
          </cell>
          <cell r="T23">
            <v>35000</v>
          </cell>
          <cell r="U23">
            <v>35000</v>
          </cell>
          <cell r="V23">
            <v>59000</v>
          </cell>
          <cell r="W23">
            <v>53000</v>
          </cell>
          <cell r="X23">
            <v>53000</v>
          </cell>
          <cell r="Y23">
            <v>45000</v>
          </cell>
          <cell r="Z23">
            <v>45000</v>
          </cell>
          <cell r="AA23">
            <v>45000</v>
          </cell>
          <cell r="AB23" t="str">
            <v>上の子・１万円</v>
          </cell>
          <cell r="AC23">
            <v>10000</v>
          </cell>
          <cell r="AD23" t="str">
            <v>施設調理</v>
          </cell>
          <cell r="AE23" t="str">
            <v>×</v>
          </cell>
          <cell r="AF23" t="str">
            <v>○</v>
          </cell>
          <cell r="AG23" t="str">
            <v>株式会社</v>
          </cell>
          <cell r="AH23" t="str">
            <v>無</v>
          </cell>
          <cell r="AI23" t="str">
            <v>個人</v>
          </cell>
          <cell r="AJ23" t="str">
            <v>昼間型</v>
          </cell>
          <cell r="AK23" t="str">
            <v>(株)SPINALDESIGN</v>
          </cell>
          <cell r="AL23" t="str">
            <v>東京都江東区青海2-7-4</v>
          </cell>
          <cell r="AM23" t="str">
            <v>代表取締役　藤本　賢</v>
          </cell>
        </row>
        <row r="24">
          <cell r="A24">
            <v>20</v>
          </cell>
          <cell r="B24" t="str">
            <v>リトルガーデン　幕張本郷</v>
          </cell>
          <cell r="C24" t="str">
            <v>262-0033</v>
          </cell>
          <cell r="D24" t="str">
            <v>花見川区幕張本郷２－２１－１</v>
          </cell>
          <cell r="E24" t="str">
            <v>小宮　佳子</v>
          </cell>
          <cell r="F24" t="str">
            <v>216-2220</v>
          </cell>
          <cell r="G24" t="str">
            <v>216－2221</v>
          </cell>
          <cell r="H24" t="str">
            <v>makuharihongou@littlegarden-inter.com</v>
          </cell>
          <cell r="I24" t="str">
            <v>H25．4</v>
          </cell>
          <cell r="J24" t="str">
            <v>1F</v>
          </cell>
          <cell r="K24">
            <v>225.5</v>
          </cell>
          <cell r="L24">
            <v>100</v>
          </cell>
          <cell r="M24">
            <v>59</v>
          </cell>
          <cell r="N24" t="str">
            <v>7:00～19:00</v>
          </cell>
          <cell r="O24" t="str">
            <v>76,000～95,000円</v>
          </cell>
          <cell r="P24">
            <v>66000</v>
          </cell>
          <cell r="Q24">
            <v>59000</v>
          </cell>
          <cell r="R24">
            <v>59000</v>
          </cell>
          <cell r="S24">
            <v>76000</v>
          </cell>
          <cell r="T24">
            <v>72000</v>
          </cell>
          <cell r="U24">
            <v>72000</v>
          </cell>
          <cell r="V24">
            <v>86000</v>
          </cell>
          <cell r="W24">
            <v>76000</v>
          </cell>
          <cell r="X24">
            <v>76000</v>
          </cell>
          <cell r="Y24">
            <v>95000</v>
          </cell>
          <cell r="Z24">
            <v>92500</v>
          </cell>
          <cell r="AA24">
            <v>92500</v>
          </cell>
          <cell r="AB24" t="str">
            <v>10,000円引き</v>
          </cell>
          <cell r="AC24">
            <v>50000</v>
          </cell>
          <cell r="AD24" t="str">
            <v>施設調理</v>
          </cell>
          <cell r="AE24" t="str">
            <v>○</v>
          </cell>
          <cell r="AF24" t="str">
            <v>○</v>
          </cell>
          <cell r="AG24" t="str">
            <v>合資会社</v>
          </cell>
          <cell r="AH24" t="str">
            <v>無</v>
          </cell>
          <cell r="AI24" t="str">
            <v>個人</v>
          </cell>
          <cell r="AJ24" t="str">
            <v>併用型</v>
          </cell>
          <cell r="AK24" t="str">
            <v>合資会社ライフコミュニケーション</v>
          </cell>
          <cell r="AL24" t="str">
            <v>美浜区中瀬2－6－1　WBGﾏﾘﾌﾞｳｴｽﾄ2F</v>
          </cell>
          <cell r="AM24" t="str">
            <v>無限責任社員　佐々木　豊</v>
          </cell>
        </row>
        <row r="25">
          <cell r="A25">
            <v>21</v>
          </cell>
          <cell r="B25" t="str">
            <v>スクルドエンジェル保育園稲毛園</v>
          </cell>
          <cell r="C25" t="str">
            <v>263-0043</v>
          </cell>
          <cell r="D25" t="str">
            <v>稲毛区小仲台2-8-2 渡辺ビル1F</v>
          </cell>
          <cell r="E25" t="str">
            <v>小長井　発</v>
          </cell>
          <cell r="F25" t="str">
            <v>441-4772</v>
          </cell>
          <cell r="G25" t="str">
            <v>―</v>
          </cell>
          <cell r="H25" t="str">
            <v>inage@skuld-angel.com</v>
          </cell>
          <cell r="I25">
            <v>40924</v>
          </cell>
          <cell r="J25" t="str">
            <v>1F</v>
          </cell>
          <cell r="K25">
            <v>47</v>
          </cell>
          <cell r="L25">
            <v>28</v>
          </cell>
          <cell r="M25">
            <v>28</v>
          </cell>
          <cell r="N25" t="str">
            <v>7:30～21:00</v>
          </cell>
          <cell r="O25" t="str">
            <v>55,000～61,000円</v>
          </cell>
          <cell r="P25">
            <v>56000</v>
          </cell>
          <cell r="Q25">
            <v>54000</v>
          </cell>
          <cell r="R25">
            <v>52000</v>
          </cell>
          <cell r="S25">
            <v>50000</v>
          </cell>
          <cell r="T25">
            <v>50000</v>
          </cell>
          <cell r="U25">
            <v>50000</v>
          </cell>
          <cell r="V25">
            <v>61000</v>
          </cell>
          <cell r="W25">
            <v>59000</v>
          </cell>
          <cell r="X25">
            <v>57000</v>
          </cell>
          <cell r="Y25">
            <v>55000</v>
          </cell>
          <cell r="Z25">
            <v>55000</v>
          </cell>
          <cell r="AA25">
            <v>55000</v>
          </cell>
          <cell r="AB25" t="str">
            <v>上の子・１万円</v>
          </cell>
          <cell r="AC25">
            <v>10000</v>
          </cell>
          <cell r="AD25" t="str">
            <v>施設調理</v>
          </cell>
          <cell r="AE25" t="str">
            <v>×</v>
          </cell>
          <cell r="AF25" t="str">
            <v>○</v>
          </cell>
          <cell r="AG25" t="str">
            <v>株式会社</v>
          </cell>
          <cell r="AH25" t="str">
            <v>㈱ｽｸﾙﾄﾞｱﾝﾄﾞｶﾝﾊﾟﾆｰ</v>
          </cell>
          <cell r="AI25" t="str">
            <v>東京都新宿区新宿６－７－１エルプリメント新宿３１１</v>
          </cell>
          <cell r="AJ25" t="str">
            <v>代表取締役　若林　雅樹</v>
          </cell>
          <cell r="AK25" t="str">
            <v>㈱ｽｸﾙﾄﾞｱﾝﾄﾞｶﾝﾊﾟﾆｰ</v>
          </cell>
          <cell r="AL25" t="str">
            <v>東京都新宿区新宿６－７－１エルプリメント新宿３１１</v>
          </cell>
          <cell r="AM25" t="str">
            <v>代表取締役　若林　雅樹</v>
          </cell>
        </row>
        <row r="26">
          <cell r="A26">
            <v>22</v>
          </cell>
          <cell r="B26" t="str">
            <v>ちびっこランド稲毛愛教園</v>
          </cell>
          <cell r="C26" t="str">
            <v>263-0031</v>
          </cell>
          <cell r="D26" t="str">
            <v>稲毛区稲毛東5-1-4 斉藤ﾋﾞﾙ1F</v>
          </cell>
          <cell r="E26" t="str">
            <v>依田　直也</v>
          </cell>
          <cell r="F26" t="str">
            <v>204-2366</v>
          </cell>
          <cell r="G26" t="str">
            <v>204-2366</v>
          </cell>
          <cell r="H26" t="str">
            <v>info@inage-aikouen.com</v>
          </cell>
          <cell r="I26">
            <v>37442</v>
          </cell>
          <cell r="J26" t="str">
            <v>1F</v>
          </cell>
          <cell r="K26">
            <v>28.3</v>
          </cell>
          <cell r="L26">
            <v>17</v>
          </cell>
          <cell r="M26">
            <v>17</v>
          </cell>
          <cell r="N26" t="str">
            <v>7:30～19:00</v>
          </cell>
          <cell r="O26" t="str">
            <v>52,450～65,450円</v>
          </cell>
          <cell r="P26">
            <v>44000</v>
          </cell>
          <cell r="Q26">
            <v>50950</v>
          </cell>
          <cell r="R26">
            <v>48950</v>
          </cell>
          <cell r="S26">
            <v>48950</v>
          </cell>
          <cell r="T26">
            <v>43950</v>
          </cell>
          <cell r="U26">
            <v>43950</v>
          </cell>
          <cell r="V26">
            <v>58500</v>
          </cell>
          <cell r="W26">
            <v>65450</v>
          </cell>
          <cell r="X26">
            <v>62450</v>
          </cell>
          <cell r="Y26">
            <v>59450</v>
          </cell>
          <cell r="Z26">
            <v>52450</v>
          </cell>
          <cell r="AA26">
            <v>52450</v>
          </cell>
          <cell r="AB26" t="str">
            <v>上の子・半額 ※但し、食事・おやつ代。損害保険料を除いた保育料</v>
          </cell>
          <cell r="AC26">
            <v>10000</v>
          </cell>
          <cell r="AD26" t="str">
            <v>外部委託</v>
          </cell>
          <cell r="AE26" t="str">
            <v>×</v>
          </cell>
          <cell r="AF26" t="str">
            <v>○</v>
          </cell>
          <cell r="AG26" t="str">
            <v>個人</v>
          </cell>
          <cell r="AH26" t="str">
            <v>依田　直也</v>
          </cell>
          <cell r="AI26" t="str">
            <v>稲毛区稲毛東5-1-4 斉藤ﾋﾞﾙ1F</v>
          </cell>
          <cell r="AJ26" t="str">
            <v>依田　直也</v>
          </cell>
          <cell r="AK26" t="str">
            <v>依田　直也</v>
          </cell>
          <cell r="AL26" t="str">
            <v>稲毛区稲毛東5-1-4 斉藤ﾋﾞﾙ1F</v>
          </cell>
          <cell r="AM26" t="str">
            <v>依田　直也</v>
          </cell>
        </row>
        <row r="27">
          <cell r="A27">
            <v>23</v>
          </cell>
          <cell r="B27" t="str">
            <v>ハニーキッズ草野園</v>
          </cell>
          <cell r="C27" t="str">
            <v>263-0005</v>
          </cell>
          <cell r="D27" t="str">
            <v>稲毛区長沼町312－14</v>
          </cell>
          <cell r="E27" t="str">
            <v>関根　雅晴</v>
          </cell>
          <cell r="F27" t="str">
            <v>251-3449</v>
          </cell>
          <cell r="G27" t="str">
            <v>251-3449</v>
          </cell>
          <cell r="H27" t="str">
            <v>inage@honeykids.jp</v>
          </cell>
          <cell r="I27" t="str">
            <v>H25.3</v>
          </cell>
          <cell r="J27" t="str">
            <v>1F</v>
          </cell>
          <cell r="K27">
            <v>62.37</v>
          </cell>
          <cell r="L27">
            <v>33</v>
          </cell>
          <cell r="M27">
            <v>33</v>
          </cell>
          <cell r="N27" t="str">
            <v>7:30～18:00</v>
          </cell>
          <cell r="O27" t="str">
            <v>46,000～59,000円</v>
          </cell>
          <cell r="P27">
            <v>49000</v>
          </cell>
          <cell r="Q27">
            <v>42000</v>
          </cell>
          <cell r="R27">
            <v>42000</v>
          </cell>
          <cell r="S27">
            <v>36000</v>
          </cell>
          <cell r="T27">
            <v>36000</v>
          </cell>
          <cell r="U27">
            <v>36000</v>
          </cell>
          <cell r="V27">
            <v>59000</v>
          </cell>
          <cell r="W27">
            <v>52000</v>
          </cell>
          <cell r="X27">
            <v>52000</v>
          </cell>
          <cell r="Y27">
            <v>46000</v>
          </cell>
          <cell r="Z27">
            <v>46000</v>
          </cell>
          <cell r="AA27">
            <v>46000</v>
          </cell>
          <cell r="AB27" t="str">
            <v>10,000円引き</v>
          </cell>
          <cell r="AC27">
            <v>10000</v>
          </cell>
          <cell r="AD27" t="str">
            <v>施設調理</v>
          </cell>
          <cell r="AE27" t="str">
            <v>×</v>
          </cell>
          <cell r="AF27" t="str">
            <v>○</v>
          </cell>
          <cell r="AG27" t="str">
            <v>株式会社</v>
          </cell>
          <cell r="AH27" t="str">
            <v>(株)ハニーキッズ</v>
          </cell>
          <cell r="AI27" t="str">
            <v>稲毛区長沼町312-14</v>
          </cell>
          <cell r="AJ27" t="str">
            <v>代表取締役　関根　雅晴</v>
          </cell>
          <cell r="AK27" t="str">
            <v>(株)ハニーキッズ</v>
          </cell>
          <cell r="AL27" t="str">
            <v>稲毛区長沼町312-14</v>
          </cell>
          <cell r="AM27" t="str">
            <v>代表取締役　関根　雅晴</v>
          </cell>
        </row>
        <row r="28">
          <cell r="A28">
            <v>24</v>
          </cell>
          <cell r="B28" t="str">
            <v>ぴょこたんランド</v>
          </cell>
          <cell r="C28" t="str">
            <v>263-0021</v>
          </cell>
          <cell r="D28" t="str">
            <v>稲毛区轟町4‐6‐23グランドメゾンとどろき２０１</v>
          </cell>
          <cell r="E28" t="str">
            <v>徳成　日出人</v>
          </cell>
          <cell r="F28" t="str">
            <v>216-3957</v>
          </cell>
          <cell r="G28" t="str">
            <v>216-3957</v>
          </cell>
          <cell r="H28" t="str">
            <v>tptokunari@aol.com</v>
          </cell>
          <cell r="I28">
            <v>40664</v>
          </cell>
          <cell r="J28" t="str">
            <v>2F</v>
          </cell>
          <cell r="K28">
            <v>80</v>
          </cell>
          <cell r="L28">
            <v>35</v>
          </cell>
          <cell r="M28">
            <v>35</v>
          </cell>
          <cell r="N28" t="str">
            <v>24時間</v>
          </cell>
          <cell r="O28" t="str">
            <v>45,000～60,000円</v>
          </cell>
          <cell r="P28">
            <v>50000</v>
          </cell>
          <cell r="Q28">
            <v>45000</v>
          </cell>
          <cell r="R28">
            <v>45000</v>
          </cell>
          <cell r="S28">
            <v>38000</v>
          </cell>
          <cell r="T28">
            <v>38000</v>
          </cell>
          <cell r="U28">
            <v>38000</v>
          </cell>
          <cell r="V28">
            <v>60000</v>
          </cell>
          <cell r="W28">
            <v>54000</v>
          </cell>
          <cell r="X28">
            <v>54000</v>
          </cell>
          <cell r="Y28">
            <v>45000</v>
          </cell>
          <cell r="Z28">
            <v>45000</v>
          </cell>
          <cell r="AA28">
            <v>45000</v>
          </cell>
          <cell r="AB28" t="str">
            <v>上の子・半額</v>
          </cell>
          <cell r="AC28">
            <v>10000</v>
          </cell>
          <cell r="AD28" t="str">
            <v>外部委託</v>
          </cell>
          <cell r="AE28" t="str">
            <v>○</v>
          </cell>
          <cell r="AF28" t="str">
            <v>○</v>
          </cell>
          <cell r="AG28" t="str">
            <v>株式会社</v>
          </cell>
          <cell r="AH28" t="str">
            <v>(株)DEPARTURES</v>
          </cell>
          <cell r="AI28" t="str">
            <v>千葉市稲毛区作草部５９２番地２</v>
          </cell>
          <cell r="AJ28" t="str">
            <v>代表取締役　龍崎　真実</v>
          </cell>
          <cell r="AK28" t="str">
            <v>(株)DEPARTURES</v>
          </cell>
          <cell r="AL28" t="str">
            <v>千葉市稲毛区作草部５９２番地２</v>
          </cell>
          <cell r="AM28" t="str">
            <v>代表取締役　龍崎　真実</v>
          </cell>
        </row>
        <row r="29">
          <cell r="A29">
            <v>25</v>
          </cell>
          <cell r="B29" t="str">
            <v>かるがも保育園都賀園</v>
          </cell>
          <cell r="C29" t="str">
            <v>264-0025</v>
          </cell>
          <cell r="D29" t="str">
            <v>若葉区都賀5-20-4</v>
          </cell>
          <cell r="E29" t="str">
            <v>目片　智恵美</v>
          </cell>
          <cell r="F29" t="str">
            <v>235-3715</v>
          </cell>
          <cell r="G29" t="str">
            <v>235-3715</v>
          </cell>
          <cell r="H29" t="str">
            <v>rnqsc985@ybb.ne.jp</v>
          </cell>
          <cell r="I29">
            <v>36720</v>
          </cell>
          <cell r="J29" t="str">
            <v>1F</v>
          </cell>
          <cell r="K29">
            <v>123.7</v>
          </cell>
          <cell r="L29">
            <v>46</v>
          </cell>
          <cell r="M29">
            <v>46</v>
          </cell>
          <cell r="N29" t="str">
            <v>7:00～20:00</v>
          </cell>
          <cell r="O29" t="str">
            <v>51,500～74,300円</v>
          </cell>
          <cell r="P29">
            <v>53300</v>
          </cell>
          <cell r="Q29">
            <v>43000</v>
          </cell>
          <cell r="R29">
            <v>43000</v>
          </cell>
          <cell r="S29">
            <v>44500</v>
          </cell>
          <cell r="T29">
            <v>44500</v>
          </cell>
          <cell r="U29">
            <v>44500</v>
          </cell>
          <cell r="V29">
            <v>74300</v>
          </cell>
          <cell r="W29">
            <v>64000</v>
          </cell>
          <cell r="X29">
            <v>64000</v>
          </cell>
          <cell r="Y29">
            <v>51500</v>
          </cell>
          <cell r="Z29">
            <v>51500</v>
          </cell>
          <cell r="AA29">
            <v>51500</v>
          </cell>
          <cell r="AB29" t="str">
            <v>上の子・１万円引</v>
          </cell>
          <cell r="AC29">
            <v>21000</v>
          </cell>
          <cell r="AD29" t="str">
            <v>施設調理</v>
          </cell>
          <cell r="AE29" t="str">
            <v>○</v>
          </cell>
          <cell r="AF29" t="str">
            <v>○</v>
          </cell>
          <cell r="AG29" t="str">
            <v>株式会社</v>
          </cell>
          <cell r="AH29" t="str">
            <v>株式会社　かるがも</v>
          </cell>
          <cell r="AI29" t="str">
            <v>四街道市四街道1-5-5</v>
          </cell>
          <cell r="AJ29" t="str">
            <v>代表取締役　目片智恵美</v>
          </cell>
          <cell r="AK29" t="str">
            <v>株式会社　かるがも</v>
          </cell>
          <cell r="AL29" t="str">
            <v>四街道市四街道1-5-5</v>
          </cell>
          <cell r="AM29" t="str">
            <v>代表取締役　目片智恵美</v>
          </cell>
        </row>
        <row r="30">
          <cell r="A30">
            <v>26</v>
          </cell>
          <cell r="B30" t="str">
            <v>キッズ倶楽部</v>
          </cell>
          <cell r="C30" t="str">
            <v>264-0025</v>
          </cell>
          <cell r="D30" t="str">
            <v>若葉区都賀3-17-5 戸村第2ﾊｲﾂ101</v>
          </cell>
          <cell r="E30" t="str">
            <v>土屋　秀規</v>
          </cell>
          <cell r="F30" t="str">
            <v>233-8622</v>
          </cell>
          <cell r="G30" t="str">
            <v>233-8622</v>
          </cell>
          <cell r="H30" t="str">
            <v>kidsclub.tsuga@mb.point.ne.jp</v>
          </cell>
          <cell r="I30">
            <v>38231</v>
          </cell>
          <cell r="J30" t="str">
            <v>1F</v>
          </cell>
          <cell r="K30">
            <v>41.13</v>
          </cell>
          <cell r="L30">
            <v>23</v>
          </cell>
          <cell r="M30">
            <v>23</v>
          </cell>
          <cell r="N30" t="str">
            <v>24時間</v>
          </cell>
          <cell r="O30" t="str">
            <v>42,000～57,000円</v>
          </cell>
          <cell r="P30">
            <v>33000</v>
          </cell>
          <cell r="Q30">
            <v>33000</v>
          </cell>
          <cell r="R30">
            <v>35000</v>
          </cell>
          <cell r="S30">
            <v>33000</v>
          </cell>
          <cell r="T30">
            <v>32000</v>
          </cell>
          <cell r="U30">
            <v>32000</v>
          </cell>
          <cell r="V30">
            <v>57000</v>
          </cell>
          <cell r="W30">
            <v>57000</v>
          </cell>
          <cell r="X30">
            <v>54000</v>
          </cell>
          <cell r="Y30">
            <v>43000</v>
          </cell>
          <cell r="Z30">
            <v>42000</v>
          </cell>
          <cell r="AA30">
            <v>42000</v>
          </cell>
          <cell r="AB30" t="str">
            <v>末子以外・半額</v>
          </cell>
          <cell r="AC30">
            <v>10000</v>
          </cell>
          <cell r="AD30" t="str">
            <v>施設調理</v>
          </cell>
          <cell r="AE30" t="str">
            <v>○</v>
          </cell>
          <cell r="AF30" t="str">
            <v>○</v>
          </cell>
          <cell r="AG30" t="str">
            <v>個人</v>
          </cell>
          <cell r="AH30" t="str">
            <v>有</v>
          </cell>
          <cell r="AI30" t="str">
            <v>個人</v>
          </cell>
          <cell r="AJ30" t="str">
            <v>昼間型</v>
          </cell>
          <cell r="AK30" t="str">
            <v>土屋　秀規</v>
          </cell>
          <cell r="AL30" t="str">
            <v>いすみ市岬町長者301</v>
          </cell>
          <cell r="AM30" t="str">
            <v>土屋　秀規</v>
          </cell>
        </row>
        <row r="31">
          <cell r="A31">
            <v>27</v>
          </cell>
          <cell r="B31" t="str">
            <v>ひまわり保育園</v>
          </cell>
          <cell r="C31" t="str">
            <v>264-0029</v>
          </cell>
          <cell r="D31" t="str">
            <v>若葉区桜木北1-15-1</v>
          </cell>
          <cell r="E31" t="str">
            <v>久保　孝子</v>
          </cell>
          <cell r="F31" t="str">
            <v>232-6090</v>
          </cell>
          <cell r="G31" t="str">
            <v>232-6090</v>
          </cell>
          <cell r="H31" t="str">
            <v>himawarihoikuen_sakuragi@ybb.nejp</v>
          </cell>
          <cell r="I31">
            <v>39904</v>
          </cell>
          <cell r="J31" t="str">
            <v>1F</v>
          </cell>
          <cell r="K31">
            <v>36.799999999999997</v>
          </cell>
          <cell r="L31">
            <v>22</v>
          </cell>
          <cell r="M31">
            <v>22</v>
          </cell>
          <cell r="N31" t="str">
            <v>7:30～19:00</v>
          </cell>
          <cell r="O31" t="str">
            <v>35,000～44,000円</v>
          </cell>
          <cell r="P31">
            <v>34000</v>
          </cell>
          <cell r="Q31">
            <v>32000</v>
          </cell>
          <cell r="R31">
            <v>32000</v>
          </cell>
          <cell r="S31">
            <v>30000</v>
          </cell>
          <cell r="T31">
            <v>25000</v>
          </cell>
          <cell r="U31">
            <v>25000</v>
          </cell>
          <cell r="V31">
            <v>44000</v>
          </cell>
          <cell r="W31">
            <v>42000</v>
          </cell>
          <cell r="X31">
            <v>42000</v>
          </cell>
          <cell r="Y31">
            <v>40000</v>
          </cell>
          <cell r="Z31">
            <v>35000</v>
          </cell>
          <cell r="AA31">
            <v>35000</v>
          </cell>
          <cell r="AB31" t="str">
            <v>上の子・半額</v>
          </cell>
          <cell r="AC31">
            <v>5000</v>
          </cell>
          <cell r="AD31" t="str">
            <v>施設調理</v>
          </cell>
          <cell r="AE31" t="str">
            <v>×</v>
          </cell>
          <cell r="AF31" t="str">
            <v>×</v>
          </cell>
          <cell r="AG31" t="str">
            <v>個人</v>
          </cell>
          <cell r="AH31" t="str">
            <v>久保　孝子</v>
          </cell>
          <cell r="AI31" t="str">
            <v>千葉市若葉区桜木８－２０－３２</v>
          </cell>
          <cell r="AJ31" t="str">
            <v>久保　孝子</v>
          </cell>
          <cell r="AK31" t="str">
            <v>久保　孝子</v>
          </cell>
          <cell r="AL31" t="str">
            <v>千葉市若葉区桜木８－２０－３２</v>
          </cell>
          <cell r="AM31" t="str">
            <v>久保　孝子</v>
          </cell>
        </row>
        <row r="32">
          <cell r="A32">
            <v>28</v>
          </cell>
          <cell r="B32" t="str">
            <v>ベビー＆キッズルームおあふ</v>
          </cell>
          <cell r="C32" t="str">
            <v>264-0002</v>
          </cell>
          <cell r="D32" t="str">
            <v>若葉区千城台東3-23-3</v>
          </cell>
          <cell r="E32" t="str">
            <v>中山　えい子</v>
          </cell>
          <cell r="F32" t="str">
            <v>236-3624</v>
          </cell>
          <cell r="G32" t="str">
            <v>236-3624</v>
          </cell>
          <cell r="H32" t="str">
            <v>eiko-n@cnc.jp</v>
          </cell>
          <cell r="I32">
            <v>36434</v>
          </cell>
          <cell r="J32" t="str">
            <v>1F</v>
          </cell>
          <cell r="K32">
            <v>36.299999999999997</v>
          </cell>
          <cell r="L32">
            <v>20</v>
          </cell>
          <cell r="M32">
            <v>20</v>
          </cell>
          <cell r="N32" t="str">
            <v>7:00～20:00</v>
          </cell>
          <cell r="O32" t="str">
            <v>36,100～50,300円</v>
          </cell>
          <cell r="P32">
            <v>45300</v>
          </cell>
          <cell r="Q32">
            <v>39800</v>
          </cell>
          <cell r="R32">
            <v>39800</v>
          </cell>
          <cell r="S32">
            <v>33100</v>
          </cell>
          <cell r="T32">
            <v>33100</v>
          </cell>
          <cell r="U32">
            <v>33100</v>
          </cell>
          <cell r="V32">
            <v>50300</v>
          </cell>
          <cell r="W32">
            <v>44800</v>
          </cell>
          <cell r="X32">
            <v>44800</v>
          </cell>
          <cell r="Y32">
            <v>36100</v>
          </cell>
          <cell r="Z32">
            <v>36100</v>
          </cell>
          <cell r="AA32">
            <v>36100</v>
          </cell>
          <cell r="AB32" t="str">
            <v>上の子・１万円引</v>
          </cell>
          <cell r="AC32">
            <v>10000</v>
          </cell>
          <cell r="AD32" t="str">
            <v>施設調理</v>
          </cell>
          <cell r="AE32" t="str">
            <v>×</v>
          </cell>
          <cell r="AF32" t="str">
            <v>○</v>
          </cell>
          <cell r="AG32" t="str">
            <v>個人</v>
          </cell>
          <cell r="AH32" t="str">
            <v>有</v>
          </cell>
          <cell r="AI32" t="str">
            <v>個人</v>
          </cell>
          <cell r="AJ32" t="str">
            <v>昼間型</v>
          </cell>
          <cell r="AK32" t="str">
            <v>中山　えい子</v>
          </cell>
          <cell r="AL32" t="str">
            <v>千葉市若葉区千城台東3-23-3</v>
          </cell>
          <cell r="AM32" t="str">
            <v>中山　えい子</v>
          </cell>
        </row>
        <row r="33">
          <cell r="A33">
            <v>29</v>
          </cell>
          <cell r="B33" t="str">
            <v>保育ルームねこのて</v>
          </cell>
          <cell r="C33" t="str">
            <v>264-0032</v>
          </cell>
          <cell r="D33" t="str">
            <v>若葉区みつわ台5-1-86-1</v>
          </cell>
          <cell r="E33" t="str">
            <v>黒木　健司</v>
          </cell>
          <cell r="F33" t="str">
            <v>290-6555</v>
          </cell>
          <cell r="G33" t="str">
            <v>290-6554</v>
          </cell>
          <cell r="H33" t="str">
            <v>babyroom_nekonote@yahoo.co.jp</v>
          </cell>
          <cell r="I33">
            <v>40969</v>
          </cell>
          <cell r="J33" t="str">
            <v>1F</v>
          </cell>
          <cell r="K33">
            <v>52</v>
          </cell>
          <cell r="L33">
            <v>29</v>
          </cell>
          <cell r="M33">
            <v>29</v>
          </cell>
          <cell r="N33" t="str">
            <v>7:30～20:00</v>
          </cell>
          <cell r="O33" t="str">
            <v>51,500円</v>
          </cell>
          <cell r="P33">
            <v>39500</v>
          </cell>
          <cell r="Q33">
            <v>39500</v>
          </cell>
          <cell r="R33">
            <v>39500</v>
          </cell>
          <cell r="S33">
            <v>39500</v>
          </cell>
          <cell r="T33">
            <v>39500</v>
          </cell>
          <cell r="U33">
            <v>39500</v>
          </cell>
          <cell r="V33">
            <v>51500</v>
          </cell>
          <cell r="W33">
            <v>51500</v>
          </cell>
          <cell r="X33">
            <v>51500</v>
          </cell>
          <cell r="Y33">
            <v>51500</v>
          </cell>
          <cell r="Z33">
            <v>51500</v>
          </cell>
          <cell r="AA33">
            <v>51500</v>
          </cell>
          <cell r="AB33" t="str">
            <v>下の子・1万円引き</v>
          </cell>
          <cell r="AC33">
            <v>10000</v>
          </cell>
          <cell r="AD33" t="str">
            <v>施設調理</v>
          </cell>
          <cell r="AE33" t="str">
            <v>×</v>
          </cell>
          <cell r="AF33" t="str">
            <v>○</v>
          </cell>
          <cell r="AG33" t="str">
            <v>個人</v>
          </cell>
          <cell r="AH33" t="str">
            <v>内山　立康</v>
          </cell>
          <cell r="AI33" t="str">
            <v>八街市八街へ199-1586</v>
          </cell>
          <cell r="AJ33" t="str">
            <v>内山　立康</v>
          </cell>
          <cell r="AK33" t="str">
            <v>内山　立康</v>
          </cell>
          <cell r="AL33" t="str">
            <v>八街市八街へ199-1586</v>
          </cell>
          <cell r="AM33" t="str">
            <v>内山　立康</v>
          </cell>
        </row>
        <row r="34">
          <cell r="A34">
            <v>30</v>
          </cell>
          <cell r="B34" t="str">
            <v>みつばち保育園</v>
          </cell>
          <cell r="C34" t="str">
            <v>264-0029</v>
          </cell>
          <cell r="D34" t="str">
            <v>若葉区桜木北2-10-6</v>
          </cell>
          <cell r="E34" t="str">
            <v>豊田　美恵</v>
          </cell>
          <cell r="F34" t="str">
            <v>231-1846</v>
          </cell>
          <cell r="G34" t="str">
            <v>231-1846</v>
          </cell>
          <cell r="H34" t="str">
            <v>mitsubachikids@gmail.com</v>
          </cell>
          <cell r="I34">
            <v>27829</v>
          </cell>
          <cell r="J34" t="str">
            <v>1F</v>
          </cell>
          <cell r="K34">
            <v>49.5</v>
          </cell>
          <cell r="L34">
            <v>26</v>
          </cell>
          <cell r="M34">
            <v>26</v>
          </cell>
          <cell r="N34" t="str">
            <v>7:00～19:00</v>
          </cell>
          <cell r="O34" t="str">
            <v>37,000円</v>
          </cell>
          <cell r="P34">
            <v>27000</v>
          </cell>
          <cell r="Q34">
            <v>27000</v>
          </cell>
          <cell r="R34">
            <v>27000</v>
          </cell>
          <cell r="S34">
            <v>27000</v>
          </cell>
          <cell r="T34">
            <v>27000</v>
          </cell>
          <cell r="U34">
            <v>27000</v>
          </cell>
          <cell r="V34">
            <v>37000</v>
          </cell>
          <cell r="W34">
            <v>37000</v>
          </cell>
          <cell r="X34">
            <v>37000</v>
          </cell>
          <cell r="Y34">
            <v>37000</v>
          </cell>
          <cell r="Z34">
            <v>37000</v>
          </cell>
          <cell r="AA34">
            <v>37000</v>
          </cell>
          <cell r="AB34" t="str">
            <v>上の子・1万円引き</v>
          </cell>
          <cell r="AC34">
            <v>0</v>
          </cell>
          <cell r="AD34" t="str">
            <v>施設調理</v>
          </cell>
          <cell r="AE34" t="str">
            <v>×</v>
          </cell>
          <cell r="AF34" t="str">
            <v>○</v>
          </cell>
          <cell r="AG34" t="str">
            <v>個人</v>
          </cell>
          <cell r="AH34" t="str">
            <v>有</v>
          </cell>
          <cell r="AI34" t="str">
            <v>個人</v>
          </cell>
          <cell r="AJ34" t="str">
            <v>昼間型</v>
          </cell>
          <cell r="AK34" t="str">
            <v>豊田　美恵</v>
          </cell>
          <cell r="AL34" t="str">
            <v>千葉市若葉区桜木北2-10-6</v>
          </cell>
          <cell r="AM34" t="str">
            <v>豊田　美恵</v>
          </cell>
        </row>
        <row r="35">
          <cell r="A35">
            <v>31</v>
          </cell>
          <cell r="B35" t="str">
            <v>あすみ東保育園</v>
          </cell>
          <cell r="C35" t="str">
            <v>267-0061</v>
          </cell>
          <cell r="D35" t="str">
            <v>緑区あすみが丘東4-9-2</v>
          </cell>
          <cell r="E35" t="str">
            <v>木原　真裕美</v>
          </cell>
          <cell r="F35" t="str">
            <v>295-5823</v>
          </cell>
          <cell r="G35" t="str">
            <v>295-0766</v>
          </cell>
          <cell r="H35" t="str">
            <v>rb2@goldluys.jp</v>
          </cell>
          <cell r="I35">
            <v>37469</v>
          </cell>
          <cell r="J35" t="str">
            <v>1F</v>
          </cell>
          <cell r="K35">
            <v>124.14</v>
          </cell>
          <cell r="L35">
            <v>59</v>
          </cell>
          <cell r="M35">
            <v>59</v>
          </cell>
          <cell r="N35" t="str">
            <v>7:00～19:00</v>
          </cell>
          <cell r="O35" t="str">
            <v>64,720～76,220円</v>
          </cell>
          <cell r="P35">
            <v>58220</v>
          </cell>
          <cell r="Q35">
            <v>51220</v>
          </cell>
          <cell r="R35">
            <v>51220</v>
          </cell>
          <cell r="S35">
            <v>46720</v>
          </cell>
          <cell r="T35">
            <v>46720</v>
          </cell>
          <cell r="U35">
            <v>46720</v>
          </cell>
          <cell r="V35">
            <v>76220</v>
          </cell>
          <cell r="W35">
            <v>69220</v>
          </cell>
          <cell r="X35">
            <v>69220</v>
          </cell>
          <cell r="Y35">
            <v>64720</v>
          </cell>
          <cell r="Z35">
            <v>64720</v>
          </cell>
          <cell r="AA35">
            <v>64720</v>
          </cell>
          <cell r="AB35" t="str">
            <v>上の子・１万円引</v>
          </cell>
          <cell r="AC35">
            <v>26000</v>
          </cell>
          <cell r="AD35" t="str">
            <v>施設調理</v>
          </cell>
          <cell r="AE35" t="str">
            <v>×</v>
          </cell>
          <cell r="AF35" t="str">
            <v>○</v>
          </cell>
          <cell r="AG35" t="str">
            <v>株式会社</v>
          </cell>
          <cell r="AH35" t="str">
            <v>無</v>
          </cell>
          <cell r="AI35" t="str">
            <v>個人</v>
          </cell>
          <cell r="AJ35" t="str">
            <v>昼間型</v>
          </cell>
          <cell r="AK35" t="str">
            <v>(株)GOLDLUYS</v>
          </cell>
          <cell r="AL35" t="str">
            <v>千葉市緑区あすみが丘東4-9-2</v>
          </cell>
          <cell r="AM35" t="str">
            <v>代表取締役　粒良　知史</v>
          </cell>
        </row>
        <row r="36">
          <cell r="A36">
            <v>32</v>
          </cell>
          <cell r="B36" t="str">
            <v>保育所　ドルフィンキッズランド</v>
          </cell>
          <cell r="C36" t="str">
            <v>266-0031</v>
          </cell>
          <cell r="D36" t="str">
            <v>緑区おゆみ野3-39-1　ｾﾝﾄｱﾍﾞﾆｭｰ102</v>
          </cell>
          <cell r="E36" t="str">
            <v>長谷川　郁代</v>
          </cell>
          <cell r="F36" t="str">
            <v>300-1943</v>
          </cell>
          <cell r="G36" t="str">
            <v>300-1943</v>
          </cell>
          <cell r="H36" t="str">
            <v>oyuminoen1943@mail.goo.ne.jp</v>
          </cell>
          <cell r="I36">
            <v>39757</v>
          </cell>
          <cell r="J36" t="str">
            <v>1F</v>
          </cell>
          <cell r="K36">
            <v>83.5</v>
          </cell>
          <cell r="L36">
            <v>40</v>
          </cell>
          <cell r="M36">
            <v>40</v>
          </cell>
          <cell r="N36" t="str">
            <v>7:30～19:30</v>
          </cell>
          <cell r="O36" t="str">
            <v>43,000～59,000円</v>
          </cell>
          <cell r="P36">
            <v>49000</v>
          </cell>
          <cell r="Q36">
            <v>48000</v>
          </cell>
          <cell r="R36">
            <v>43000</v>
          </cell>
          <cell r="S36">
            <v>41000</v>
          </cell>
          <cell r="T36">
            <v>37000</v>
          </cell>
          <cell r="U36">
            <v>37000</v>
          </cell>
          <cell r="V36">
            <v>59000</v>
          </cell>
          <cell r="W36">
            <v>58000</v>
          </cell>
          <cell r="X36">
            <v>53000</v>
          </cell>
          <cell r="Y36">
            <v>51000</v>
          </cell>
          <cell r="Z36">
            <v>43000</v>
          </cell>
          <cell r="AA36">
            <v>43000</v>
          </cell>
          <cell r="AB36" t="str">
            <v>上の子・半額</v>
          </cell>
          <cell r="AC36">
            <v>20000</v>
          </cell>
          <cell r="AD36" t="str">
            <v>外部委託</v>
          </cell>
          <cell r="AE36" t="str">
            <v>×</v>
          </cell>
          <cell r="AF36" t="str">
            <v>○</v>
          </cell>
          <cell r="AG36" t="str">
            <v>株式会社</v>
          </cell>
          <cell r="AH36" t="str">
            <v>（株）ディーケーエル</v>
          </cell>
          <cell r="AI36" t="str">
            <v>千葉市緑区おゆみ野3-39-1 ｾﾝﾄｱﾍﾞﾆｭｰ102</v>
          </cell>
          <cell r="AJ36" t="str">
            <v>代表取締役　長谷川郁代</v>
          </cell>
          <cell r="AK36" t="str">
            <v>（株）ディーケーエル</v>
          </cell>
          <cell r="AL36" t="str">
            <v>千葉市緑区おゆみ野3-39-1 ｾﾝﾄｱﾍﾞﾆｭｰ102</v>
          </cell>
          <cell r="AM36" t="str">
            <v>代表取締役　長谷川郁代</v>
          </cell>
        </row>
        <row r="37">
          <cell r="A37">
            <v>33</v>
          </cell>
          <cell r="B37" t="str">
            <v>トレジャーキッズ</v>
          </cell>
          <cell r="C37" t="str">
            <v>266-0033</v>
          </cell>
          <cell r="D37" t="str">
            <v>緑区おゆみ野南3-30　サンクレイドルおゆみ野ステーションウィズ</v>
          </cell>
          <cell r="E37" t="str">
            <v>井上　富美子</v>
          </cell>
          <cell r="F37" t="str">
            <v>309-8677</v>
          </cell>
          <cell r="G37" t="str">
            <v>309-8677</v>
          </cell>
          <cell r="H37" t="str">
            <v>torejya_kids_oyumino@yahoo.co.jp</v>
          </cell>
          <cell r="I37">
            <v>41000</v>
          </cell>
          <cell r="J37" t="str">
            <v>1F</v>
          </cell>
          <cell r="K37">
            <v>128</v>
          </cell>
          <cell r="L37">
            <v>35</v>
          </cell>
          <cell r="M37">
            <v>35</v>
          </cell>
          <cell r="N37" t="str">
            <v>7:00～19:00</v>
          </cell>
          <cell r="O37" t="str">
            <v>42,000～75,000円</v>
          </cell>
          <cell r="P37">
            <v>55000</v>
          </cell>
          <cell r="Q37">
            <v>45000</v>
          </cell>
          <cell r="R37">
            <v>40000</v>
          </cell>
          <cell r="S37">
            <v>38000</v>
          </cell>
          <cell r="T37">
            <v>35000</v>
          </cell>
          <cell r="U37">
            <v>35000</v>
          </cell>
          <cell r="V37">
            <v>75000</v>
          </cell>
          <cell r="W37">
            <v>65000</v>
          </cell>
          <cell r="X37">
            <v>55000</v>
          </cell>
          <cell r="Y37">
            <v>48000</v>
          </cell>
          <cell r="Z37">
            <v>42000</v>
          </cell>
          <cell r="AA37">
            <v>42000</v>
          </cell>
          <cell r="AB37" t="str">
            <v>下の子・1万円引</v>
          </cell>
          <cell r="AC37">
            <v>20000</v>
          </cell>
          <cell r="AD37" t="str">
            <v>外部委託</v>
          </cell>
          <cell r="AE37" t="str">
            <v>×</v>
          </cell>
          <cell r="AF37" t="str">
            <v>○</v>
          </cell>
          <cell r="AG37" t="str">
            <v>合同会社</v>
          </cell>
          <cell r="AH37" t="str">
            <v>オフィスツゥトゥー合同会社</v>
          </cell>
          <cell r="AI37" t="str">
            <v>千葉市おゆみ野中央8-17-1</v>
          </cell>
          <cell r="AJ37" t="str">
            <v>代表社員　早水　由美子</v>
          </cell>
          <cell r="AK37" t="str">
            <v>オフィスツゥトゥー合同会社</v>
          </cell>
          <cell r="AL37" t="str">
            <v>千葉市おゆみ野中央8-17-1</v>
          </cell>
          <cell r="AM37" t="str">
            <v>代表社員　早水　由美子</v>
          </cell>
        </row>
        <row r="38">
          <cell r="A38">
            <v>34</v>
          </cell>
          <cell r="B38" t="str">
            <v>リトルガーデンおゆみ野</v>
          </cell>
          <cell r="C38" t="str">
            <v>266-0033</v>
          </cell>
          <cell r="D38" t="str">
            <v>緑区おゆみ野南2-12-1</v>
          </cell>
          <cell r="E38" t="str">
            <v>臼井　桜織</v>
          </cell>
          <cell r="F38" t="str">
            <v>292-6014</v>
          </cell>
          <cell r="G38" t="str">
            <v>292-6014</v>
          </cell>
          <cell r="H38" t="str">
            <v>oyumino@littlegarden-inter.com</v>
          </cell>
          <cell r="I38">
            <v>38437</v>
          </cell>
          <cell r="J38" t="str">
            <v>1F</v>
          </cell>
          <cell r="K38">
            <v>230.61</v>
          </cell>
          <cell r="L38">
            <v>100</v>
          </cell>
          <cell r="M38">
            <v>59</v>
          </cell>
          <cell r="N38" t="str">
            <v>7:00～20:00</v>
          </cell>
          <cell r="O38" t="str">
            <v>76,000～98,000円</v>
          </cell>
          <cell r="P38">
            <v>66000</v>
          </cell>
          <cell r="Q38">
            <v>59000</v>
          </cell>
          <cell r="R38">
            <v>59000</v>
          </cell>
          <cell r="S38">
            <v>78000</v>
          </cell>
          <cell r="T38">
            <v>76000</v>
          </cell>
          <cell r="U38">
            <v>72000</v>
          </cell>
          <cell r="V38">
            <v>86000</v>
          </cell>
          <cell r="W38">
            <v>76000</v>
          </cell>
          <cell r="X38">
            <v>76000</v>
          </cell>
          <cell r="Y38">
            <v>98000</v>
          </cell>
          <cell r="Z38">
            <v>95000</v>
          </cell>
          <cell r="AA38">
            <v>92500</v>
          </cell>
          <cell r="AB38" t="str">
            <v>下の子・１万円引</v>
          </cell>
          <cell r="AC38">
            <v>50000</v>
          </cell>
          <cell r="AD38" t="str">
            <v>施設調理</v>
          </cell>
          <cell r="AE38" t="str">
            <v>×</v>
          </cell>
          <cell r="AF38" t="str">
            <v>○</v>
          </cell>
          <cell r="AG38" t="str">
            <v>合資会社</v>
          </cell>
          <cell r="AH38" t="str">
            <v>無</v>
          </cell>
          <cell r="AI38" t="str">
            <v>個人</v>
          </cell>
          <cell r="AJ38" t="str">
            <v>併用型</v>
          </cell>
          <cell r="AK38" t="str">
            <v>合資会社ライフコミュニケーション</v>
          </cell>
          <cell r="AL38" t="str">
            <v>美浜区中瀬2－6－1　WBGﾏﾘﾌﾞｳｴｽﾄ2F</v>
          </cell>
          <cell r="AM38" t="str">
            <v>無限責任社員　佐々木　豊</v>
          </cell>
        </row>
        <row r="39">
          <cell r="A39">
            <v>35</v>
          </cell>
          <cell r="B39" t="str">
            <v>スクルドエンジェル保育園検見川浜園</v>
          </cell>
          <cell r="C39" t="str">
            <v>261-0011</v>
          </cell>
          <cell r="D39" t="str">
            <v>美浜区真砂3-13-12　BAYPERCH真砂２階</v>
          </cell>
          <cell r="E39" t="str">
            <v>笹原　嘉純</v>
          </cell>
          <cell r="F39" t="str">
            <v>279-3400</v>
          </cell>
          <cell r="G39" t="str">
            <v>279-3400</v>
          </cell>
          <cell r="H39" t="str">
            <v>kemigawahama@skuld-angel.com</v>
          </cell>
          <cell r="I39">
            <v>41246</v>
          </cell>
          <cell r="J39" t="str">
            <v>2F</v>
          </cell>
          <cell r="K39">
            <v>60</v>
          </cell>
          <cell r="L39">
            <v>30</v>
          </cell>
          <cell r="M39">
            <v>27</v>
          </cell>
          <cell r="N39" t="str">
            <v>7:30～19:30</v>
          </cell>
          <cell r="O39" t="str">
            <v>54,000～60,000円</v>
          </cell>
          <cell r="P39">
            <v>55000</v>
          </cell>
          <cell r="Q39">
            <v>53000</v>
          </cell>
          <cell r="R39">
            <v>51000</v>
          </cell>
          <cell r="S39">
            <v>49000</v>
          </cell>
          <cell r="T39">
            <v>49000</v>
          </cell>
          <cell r="U39">
            <v>49000</v>
          </cell>
          <cell r="V39">
            <v>60000</v>
          </cell>
          <cell r="W39">
            <v>58000</v>
          </cell>
          <cell r="X39">
            <v>56000</v>
          </cell>
          <cell r="Y39">
            <v>54000</v>
          </cell>
          <cell r="Z39">
            <v>54000</v>
          </cell>
          <cell r="AA39">
            <v>54000</v>
          </cell>
          <cell r="AB39" t="str">
            <v>上の子・半額</v>
          </cell>
          <cell r="AC39">
            <v>10000</v>
          </cell>
          <cell r="AD39" t="str">
            <v>施設調理</v>
          </cell>
          <cell r="AE39" t="str">
            <v>×</v>
          </cell>
          <cell r="AF39" t="str">
            <v>○</v>
          </cell>
          <cell r="AG39" t="str">
            <v>合同会社</v>
          </cell>
          <cell r="AH39" t="str">
            <v>合同会社　育未来</v>
          </cell>
          <cell r="AI39" t="str">
            <v>静岡県沼津市志下４７３－２</v>
          </cell>
          <cell r="AJ39" t="str">
            <v>代表社員　笹原　嘉純</v>
          </cell>
          <cell r="AK39" t="str">
            <v>合同会社　育未来</v>
          </cell>
          <cell r="AL39" t="str">
            <v>静岡県沼津市志下４７３－２</v>
          </cell>
          <cell r="AM39" t="str">
            <v>代表社員　笹原　嘉純</v>
          </cell>
        </row>
        <row r="40">
          <cell r="A40">
            <v>36</v>
          </cell>
          <cell r="B40" t="str">
            <v>リトルガーデンＷＢＧ</v>
          </cell>
          <cell r="C40" t="str">
            <v>261-7102</v>
          </cell>
          <cell r="D40" t="str">
            <v>美浜区中瀬2-6　WBGﾏﾘﾌﾞｳｪｽﾄ2F</v>
          </cell>
          <cell r="E40" t="str">
            <v>三迫　崇広</v>
          </cell>
          <cell r="F40" t="str">
            <v>351-1630</v>
          </cell>
          <cell r="G40" t="str">
            <v>351-1629</v>
          </cell>
          <cell r="H40" t="str">
            <v>makuhari-wbg@littlegarden-inter.com</v>
          </cell>
          <cell r="I40">
            <v>36965</v>
          </cell>
          <cell r="J40" t="str">
            <v>2F</v>
          </cell>
          <cell r="K40">
            <v>111.1</v>
          </cell>
          <cell r="L40">
            <v>65</v>
          </cell>
          <cell r="M40">
            <v>59</v>
          </cell>
          <cell r="N40" t="str">
            <v>7:00～21:00</v>
          </cell>
          <cell r="O40" t="str">
            <v>66,000～86,000円</v>
          </cell>
          <cell r="P40">
            <v>66000</v>
          </cell>
          <cell r="Q40">
            <v>59000</v>
          </cell>
          <cell r="R40">
            <v>59000</v>
          </cell>
          <cell r="S40">
            <v>57000</v>
          </cell>
          <cell r="T40">
            <v>57000</v>
          </cell>
          <cell r="U40">
            <v>57000</v>
          </cell>
          <cell r="V40">
            <v>86000</v>
          </cell>
          <cell r="W40">
            <v>76000</v>
          </cell>
          <cell r="X40">
            <v>76000</v>
          </cell>
          <cell r="Y40">
            <v>66000</v>
          </cell>
          <cell r="Z40">
            <v>66000</v>
          </cell>
          <cell r="AA40">
            <v>66000</v>
          </cell>
          <cell r="AB40" t="str">
            <v>下の子・1万円引</v>
          </cell>
          <cell r="AC40">
            <v>35000</v>
          </cell>
          <cell r="AD40" t="str">
            <v>施設調理</v>
          </cell>
          <cell r="AE40" t="str">
            <v>○</v>
          </cell>
          <cell r="AF40" t="str">
            <v>○</v>
          </cell>
          <cell r="AG40" t="str">
            <v>合資会社</v>
          </cell>
          <cell r="AH40" t="str">
            <v>無</v>
          </cell>
          <cell r="AI40" t="str">
            <v>個人</v>
          </cell>
          <cell r="AJ40" t="str">
            <v>併用型</v>
          </cell>
          <cell r="AK40" t="str">
            <v>合資会社ライフコミュニケーション</v>
          </cell>
          <cell r="AL40" t="str">
            <v>美浜区中瀬2－6－1　WBGﾏﾘﾌﾞｳｴｽﾄ2F</v>
          </cell>
          <cell r="AM40" t="str">
            <v>無限責任社員　佐々木　豊</v>
          </cell>
        </row>
        <row r="41">
          <cell r="A41">
            <v>37</v>
          </cell>
          <cell r="B41" t="str">
            <v>リトルガーデン幕張</v>
          </cell>
          <cell r="C41" t="str">
            <v>261-0023</v>
          </cell>
          <cell r="D41" t="str">
            <v>美浜区中瀬1-6NTT幕張ﾋﾞﾙ１F</v>
          </cell>
          <cell r="E41" t="str">
            <v>菊池　真弓</v>
          </cell>
          <cell r="F41" t="str">
            <v>351-7670</v>
          </cell>
          <cell r="G41" t="str">
            <v>306-7260</v>
          </cell>
          <cell r="H41" t="str">
            <v xml:space="preserve">makuhari-ntt@littlegarden-inter.com
</v>
          </cell>
          <cell r="I41">
            <v>39174</v>
          </cell>
          <cell r="J41" t="str">
            <v>1F</v>
          </cell>
          <cell r="K41">
            <v>165.44</v>
          </cell>
          <cell r="L41">
            <v>100</v>
          </cell>
          <cell r="M41">
            <v>59</v>
          </cell>
          <cell r="N41" t="str">
            <v>7:00～19:00</v>
          </cell>
          <cell r="O41" t="str">
            <v>76,000～98,000円</v>
          </cell>
          <cell r="P41">
            <v>66000</v>
          </cell>
          <cell r="Q41">
            <v>59000</v>
          </cell>
          <cell r="R41">
            <v>78000</v>
          </cell>
          <cell r="S41">
            <v>76000</v>
          </cell>
          <cell r="T41">
            <v>72000</v>
          </cell>
          <cell r="U41">
            <v>72000</v>
          </cell>
          <cell r="V41">
            <v>86000</v>
          </cell>
          <cell r="W41">
            <v>76000</v>
          </cell>
          <cell r="X41">
            <v>98000</v>
          </cell>
          <cell r="Y41">
            <v>95000</v>
          </cell>
          <cell r="Z41">
            <v>92500</v>
          </cell>
          <cell r="AA41">
            <v>92500</v>
          </cell>
          <cell r="AB41" t="str">
            <v>下の子・1万円引</v>
          </cell>
          <cell r="AC41">
            <v>50000</v>
          </cell>
          <cell r="AD41" t="str">
            <v>施設調理</v>
          </cell>
          <cell r="AE41" t="str">
            <v>×</v>
          </cell>
          <cell r="AF41" t="str">
            <v>○</v>
          </cell>
          <cell r="AG41" t="str">
            <v>合資会社</v>
          </cell>
          <cell r="AH41" t="str">
            <v>無</v>
          </cell>
          <cell r="AI41" t="str">
            <v>個人</v>
          </cell>
          <cell r="AJ41" t="str">
            <v>併用型</v>
          </cell>
          <cell r="AK41" t="str">
            <v>合資会社ライフコミュニケーション</v>
          </cell>
          <cell r="AL41" t="str">
            <v>美浜区中瀬2－6－1　WBGﾏﾘﾌﾞｳｴｽﾄ2F</v>
          </cell>
          <cell r="AM41" t="str">
            <v>無限責任社員　佐々木　豊</v>
          </cell>
        </row>
        <row r="42">
          <cell r="A42" t="str">
            <v>　</v>
          </cell>
        </row>
        <row r="43">
          <cell r="A43" t="str">
            <v>平成２7年度　千葉市先取りP認定施設一覧</v>
          </cell>
        </row>
        <row r="44">
          <cell r="A44">
            <v>39</v>
          </cell>
          <cell r="B44" t="str">
            <v>あい・あい保育園　今井園</v>
          </cell>
          <cell r="C44" t="str">
            <v>260-0834</v>
          </cell>
          <cell r="D44" t="str">
            <v>中央区今井1-17-4</v>
          </cell>
          <cell r="E44" t="str">
            <v>吉田　英子</v>
          </cell>
          <cell r="F44" t="str">
            <v>208-7286</v>
          </cell>
          <cell r="G44" t="str">
            <v>208-7289</v>
          </cell>
          <cell r="H44" t="str">
            <v>imaien@dgb21.com</v>
          </cell>
          <cell r="I44" t="str">
            <v>H22.4</v>
          </cell>
          <cell r="J44" t="str">
            <v>1F</v>
          </cell>
          <cell r="K44">
            <v>47.64</v>
          </cell>
          <cell r="L44">
            <v>20</v>
          </cell>
          <cell r="M44">
            <v>20</v>
          </cell>
          <cell r="N44" t="str">
            <v>7:00～20:00</v>
          </cell>
          <cell r="O44" t="str">
            <v>63,000円</v>
          </cell>
          <cell r="P44">
            <v>53000</v>
          </cell>
          <cell r="Q44">
            <v>53000</v>
          </cell>
          <cell r="R44">
            <v>53000</v>
          </cell>
          <cell r="S44">
            <v>53000</v>
          </cell>
          <cell r="T44">
            <v>53000</v>
          </cell>
          <cell r="U44">
            <v>53000</v>
          </cell>
          <cell r="V44">
            <v>63000</v>
          </cell>
          <cell r="W44">
            <v>63000</v>
          </cell>
          <cell r="X44">
            <v>63000</v>
          </cell>
          <cell r="Y44">
            <v>63000</v>
          </cell>
          <cell r="Z44">
            <v>63000</v>
          </cell>
          <cell r="AA44">
            <v>63000</v>
          </cell>
          <cell r="AB44" t="str">
            <v>上の子・半額</v>
          </cell>
          <cell r="AC44">
            <v>20000</v>
          </cell>
          <cell r="AD44" t="str">
            <v>施設調理</v>
          </cell>
          <cell r="AE44" t="str">
            <v>×</v>
          </cell>
          <cell r="AF44" t="str">
            <v>○</v>
          </cell>
          <cell r="AG44" t="str">
            <v>株式会社</v>
          </cell>
          <cell r="AH44" t="str">
            <v>（株）global bridge</v>
          </cell>
          <cell r="AI44" t="str">
            <v>東京都墨田区亀沢4-5-4　プルームビル2階</v>
          </cell>
          <cell r="AJ44" t="str">
            <v>代表取締役　貞松　成</v>
          </cell>
          <cell r="AK44" t="str">
            <v>（株）global bridge</v>
          </cell>
          <cell r="AL44" t="str">
            <v>東京都墨田区亀沢4-5-4　プルームビル2階</v>
          </cell>
          <cell r="AM44" t="str">
            <v>代表取締役　貞松　成</v>
          </cell>
        </row>
        <row r="45">
          <cell r="A45">
            <v>40</v>
          </cell>
          <cell r="B45" t="str">
            <v>そがチャイルドハウス</v>
          </cell>
          <cell r="C45" t="str">
            <v>260-0842</v>
          </cell>
          <cell r="D45" t="str">
            <v>中央区南町3-12-1</v>
          </cell>
          <cell r="E45" t="str">
            <v>藤原　一美</v>
          </cell>
          <cell r="F45" t="str">
            <v>488-5445</v>
          </cell>
          <cell r="G45" t="str">
            <v>488-5445</v>
          </cell>
          <cell r="H45" t="str">
            <v>spu25zr9@bell.ocn.ne.jp</v>
          </cell>
          <cell r="I45" t="str">
            <v>H21.4</v>
          </cell>
          <cell r="J45" t="str">
            <v>1F</v>
          </cell>
          <cell r="K45">
            <v>80.61</v>
          </cell>
          <cell r="L45">
            <v>24</v>
          </cell>
          <cell r="M45">
            <v>24</v>
          </cell>
          <cell r="N45" t="str">
            <v>7:00～19:00</v>
          </cell>
          <cell r="O45" t="str">
            <v>50,000～65,000円</v>
          </cell>
          <cell r="P45">
            <v>45000</v>
          </cell>
          <cell r="Q45">
            <v>40000</v>
          </cell>
          <cell r="R45">
            <v>40000</v>
          </cell>
          <cell r="S45">
            <v>35000</v>
          </cell>
          <cell r="T45">
            <v>30000</v>
          </cell>
          <cell r="U45">
            <v>30000</v>
          </cell>
          <cell r="V45">
            <v>65000</v>
          </cell>
          <cell r="W45">
            <v>60000</v>
          </cell>
          <cell r="X45">
            <v>60000</v>
          </cell>
          <cell r="Y45">
            <v>55000</v>
          </cell>
          <cell r="Z45">
            <v>50000</v>
          </cell>
          <cell r="AA45">
            <v>50000</v>
          </cell>
          <cell r="AB45" t="str">
            <v>上の子・１万円引</v>
          </cell>
          <cell r="AC45">
            <v>10000</v>
          </cell>
          <cell r="AD45" t="str">
            <v>施設調理</v>
          </cell>
          <cell r="AE45" t="str">
            <v>×</v>
          </cell>
          <cell r="AF45" t="str">
            <v>○</v>
          </cell>
          <cell r="AG45" t="str">
            <v>NPO法人</v>
          </cell>
          <cell r="AH45" t="str">
            <v>NPO法人　すこやかキッズ</v>
          </cell>
          <cell r="AI45" t="str">
            <v>茂原市緑が丘1-48-11</v>
          </cell>
          <cell r="AJ45" t="str">
            <v>理事長　若菜　敬子</v>
          </cell>
          <cell r="AK45" t="str">
            <v>NPO法人　すこやかキッズ</v>
          </cell>
          <cell r="AL45" t="str">
            <v>茂原市緑が丘1-48-11</v>
          </cell>
          <cell r="AM45" t="str">
            <v>理事長　若菜　敬子</v>
          </cell>
        </row>
        <row r="46">
          <cell r="A46">
            <v>41</v>
          </cell>
          <cell r="B46" t="str">
            <v>チャイルドタイム千葉寺エンゼルホーム</v>
          </cell>
          <cell r="C46" t="str">
            <v>260-0844</v>
          </cell>
          <cell r="D46" t="str">
            <v>中央区千葉寺町886-1　ﾀﾞｲｱﾊﾟﾚｽﾋﾙﾄｯﾌﾟｴﾌ千葉寺駅前204</v>
          </cell>
          <cell r="E46" t="str">
            <v>大泉　章子</v>
          </cell>
          <cell r="F46" t="str">
            <v>268-1153</v>
          </cell>
          <cell r="G46" t="str">
            <v>309-5005</v>
          </cell>
          <cell r="H46" t="str">
            <v>chibadera@sand.ocn.ne.jp</v>
          </cell>
          <cell r="I46" t="str">
            <v>H13.4</v>
          </cell>
          <cell r="J46" t="str">
            <v>2F</v>
          </cell>
          <cell r="K46">
            <v>84.12</v>
          </cell>
          <cell r="L46">
            <v>35</v>
          </cell>
          <cell r="M46">
            <v>35</v>
          </cell>
          <cell r="N46" t="str">
            <v>7:00～20:00</v>
          </cell>
          <cell r="O46" t="str">
            <v>67,800～87,800円</v>
          </cell>
          <cell r="P46">
            <v>65800</v>
          </cell>
          <cell r="Q46">
            <v>62800</v>
          </cell>
          <cell r="R46">
            <v>59800</v>
          </cell>
          <cell r="S46">
            <v>57800</v>
          </cell>
          <cell r="T46">
            <v>55800</v>
          </cell>
          <cell r="U46">
            <v>53800</v>
          </cell>
          <cell r="V46">
            <v>87800</v>
          </cell>
          <cell r="W46">
            <v>83800</v>
          </cell>
          <cell r="X46">
            <v>79800</v>
          </cell>
          <cell r="Y46">
            <v>73800</v>
          </cell>
          <cell r="Z46">
            <v>71800</v>
          </cell>
          <cell r="AA46">
            <v>67800</v>
          </cell>
          <cell r="AB46" t="str">
            <v>上の子・１万円引</v>
          </cell>
          <cell r="AC46">
            <v>10000</v>
          </cell>
          <cell r="AD46" t="str">
            <v>施設調理</v>
          </cell>
          <cell r="AE46" t="str">
            <v>×</v>
          </cell>
          <cell r="AF46" t="str">
            <v>○</v>
          </cell>
          <cell r="AG46" t="str">
            <v>株式会社</v>
          </cell>
          <cell r="AH46" t="str">
            <v>（株）チャイルドタイム</v>
          </cell>
          <cell r="AI46" t="str">
            <v>東京都八王子市明神町4-7-3　やまとビル6F</v>
          </cell>
          <cell r="AJ46" t="str">
            <v>代表取締役　毎熊　嘉郎</v>
          </cell>
          <cell r="AK46" t="str">
            <v>（株）チャイルドタイム</v>
          </cell>
          <cell r="AL46" t="str">
            <v>東京都八王子市明神町4-7-3　やまとビル6F</v>
          </cell>
          <cell r="AM46" t="str">
            <v>代表取締役　毎熊　嘉郎</v>
          </cell>
        </row>
        <row r="47">
          <cell r="A47">
            <v>42</v>
          </cell>
          <cell r="B47" t="str">
            <v>まほろば保育所</v>
          </cell>
          <cell r="C47" t="str">
            <v>260-0001</v>
          </cell>
          <cell r="D47" t="str">
            <v>中央区都町2-13-1　ﾊﾟｰｸｱﾍﾞﾆｭｰ103</v>
          </cell>
          <cell r="E47" t="str">
            <v>原岡　愛弥</v>
          </cell>
          <cell r="F47" t="str">
            <v>231-0080</v>
          </cell>
          <cell r="G47" t="str">
            <v>231-0080</v>
          </cell>
          <cell r="H47" t="str">
            <v>miyako020610@ybb.ne.jp</v>
          </cell>
          <cell r="I47" t="str">
            <v>H14.6</v>
          </cell>
          <cell r="J47" t="str">
            <v>1F</v>
          </cell>
          <cell r="K47">
            <v>67.900000000000006</v>
          </cell>
          <cell r="L47">
            <v>24</v>
          </cell>
          <cell r="M47">
            <v>24</v>
          </cell>
          <cell r="N47" t="str">
            <v>7:00～20:00</v>
          </cell>
          <cell r="O47" t="str">
            <v>48,500～58,500円</v>
          </cell>
          <cell r="P47">
            <v>48500</v>
          </cell>
          <cell r="Q47">
            <v>48500</v>
          </cell>
          <cell r="R47">
            <v>48500</v>
          </cell>
          <cell r="S47">
            <v>48500</v>
          </cell>
          <cell r="T47">
            <v>38500</v>
          </cell>
          <cell r="U47">
            <v>38500</v>
          </cell>
          <cell r="V47">
            <v>58500</v>
          </cell>
          <cell r="W47">
            <v>58500</v>
          </cell>
          <cell r="X47">
            <v>58500</v>
          </cell>
          <cell r="Y47">
            <v>58500</v>
          </cell>
          <cell r="Z47">
            <v>48500</v>
          </cell>
          <cell r="AA47">
            <v>48500</v>
          </cell>
          <cell r="AB47" t="str">
            <v>上の子・半額</v>
          </cell>
          <cell r="AC47">
            <v>10000</v>
          </cell>
          <cell r="AD47" t="str">
            <v>施設調理</v>
          </cell>
          <cell r="AE47" t="str">
            <v>×</v>
          </cell>
          <cell r="AF47" t="str">
            <v>○</v>
          </cell>
          <cell r="AG47" t="str">
            <v>個人</v>
          </cell>
          <cell r="AH47" t="str">
            <v>千葉市中央区都町1-52-9　ルミエール102</v>
          </cell>
          <cell r="AI47" t="str">
            <v>橘原　隆之</v>
          </cell>
          <cell r="AL47" t="str">
            <v>千葉市中央区都町1-52-9　ルミエール102</v>
          </cell>
          <cell r="AM47" t="str">
            <v>橘原　隆之</v>
          </cell>
        </row>
        <row r="48">
          <cell r="A48">
            <v>43</v>
          </cell>
          <cell r="B48" t="str">
            <v>キッズルームぴょんぴょん</v>
          </cell>
          <cell r="C48" t="str">
            <v>262-0045</v>
          </cell>
          <cell r="D48" t="str">
            <v>花見川区作新台1-6-11</v>
          </cell>
          <cell r="E48" t="str">
            <v>矢島　祐子</v>
          </cell>
          <cell r="F48" t="str">
            <v>257-6730</v>
          </cell>
          <cell r="G48" t="str">
            <v>257-6730</v>
          </cell>
          <cell r="H48" t="str">
            <v>yuko-kiku@ams.odn.ne.jp</v>
          </cell>
          <cell r="I48" t="str">
            <v>H19.6</v>
          </cell>
          <cell r="J48" t="str">
            <v>1F</v>
          </cell>
          <cell r="K48">
            <v>50.74</v>
          </cell>
          <cell r="L48">
            <v>20</v>
          </cell>
          <cell r="M48">
            <v>20</v>
          </cell>
          <cell r="N48" t="str">
            <v>7:00～19:00</v>
          </cell>
          <cell r="O48" t="str">
            <v>59,000～85,000円</v>
          </cell>
          <cell r="P48">
            <v>65000</v>
          </cell>
          <cell r="Q48">
            <v>60000</v>
          </cell>
          <cell r="R48">
            <v>57000</v>
          </cell>
          <cell r="S48">
            <v>56000</v>
          </cell>
          <cell r="T48">
            <v>45000</v>
          </cell>
          <cell r="U48">
            <v>45000</v>
          </cell>
          <cell r="V48">
            <v>85000</v>
          </cell>
          <cell r="W48">
            <v>80000</v>
          </cell>
          <cell r="X48">
            <v>72000</v>
          </cell>
          <cell r="Y48">
            <v>70000</v>
          </cell>
          <cell r="Z48">
            <v>59000</v>
          </cell>
          <cell r="AA48">
            <v>59000</v>
          </cell>
          <cell r="AB48" t="str">
            <v>上の子・半額</v>
          </cell>
          <cell r="AC48">
            <v>3000</v>
          </cell>
          <cell r="AD48" t="str">
            <v>施設調理</v>
          </cell>
          <cell r="AE48" t="str">
            <v>×</v>
          </cell>
          <cell r="AF48" t="str">
            <v>○</v>
          </cell>
          <cell r="AG48" t="str">
            <v>個人</v>
          </cell>
          <cell r="AH48" t="str">
            <v>千葉市花見川区作新台1-6-11</v>
          </cell>
          <cell r="AI48" t="str">
            <v>矢島　祐子</v>
          </cell>
          <cell r="AL48" t="str">
            <v>千葉市花見川区作新台1-6-11</v>
          </cell>
          <cell r="AM48" t="str">
            <v>矢島　祐子</v>
          </cell>
        </row>
        <row r="49">
          <cell r="A49">
            <v>44</v>
          </cell>
          <cell r="B49" t="str">
            <v>キッズルームＫＯＲＵ</v>
          </cell>
          <cell r="C49" t="str">
            <v>263-0043</v>
          </cell>
          <cell r="D49" t="str">
            <v>稲毛区小仲台2-8-25　第8横土ﾋﾞﾙ1F</v>
          </cell>
          <cell r="E49" t="str">
            <v>横土　ノリ子</v>
          </cell>
          <cell r="F49" t="str">
            <v>251-0220</v>
          </cell>
          <cell r="G49" t="str">
            <v>306-5269</v>
          </cell>
          <cell r="H49" t="str">
            <v>yokodo@peach.ocn.ne.jp</v>
          </cell>
          <cell r="I49" t="str">
            <v>H17.3</v>
          </cell>
          <cell r="J49" t="str">
            <v>1F</v>
          </cell>
          <cell r="K49">
            <v>76.3</v>
          </cell>
          <cell r="L49">
            <v>34</v>
          </cell>
          <cell r="M49">
            <v>34</v>
          </cell>
          <cell r="N49" t="str">
            <v>7:00～19:00</v>
          </cell>
          <cell r="O49" t="str">
            <v>61,250～71,750円</v>
          </cell>
          <cell r="P49">
            <v>61750</v>
          </cell>
          <cell r="Q49">
            <v>61750</v>
          </cell>
          <cell r="R49">
            <v>61750</v>
          </cell>
          <cell r="S49">
            <v>61750</v>
          </cell>
          <cell r="T49">
            <v>56250</v>
          </cell>
          <cell r="U49">
            <v>56250</v>
          </cell>
          <cell r="V49">
            <v>71750</v>
          </cell>
          <cell r="W49">
            <v>71750</v>
          </cell>
          <cell r="X49">
            <v>71750</v>
          </cell>
          <cell r="Y49">
            <v>71750</v>
          </cell>
          <cell r="Z49">
            <v>61250</v>
          </cell>
          <cell r="AA49">
            <v>61250</v>
          </cell>
          <cell r="AB49" t="str">
            <v>上の子・１万円引</v>
          </cell>
          <cell r="AC49">
            <v>10000</v>
          </cell>
          <cell r="AD49" t="str">
            <v>施設調理</v>
          </cell>
          <cell r="AE49" t="str">
            <v>×</v>
          </cell>
          <cell r="AF49" t="str">
            <v>○</v>
          </cell>
          <cell r="AG49" t="str">
            <v>株式会社</v>
          </cell>
          <cell r="AH49" t="str">
            <v>（株）KORU</v>
          </cell>
          <cell r="AI49" t="str">
            <v>千葉市稲毛区小仲台2-8-25　第8横土ビル1F</v>
          </cell>
          <cell r="AJ49" t="str">
            <v>代表取締役　横土　ノリ子</v>
          </cell>
          <cell r="AK49" t="str">
            <v>（株）KORU</v>
          </cell>
          <cell r="AL49" t="str">
            <v>千葉市稲毛区小仲台2-8-25　第8横土ビル1F</v>
          </cell>
          <cell r="AM49" t="str">
            <v>代表取締役　横土　ノリ子</v>
          </cell>
        </row>
        <row r="50">
          <cell r="A50">
            <v>45</v>
          </cell>
          <cell r="B50" t="str">
            <v>たくみん保育園</v>
          </cell>
          <cell r="C50" t="str">
            <v>264-0006</v>
          </cell>
          <cell r="D50" t="str">
            <v>若葉区小倉台4-19-2</v>
          </cell>
          <cell r="E50" t="str">
            <v>小甲　明子</v>
          </cell>
          <cell r="F50" t="str">
            <v>214-2711</v>
          </cell>
          <cell r="G50" t="str">
            <v>214-2711</v>
          </cell>
          <cell r="H50" t="str">
            <v>info@takumin.jp</v>
          </cell>
          <cell r="I50" t="str">
            <v>H17.3</v>
          </cell>
          <cell r="J50" t="str">
            <v>1F</v>
          </cell>
          <cell r="K50">
            <v>69.83</v>
          </cell>
          <cell r="L50">
            <v>24</v>
          </cell>
          <cell r="M50">
            <v>24</v>
          </cell>
          <cell r="N50" t="str">
            <v>7:00～19:00</v>
          </cell>
          <cell r="O50" t="str">
            <v>53,000～58,000円</v>
          </cell>
          <cell r="P50">
            <v>43000</v>
          </cell>
          <cell r="Q50">
            <v>43000</v>
          </cell>
          <cell r="R50">
            <v>43000</v>
          </cell>
          <cell r="S50">
            <v>38000</v>
          </cell>
          <cell r="T50">
            <v>38000</v>
          </cell>
          <cell r="U50">
            <v>38000</v>
          </cell>
          <cell r="V50">
            <v>58000</v>
          </cell>
          <cell r="W50">
            <v>58000</v>
          </cell>
          <cell r="X50">
            <v>58000</v>
          </cell>
          <cell r="Y50">
            <v>53000</v>
          </cell>
          <cell r="Z50">
            <v>53000</v>
          </cell>
          <cell r="AA50">
            <v>53000</v>
          </cell>
          <cell r="AB50" t="str">
            <v>下の子・半額</v>
          </cell>
          <cell r="AC50">
            <v>5000</v>
          </cell>
          <cell r="AD50" t="str">
            <v>施設調理</v>
          </cell>
          <cell r="AE50" t="str">
            <v>×</v>
          </cell>
          <cell r="AF50" t="str">
            <v>●</v>
          </cell>
          <cell r="AG50" t="str">
            <v>社会福祉法人</v>
          </cell>
          <cell r="AH50" t="str">
            <v>（福）大きな家族</v>
          </cell>
          <cell r="AI50" t="str">
            <v>千葉市中央区問屋町13-5</v>
          </cell>
          <cell r="AJ50" t="str">
            <v>理事長　間山　有子</v>
          </cell>
          <cell r="AK50" t="str">
            <v>（福）大きな家族</v>
          </cell>
          <cell r="AL50" t="str">
            <v>千葉市中央区問屋町13-5</v>
          </cell>
          <cell r="AM50" t="str">
            <v>理事長　間山　有子</v>
          </cell>
        </row>
        <row r="51">
          <cell r="A51">
            <v>46</v>
          </cell>
          <cell r="B51" t="str">
            <v>マミー＆ミー西都賀</v>
          </cell>
          <cell r="C51" t="str">
            <v>264-0026</v>
          </cell>
          <cell r="D51" t="str">
            <v>若葉区西都賀3-20-3　ｼﾊﾞﾀﾊｲﾂ都賀１Ｆ</v>
          </cell>
          <cell r="E51" t="str">
            <v>小林　美由起</v>
          </cell>
          <cell r="F51" t="str">
            <v>290-5860</v>
          </cell>
          <cell r="G51" t="str">
            <v>290-5861</v>
          </cell>
          <cell r="H51" t="str">
            <v>kouno@spinaldesign.co.jp</v>
          </cell>
          <cell r="I51" t="str">
            <v>H19.3</v>
          </cell>
          <cell r="J51" t="str">
            <v>1F</v>
          </cell>
          <cell r="K51">
            <v>62.99</v>
          </cell>
          <cell r="L51">
            <v>20</v>
          </cell>
          <cell r="M51">
            <v>20</v>
          </cell>
          <cell r="N51" t="str">
            <v>7:00～18:00</v>
          </cell>
          <cell r="O51" t="str">
            <v>58,000～64,000円</v>
          </cell>
          <cell r="P51">
            <v>54000</v>
          </cell>
          <cell r="Q51">
            <v>48000</v>
          </cell>
          <cell r="R51">
            <v>48000</v>
          </cell>
          <cell r="S51">
            <v>52000</v>
          </cell>
          <cell r="T51">
            <v>52000</v>
          </cell>
          <cell r="U51">
            <v>52000</v>
          </cell>
          <cell r="V51">
            <v>64000</v>
          </cell>
          <cell r="W51">
            <v>58000</v>
          </cell>
          <cell r="X51">
            <v>58000</v>
          </cell>
          <cell r="Y51">
            <v>62000</v>
          </cell>
          <cell r="Z51">
            <v>62000</v>
          </cell>
          <cell r="AA51">
            <v>62000</v>
          </cell>
          <cell r="AB51" t="str">
            <v>上の子・１万円引</v>
          </cell>
          <cell r="AC51">
            <v>10000</v>
          </cell>
          <cell r="AD51" t="str">
            <v>施設調理</v>
          </cell>
          <cell r="AE51" t="str">
            <v>×</v>
          </cell>
          <cell r="AF51" t="str">
            <v>○</v>
          </cell>
          <cell r="AG51" t="str">
            <v>株式会社</v>
          </cell>
          <cell r="AH51" t="str">
            <v>（株）SPINAL　DESIGN</v>
          </cell>
          <cell r="AI51" t="str">
            <v>東京都江東区青海2-7-4-810</v>
          </cell>
          <cell r="AJ51" t="str">
            <v>代表取締役　藤本　賢</v>
          </cell>
          <cell r="AK51" t="str">
            <v>（株）SPINAL　DESIGN</v>
          </cell>
          <cell r="AL51" t="str">
            <v>東京都江東区青海2-7-4-810</v>
          </cell>
          <cell r="AM51" t="str">
            <v>代表取締役　藤本　賢</v>
          </cell>
        </row>
        <row r="52">
          <cell r="A52">
            <v>47</v>
          </cell>
          <cell r="B52" t="str">
            <v>ミルキーホーム都賀園</v>
          </cell>
          <cell r="C52" t="str">
            <v>264-0025</v>
          </cell>
          <cell r="D52" t="str">
            <v>若葉区都賀3-12-3　ﾌﾟﾗﾄｰ都賀102</v>
          </cell>
          <cell r="E52" t="str">
            <v>久保　隆</v>
          </cell>
          <cell r="F52" t="str">
            <v>235-1077</v>
          </cell>
          <cell r="G52" t="str">
            <v>235-1077</v>
          </cell>
          <cell r="H52" t="str">
            <v>mi@ssss.co.jp</v>
          </cell>
          <cell r="I52" t="str">
            <v>H14.4</v>
          </cell>
          <cell r="J52" t="str">
            <v>1F</v>
          </cell>
          <cell r="K52">
            <v>69.680000000000007</v>
          </cell>
          <cell r="L52">
            <v>28</v>
          </cell>
          <cell r="M52">
            <v>28</v>
          </cell>
          <cell r="N52" t="str">
            <v>7:00～21:00</v>
          </cell>
          <cell r="O52" t="str">
            <v>46,550～60,550円</v>
          </cell>
          <cell r="P52">
            <v>46600</v>
          </cell>
          <cell r="Q52">
            <v>42600</v>
          </cell>
          <cell r="R52">
            <v>42600</v>
          </cell>
          <cell r="S52">
            <v>36800</v>
          </cell>
          <cell r="T52">
            <v>36800</v>
          </cell>
          <cell r="U52">
            <v>36800</v>
          </cell>
          <cell r="V52">
            <v>60550</v>
          </cell>
          <cell r="W52">
            <v>56550</v>
          </cell>
          <cell r="X52">
            <v>56550</v>
          </cell>
          <cell r="Y52">
            <v>46550</v>
          </cell>
          <cell r="Z52">
            <v>46550</v>
          </cell>
          <cell r="AA52">
            <v>46550</v>
          </cell>
          <cell r="AB52" t="str">
            <v>ケース別に異なるため記載困難</v>
          </cell>
          <cell r="AC52">
            <v>13000</v>
          </cell>
          <cell r="AD52" t="str">
            <v>施設調理</v>
          </cell>
          <cell r="AE52" t="str">
            <v>○</v>
          </cell>
          <cell r="AF52" t="str">
            <v>●</v>
          </cell>
          <cell r="AG52" t="str">
            <v>株式会社</v>
          </cell>
          <cell r="AH52" t="str">
            <v>（株）ハッピーナース</v>
          </cell>
          <cell r="AI52" t="str">
            <v>柏市増尾台3－6－41</v>
          </cell>
          <cell r="AJ52" t="str">
            <v>岡崎　玲子</v>
          </cell>
          <cell r="AK52" t="str">
            <v>（株）ハッピーナース</v>
          </cell>
          <cell r="AL52" t="str">
            <v>柏市増尾台3－6－41</v>
          </cell>
          <cell r="AM52" t="str">
            <v>岡崎　玲子</v>
          </cell>
        </row>
        <row r="53">
          <cell r="A53">
            <v>48</v>
          </cell>
          <cell r="B53" t="str">
            <v>やまどり保育園</v>
          </cell>
          <cell r="C53" t="str">
            <v>264-0025</v>
          </cell>
          <cell r="D53" t="str">
            <v>若葉区都賀2-12-11 技工ﾋﾞﾙ１F</v>
          </cell>
          <cell r="E53" t="str">
            <v>鳥山　弘章</v>
          </cell>
          <cell r="F53" t="str">
            <v>214-5730</v>
          </cell>
          <cell r="G53" t="str">
            <v>214-5735</v>
          </cell>
          <cell r="H53" t="str">
            <v xml:space="preserve">yamadori500321@yahoo.co.jp
</v>
          </cell>
          <cell r="I53">
            <v>39055</v>
          </cell>
          <cell r="J53" t="str">
            <v>1・2F</v>
          </cell>
          <cell r="K53">
            <v>192.24</v>
          </cell>
          <cell r="L53">
            <v>59</v>
          </cell>
          <cell r="M53">
            <v>59</v>
          </cell>
          <cell r="N53" t="str">
            <v>7:00～21:00</v>
          </cell>
          <cell r="O53" t="str">
            <v>52,500～57,000円</v>
          </cell>
          <cell r="P53">
            <v>47000</v>
          </cell>
          <cell r="Q53">
            <v>42500</v>
          </cell>
          <cell r="R53">
            <v>42500</v>
          </cell>
          <cell r="S53">
            <v>42500</v>
          </cell>
          <cell r="T53">
            <v>42500</v>
          </cell>
          <cell r="U53">
            <v>42500</v>
          </cell>
          <cell r="V53">
            <v>57000</v>
          </cell>
          <cell r="W53">
            <v>52500</v>
          </cell>
          <cell r="X53">
            <v>52500</v>
          </cell>
          <cell r="Y53">
            <v>52500</v>
          </cell>
          <cell r="Z53">
            <v>52500</v>
          </cell>
          <cell r="AA53">
            <v>52500</v>
          </cell>
          <cell r="AB53" t="str">
            <v>上の子・１万円引</v>
          </cell>
          <cell r="AC53">
            <v>5000</v>
          </cell>
          <cell r="AD53" t="str">
            <v>施設調理</v>
          </cell>
          <cell r="AE53" t="str">
            <v>×</v>
          </cell>
          <cell r="AF53" t="str">
            <v>○</v>
          </cell>
          <cell r="AG53" t="str">
            <v>株式会社</v>
          </cell>
          <cell r="AH53" t="str">
            <v>無</v>
          </cell>
          <cell r="AI53" t="str">
            <v>民間会社</v>
          </cell>
          <cell r="AJ53" t="str">
            <v>併用型</v>
          </cell>
          <cell r="AK53" t="str">
            <v>（株）TORIコーポレーション</v>
          </cell>
          <cell r="AL53" t="str">
            <v>千葉市若葉区都賀2-12-11 技工ﾋﾞﾙ3F</v>
          </cell>
          <cell r="AM53" t="str">
            <v>代表取締役　鳥山　弘章</v>
          </cell>
        </row>
        <row r="54">
          <cell r="A54">
            <v>49</v>
          </cell>
          <cell r="B54" t="str">
            <v>かるがも保育園鎌取駅前園</v>
          </cell>
          <cell r="C54" t="str">
            <v>266-0031</v>
          </cell>
          <cell r="D54" t="str">
            <v>緑区おゆみ野3-10-7</v>
          </cell>
          <cell r="E54" t="str">
            <v>平松　弥穂</v>
          </cell>
          <cell r="F54" t="str">
            <v>292-8349</v>
          </cell>
          <cell r="G54" t="str">
            <v>292-8349</v>
          </cell>
          <cell r="H54" t="str">
            <v>rnqsc984@ybb.ne.jp</v>
          </cell>
          <cell r="I54" t="str">
            <v>H14.4</v>
          </cell>
          <cell r="J54" t="str">
            <v>1・2F</v>
          </cell>
          <cell r="K54">
            <v>195.03</v>
          </cell>
          <cell r="L54">
            <v>59</v>
          </cell>
          <cell r="M54">
            <v>59</v>
          </cell>
          <cell r="N54" t="str">
            <v>7:00～20:00</v>
          </cell>
          <cell r="O54" t="str">
            <v>60,700～85,500円</v>
          </cell>
          <cell r="P54">
            <v>64500</v>
          </cell>
          <cell r="Q54">
            <v>54500</v>
          </cell>
          <cell r="R54">
            <v>54500</v>
          </cell>
          <cell r="S54">
            <v>53700</v>
          </cell>
          <cell r="T54">
            <v>53700</v>
          </cell>
          <cell r="U54">
            <v>53700</v>
          </cell>
          <cell r="V54">
            <v>85500</v>
          </cell>
          <cell r="W54">
            <v>75500</v>
          </cell>
          <cell r="X54">
            <v>75500</v>
          </cell>
          <cell r="Y54">
            <v>60700</v>
          </cell>
          <cell r="Z54">
            <v>60700</v>
          </cell>
          <cell r="AA54">
            <v>60700</v>
          </cell>
          <cell r="AB54" t="str">
            <v>上の子・１万円引</v>
          </cell>
          <cell r="AC54">
            <v>20000</v>
          </cell>
          <cell r="AD54" t="str">
            <v>施設調理</v>
          </cell>
          <cell r="AE54" t="str">
            <v>○</v>
          </cell>
          <cell r="AF54" t="str">
            <v>○</v>
          </cell>
          <cell r="AG54" t="str">
            <v>株式会社</v>
          </cell>
          <cell r="AH54" t="str">
            <v>株式会社　かるがも</v>
          </cell>
          <cell r="AI54" t="str">
            <v>四街道市四街道1-5-5</v>
          </cell>
          <cell r="AJ54" t="str">
            <v>代表取締役　目片智恵美</v>
          </cell>
          <cell r="AK54" t="str">
            <v>株式会社　かるがも</v>
          </cell>
          <cell r="AL54" t="str">
            <v>四街道市四街道1-5-5</v>
          </cell>
          <cell r="AM54" t="str">
            <v>代表取締役　目片智恵美</v>
          </cell>
        </row>
        <row r="55">
          <cell r="A55">
            <v>50</v>
          </cell>
          <cell r="B55" t="str">
            <v>かるがも保育園鎌取小がも園</v>
          </cell>
          <cell r="C55" t="str">
            <v>266-0031</v>
          </cell>
          <cell r="D55" t="str">
            <v>緑区おゆみ野4-23-2</v>
          </cell>
          <cell r="E55" t="str">
            <v>古澤　由美子</v>
          </cell>
          <cell r="F55" t="str">
            <v>300-1152</v>
          </cell>
          <cell r="G55" t="str">
            <v>300-1152</v>
          </cell>
          <cell r="H55" t="str">
            <v>rnqsc985@ybb.ne.jp</v>
          </cell>
          <cell r="I55" t="str">
            <v>H17.1</v>
          </cell>
          <cell r="J55" t="str">
            <v>1F</v>
          </cell>
          <cell r="K55">
            <v>100.66</v>
          </cell>
          <cell r="L55">
            <v>36</v>
          </cell>
          <cell r="M55">
            <v>36</v>
          </cell>
          <cell r="N55" t="str">
            <v>7:00～20:00</v>
          </cell>
          <cell r="O55" t="str">
            <v>60,700～85,500円</v>
          </cell>
          <cell r="P55">
            <v>64500</v>
          </cell>
          <cell r="Q55">
            <v>54500</v>
          </cell>
          <cell r="R55">
            <v>54500</v>
          </cell>
          <cell r="S55">
            <v>53700</v>
          </cell>
          <cell r="T55">
            <v>53700</v>
          </cell>
          <cell r="U55">
            <v>53700</v>
          </cell>
          <cell r="V55">
            <v>85500</v>
          </cell>
          <cell r="W55">
            <v>75500</v>
          </cell>
          <cell r="X55">
            <v>75500</v>
          </cell>
          <cell r="Y55">
            <v>60700</v>
          </cell>
          <cell r="Z55">
            <v>60700</v>
          </cell>
          <cell r="AA55">
            <v>60700</v>
          </cell>
          <cell r="AB55" t="str">
            <v>上の子・１万円引</v>
          </cell>
          <cell r="AC55">
            <v>20000</v>
          </cell>
          <cell r="AD55" t="str">
            <v>施設調理</v>
          </cell>
          <cell r="AE55" t="str">
            <v>○</v>
          </cell>
          <cell r="AF55" t="str">
            <v>○</v>
          </cell>
          <cell r="AG55" t="str">
            <v>株式会社</v>
          </cell>
          <cell r="AH55" t="str">
            <v>株式会社　かるがも</v>
          </cell>
          <cell r="AI55" t="str">
            <v>四街道市四街道1-5-5</v>
          </cell>
          <cell r="AJ55" t="str">
            <v>代表取締役　目片智恵美</v>
          </cell>
          <cell r="AK55" t="str">
            <v>株式会社　かるがも</v>
          </cell>
          <cell r="AL55" t="str">
            <v>四街道市四街道1-5-5</v>
          </cell>
          <cell r="AM55" t="str">
            <v>代表取締役　目片智恵美</v>
          </cell>
        </row>
        <row r="56">
          <cell r="A56">
            <v>51</v>
          </cell>
          <cell r="B56" t="str">
            <v>子どものまきば保育園</v>
          </cell>
          <cell r="C56" t="str">
            <v>267-0061</v>
          </cell>
          <cell r="D56" t="str">
            <v>緑区土気町630-8</v>
          </cell>
          <cell r="E56" t="str">
            <v>宗像　正雄</v>
          </cell>
          <cell r="F56" t="str">
            <v>295-3349</v>
          </cell>
          <cell r="G56" t="str">
            <v>295-3349</v>
          </cell>
          <cell r="H56" t="str">
            <v>X90machan-shopping@yahoo.co.jp</v>
          </cell>
          <cell r="I56" t="str">
            <v>H15.2</v>
          </cell>
          <cell r="J56" t="str">
            <v>1F</v>
          </cell>
          <cell r="K56">
            <v>61.7</v>
          </cell>
          <cell r="L56">
            <v>31</v>
          </cell>
          <cell r="M56">
            <v>31</v>
          </cell>
          <cell r="N56" t="str">
            <v>7:00～19:00</v>
          </cell>
          <cell r="O56" t="str">
            <v>59,600～79,600円</v>
          </cell>
          <cell r="P56">
            <v>36000</v>
          </cell>
          <cell r="Q56">
            <v>42600</v>
          </cell>
          <cell r="R56">
            <v>40600</v>
          </cell>
          <cell r="S56">
            <v>39600</v>
          </cell>
          <cell r="T56">
            <v>39600</v>
          </cell>
          <cell r="U56">
            <v>39600</v>
          </cell>
          <cell r="V56">
            <v>77000</v>
          </cell>
          <cell r="W56">
            <v>79600</v>
          </cell>
          <cell r="X56">
            <v>75600</v>
          </cell>
          <cell r="Y56">
            <v>59600</v>
          </cell>
          <cell r="Z56">
            <v>59600</v>
          </cell>
          <cell r="AA56">
            <v>59600</v>
          </cell>
          <cell r="AB56" t="str">
            <v>上の子・１万円引</v>
          </cell>
          <cell r="AC56">
            <v>20000</v>
          </cell>
          <cell r="AD56" t="str">
            <v>施設調理</v>
          </cell>
          <cell r="AE56" t="str">
            <v>×</v>
          </cell>
          <cell r="AF56" t="str">
            <v>○</v>
          </cell>
          <cell r="AG56" t="str">
            <v>株式会社</v>
          </cell>
          <cell r="AH56" t="str">
            <v>ジェー・エス・テー株式会社</v>
          </cell>
          <cell r="AI56" t="str">
            <v>千葉市緑区土気町630-1</v>
          </cell>
          <cell r="AJ56" t="str">
            <v>代表取締役　星　恵子</v>
          </cell>
          <cell r="AK56" t="str">
            <v>ジェー・エス・テー株式会社</v>
          </cell>
          <cell r="AL56" t="str">
            <v>千葉市緑区土気町630-1</v>
          </cell>
          <cell r="AM56" t="str">
            <v>代表取締役　星　恵子</v>
          </cell>
        </row>
        <row r="57">
          <cell r="A57">
            <v>52</v>
          </cell>
          <cell r="B57" t="str">
            <v>キッズ・ガーデン　海浜幕張</v>
          </cell>
          <cell r="C57" t="str">
            <v>261-0021</v>
          </cell>
          <cell r="D57" t="str">
            <v>美浜区ひび野2－1－1　QVCスクエア2階</v>
          </cell>
          <cell r="E57" t="str">
            <v>井手　健二郎</v>
          </cell>
          <cell r="F57" t="str">
            <v>306-6288</v>
          </cell>
          <cell r="G57" t="str">
            <v>306-6287</v>
          </cell>
          <cell r="H57" t="str">
            <v>ide@kids-garden.co.jp</v>
          </cell>
          <cell r="I57" t="str">
            <v>H25,4</v>
          </cell>
          <cell r="J57" t="str">
            <v>2F</v>
          </cell>
          <cell r="K57">
            <v>152.27000000000001</v>
          </cell>
          <cell r="L57">
            <v>59</v>
          </cell>
          <cell r="M57">
            <v>59</v>
          </cell>
          <cell r="N57" t="str">
            <v>7:00～19:00</v>
          </cell>
          <cell r="O57" t="str">
            <v>68,800～73,800円</v>
          </cell>
          <cell r="P57">
            <v>83800</v>
          </cell>
          <cell r="Q57">
            <v>83800</v>
          </cell>
          <cell r="R57">
            <v>83800</v>
          </cell>
          <cell r="S57">
            <v>78800</v>
          </cell>
          <cell r="T57">
            <v>78800</v>
          </cell>
          <cell r="U57">
            <v>78800</v>
          </cell>
          <cell r="V57">
            <v>88800</v>
          </cell>
          <cell r="W57">
            <v>88800</v>
          </cell>
          <cell r="X57">
            <v>88800</v>
          </cell>
          <cell r="Y57">
            <v>83800</v>
          </cell>
          <cell r="Z57">
            <v>83800</v>
          </cell>
          <cell r="AA57">
            <v>83800</v>
          </cell>
          <cell r="AB57" t="str">
            <v>下の子3割引き</v>
          </cell>
          <cell r="AC57">
            <v>15000</v>
          </cell>
          <cell r="AD57" t="str">
            <v>施設調理</v>
          </cell>
          <cell r="AE57" t="str">
            <v>×</v>
          </cell>
          <cell r="AF57" t="str">
            <v>●</v>
          </cell>
          <cell r="AG57" t="str">
            <v>株式会社</v>
          </cell>
          <cell r="AH57" t="str">
            <v>(株)生活設計</v>
          </cell>
          <cell r="AI57" t="str">
            <v>八千代市勝田1247-6</v>
          </cell>
          <cell r="AJ57" t="str">
            <v>代表取締役　井手　健二郎</v>
          </cell>
          <cell r="AK57" t="str">
            <v>(株)生活設計</v>
          </cell>
          <cell r="AL57" t="str">
            <v>八千代市勝田1247-6</v>
          </cell>
          <cell r="AM57" t="str">
            <v>代表取締役　井手　健二郎</v>
          </cell>
        </row>
        <row r="58">
          <cell r="A58">
            <v>53</v>
          </cell>
          <cell r="B58" t="str">
            <v>なのはな保育所幸町ルーム</v>
          </cell>
          <cell r="C58" t="str">
            <v>261-0001</v>
          </cell>
          <cell r="D58" t="str">
            <v>美浜区幸町1-16-5　ｶﾈｼｮｳﾋﾞﾙ2F</v>
          </cell>
          <cell r="E58" t="str">
            <v>岡別府　陽子</v>
          </cell>
          <cell r="F58" t="str">
            <v>248-2478</v>
          </cell>
          <cell r="G58" t="str">
            <v>248-2478</v>
          </cell>
          <cell r="H58" t="str">
            <v>staff@nanohana-hoiku.com</v>
          </cell>
          <cell r="I58" t="str">
            <v>H17.9</v>
          </cell>
          <cell r="J58" t="str">
            <v>2F</v>
          </cell>
          <cell r="K58">
            <v>73</v>
          </cell>
          <cell r="L58">
            <v>27</v>
          </cell>
          <cell r="M58">
            <v>27</v>
          </cell>
          <cell r="N58" t="str">
            <v>7:00～20:00</v>
          </cell>
          <cell r="O58" t="str">
            <v>43,000～70,000円</v>
          </cell>
          <cell r="P58">
            <v>55000</v>
          </cell>
          <cell r="Q58">
            <v>45000</v>
          </cell>
          <cell r="R58">
            <v>37000</v>
          </cell>
          <cell r="S58">
            <v>34000</v>
          </cell>
          <cell r="T58">
            <v>30000</v>
          </cell>
          <cell r="U58">
            <v>30000</v>
          </cell>
          <cell r="V58">
            <v>70000</v>
          </cell>
          <cell r="W58">
            <v>60000</v>
          </cell>
          <cell r="X58">
            <v>55000</v>
          </cell>
          <cell r="Y58">
            <v>45000</v>
          </cell>
          <cell r="Z58">
            <v>43000</v>
          </cell>
          <cell r="AA58">
            <v>43000</v>
          </cell>
          <cell r="AB58" t="str">
            <v>下の子2万円引き</v>
          </cell>
          <cell r="AC58">
            <v>10000</v>
          </cell>
          <cell r="AD58" t="str">
            <v>施設調理</v>
          </cell>
          <cell r="AE58" t="str">
            <v>×</v>
          </cell>
          <cell r="AF58" t="str">
            <v>○</v>
          </cell>
          <cell r="AG58" t="str">
            <v>株式会社</v>
          </cell>
          <cell r="AH58" t="str">
            <v>（株）なのはな</v>
          </cell>
          <cell r="AI58" t="str">
            <v>千葉市美浜区幸町1-16-5　ｶﾈｼｮｳﾋﾞﾙ2F</v>
          </cell>
          <cell r="AJ58" t="str">
            <v>代表取締役　薮崎　流美子</v>
          </cell>
          <cell r="AK58" t="str">
            <v>（株）なのはな</v>
          </cell>
          <cell r="AL58" t="str">
            <v>千葉市美浜区幸町1-16-5　ｶﾈｼｮｳﾋﾞﾙ2F</v>
          </cell>
          <cell r="AM58" t="str">
            <v>代表取締役　薮崎　流美子</v>
          </cell>
        </row>
        <row r="60">
          <cell r="A60" t="str">
            <v>平成２６年度　認可外保育施設一覧（保育ルーム・先P除く）</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omments" Target="../comments3.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5A57-7E92-4980-AAC8-40DE5CB101B6}">
  <sheetPr>
    <tabColor rgb="FF00B050"/>
  </sheetPr>
  <dimension ref="B2:F42"/>
  <sheetViews>
    <sheetView topLeftCell="A17" zoomScaleNormal="100" workbookViewId="0">
      <selection activeCell="B4" sqref="B4:C24"/>
    </sheetView>
  </sheetViews>
  <sheetFormatPr defaultRowHeight="15"/>
  <cols>
    <col min="1" max="1" width="8.6640625" style="609"/>
    <col min="2" max="2" width="10" style="609" customWidth="1"/>
    <col min="3" max="3" width="85.9140625" style="609" customWidth="1"/>
    <col min="4" max="4" width="8.6640625" style="609"/>
    <col min="5" max="5" width="8.25" style="609" customWidth="1"/>
    <col min="6" max="6" width="84.58203125" style="609" customWidth="1"/>
    <col min="7" max="16384" width="8.6640625" style="609"/>
  </cols>
  <sheetData>
    <row r="2" spans="2:3">
      <c r="B2" s="609" t="s">
        <v>1743</v>
      </c>
    </row>
    <row r="4" spans="2:3">
      <c r="B4" s="599" t="s">
        <v>343</v>
      </c>
      <c r="C4" s="599"/>
    </row>
    <row r="5" spans="2:3">
      <c r="B5" s="599"/>
      <c r="C5" s="599"/>
    </row>
    <row r="6" spans="2:3" ht="18" customHeight="1">
      <c r="B6" s="635" t="s">
        <v>1737</v>
      </c>
      <c r="C6" s="635"/>
    </row>
    <row r="7" spans="2:3">
      <c r="B7" s="599" t="s">
        <v>1738</v>
      </c>
      <c r="C7" s="599"/>
    </row>
    <row r="8" spans="2:3">
      <c r="B8" s="607" t="s">
        <v>317</v>
      </c>
      <c r="C8" s="607" t="s">
        <v>318</v>
      </c>
    </row>
    <row r="9" spans="2:3" ht="18" customHeight="1">
      <c r="B9" s="600" t="s">
        <v>362</v>
      </c>
      <c r="C9" s="602" t="s">
        <v>672</v>
      </c>
    </row>
    <row r="10" spans="2:3" ht="18" customHeight="1">
      <c r="B10" s="600" t="s">
        <v>671</v>
      </c>
      <c r="C10" s="602" t="s">
        <v>673</v>
      </c>
    </row>
    <row r="11" spans="2:3" ht="18" customHeight="1">
      <c r="B11" s="600" t="s">
        <v>1058</v>
      </c>
      <c r="C11" s="602" t="s">
        <v>1117</v>
      </c>
    </row>
    <row r="12" spans="2:3" ht="18" customHeight="1">
      <c r="B12" s="600" t="s">
        <v>1059</v>
      </c>
      <c r="C12" s="602" t="s">
        <v>708</v>
      </c>
    </row>
    <row r="13" spans="2:3" ht="46" customHeight="1">
      <c r="B13" s="600" t="s">
        <v>1060</v>
      </c>
      <c r="C13" s="602" t="s">
        <v>1068</v>
      </c>
    </row>
    <row r="14" spans="2:3" ht="18" customHeight="1">
      <c r="B14" s="601" t="s">
        <v>674</v>
      </c>
      <c r="C14" s="602" t="s">
        <v>366</v>
      </c>
    </row>
    <row r="15" spans="2:3" ht="18" customHeight="1">
      <c r="B15" s="601" t="s">
        <v>1064</v>
      </c>
      <c r="C15" s="602" t="s">
        <v>1069</v>
      </c>
    </row>
    <row r="16" spans="2:3" ht="37" customHeight="1">
      <c r="B16" s="601" t="s">
        <v>1082</v>
      </c>
      <c r="C16" s="602" t="s">
        <v>1083</v>
      </c>
    </row>
    <row r="17" spans="2:6" ht="31.5" customHeight="1">
      <c r="B17" s="601" t="s">
        <v>1730</v>
      </c>
      <c r="C17" s="602" t="s">
        <v>372</v>
      </c>
    </row>
    <row r="18" spans="2:6" ht="31.5" customHeight="1">
      <c r="B18" s="601" t="s">
        <v>1731</v>
      </c>
      <c r="C18" s="602" t="s">
        <v>371</v>
      </c>
    </row>
    <row r="19" spans="2:6" ht="31.5" customHeight="1">
      <c r="B19" s="601" t="s">
        <v>1732</v>
      </c>
      <c r="C19" s="602" t="s">
        <v>373</v>
      </c>
    </row>
    <row r="20" spans="2:6" ht="18" customHeight="1">
      <c r="B20" s="601" t="s">
        <v>1733</v>
      </c>
      <c r="C20" s="602" t="s">
        <v>374</v>
      </c>
    </row>
    <row r="21" spans="2:6" ht="31.5" customHeight="1">
      <c r="B21" s="601" t="s">
        <v>1734</v>
      </c>
      <c r="C21" s="602" t="s">
        <v>1555</v>
      </c>
    </row>
    <row r="22" spans="2:6" ht="18" customHeight="1">
      <c r="B22" s="601" t="s">
        <v>1729</v>
      </c>
      <c r="C22" s="602" t="s">
        <v>1739</v>
      </c>
    </row>
    <row r="23" spans="2:6" ht="18" customHeight="1">
      <c r="B23" s="601" t="s">
        <v>1735</v>
      </c>
      <c r="C23" s="602" t="s">
        <v>675</v>
      </c>
    </row>
    <row r="24" spans="2:6" ht="18" customHeight="1">
      <c r="B24" s="601" t="s">
        <v>1736</v>
      </c>
      <c r="C24" s="602" t="s">
        <v>676</v>
      </c>
    </row>
    <row r="26" spans="2:6">
      <c r="E26" s="609" t="s">
        <v>1744</v>
      </c>
    </row>
    <row r="28" spans="2:6" ht="19.5" customHeight="1">
      <c r="E28" s="610" t="s">
        <v>349</v>
      </c>
      <c r="F28" s="611"/>
    </row>
    <row r="29" spans="2:6" ht="19.5" customHeight="1">
      <c r="E29" s="610" t="s">
        <v>350</v>
      </c>
      <c r="F29" s="610"/>
    </row>
    <row r="30" spans="2:6" ht="19.5" customHeight="1">
      <c r="E30" s="610" t="s">
        <v>376</v>
      </c>
      <c r="F30" s="610"/>
    </row>
    <row r="31" spans="2:6" ht="70" customHeight="1">
      <c r="E31" s="612" t="s">
        <v>877</v>
      </c>
      <c r="F31" s="613" t="s">
        <v>1745</v>
      </c>
    </row>
    <row r="32" spans="2:6" ht="51.5" customHeight="1">
      <c r="E32" s="612" t="s">
        <v>1078</v>
      </c>
      <c r="F32" s="613" t="s">
        <v>1746</v>
      </c>
    </row>
    <row r="34" spans="5:6">
      <c r="E34" s="609" t="s">
        <v>1747</v>
      </c>
    </row>
    <row r="36" spans="5:6" ht="19.5" customHeight="1">
      <c r="E36" s="610" t="s">
        <v>349</v>
      </c>
      <c r="F36" s="610"/>
    </row>
    <row r="37" spans="5:6" ht="19.5" customHeight="1">
      <c r="E37" s="610" t="s">
        <v>353</v>
      </c>
      <c r="F37" s="610"/>
    </row>
    <row r="38" spans="5:6" ht="19.5" customHeight="1">
      <c r="E38" s="610" t="s">
        <v>376</v>
      </c>
      <c r="F38" s="610"/>
    </row>
    <row r="39" spans="5:6" ht="60">
      <c r="E39" s="612" t="s">
        <v>323</v>
      </c>
      <c r="F39" s="613" t="s">
        <v>1748</v>
      </c>
    </row>
    <row r="40" spans="5:6" ht="45">
      <c r="E40" s="612" t="s">
        <v>355</v>
      </c>
      <c r="F40" s="613" t="s">
        <v>1746</v>
      </c>
    </row>
    <row r="41" spans="5:6" ht="45">
      <c r="E41" s="612" t="s">
        <v>722</v>
      </c>
      <c r="F41" s="613" t="s">
        <v>1749</v>
      </c>
    </row>
    <row r="42" spans="5:6" ht="45">
      <c r="E42" s="612" t="s">
        <v>723</v>
      </c>
      <c r="F42" s="613" t="s">
        <v>1750</v>
      </c>
    </row>
  </sheetData>
  <mergeCells count="1">
    <mergeCell ref="B6:C6"/>
  </mergeCells>
  <phoneticPr fontId="1"/>
  <pageMargins left="0.7" right="0.7" top="0.75" bottom="0.75" header="0.3" footer="0.3"/>
  <pageSetup paperSize="9" scale="66" orientation="landscape" r:id="rId1"/>
  <rowBreaks count="1" manualBreakCount="1">
    <brk id="25" max="14" man="1"/>
  </rowBreaks>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A94C-6DB1-4DCD-AC5B-6D65E447C892}">
  <sheetPr>
    <pageSetUpPr fitToPage="1"/>
  </sheetPr>
  <dimension ref="A1:K31"/>
  <sheetViews>
    <sheetView tabSelected="1" view="pageBreakPreview" zoomScaleNormal="85" zoomScaleSheetLayoutView="100" workbookViewId="0">
      <selection activeCell="A3" sqref="A3:K3"/>
    </sheetView>
  </sheetViews>
  <sheetFormatPr defaultRowHeight="16.5"/>
  <cols>
    <col min="1" max="1" width="5.08203125" style="157" customWidth="1"/>
    <col min="2" max="3" width="9" style="157"/>
    <col min="4" max="4" width="5.08203125" style="157" customWidth="1"/>
    <col min="5" max="10" width="9" style="157"/>
    <col min="11" max="11" width="8.25" style="157" customWidth="1"/>
    <col min="12" max="256" width="9" style="157"/>
    <col min="257" max="257" width="5.08203125" style="157" customWidth="1"/>
    <col min="258" max="259" width="9" style="157"/>
    <col min="260" max="260" width="5.08203125" style="157" customWidth="1"/>
    <col min="261" max="266" width="9" style="157"/>
    <col min="267" max="267" width="8.25" style="157" customWidth="1"/>
    <col min="268" max="512" width="9" style="157"/>
    <col min="513" max="513" width="5.08203125" style="157" customWidth="1"/>
    <col min="514" max="515" width="9" style="157"/>
    <col min="516" max="516" width="5.08203125" style="157" customWidth="1"/>
    <col min="517" max="522" width="9" style="157"/>
    <col min="523" max="523" width="8.25" style="157" customWidth="1"/>
    <col min="524" max="768" width="9" style="157"/>
    <col min="769" max="769" width="5.08203125" style="157" customWidth="1"/>
    <col min="770" max="771" width="9" style="157"/>
    <col min="772" max="772" width="5.08203125" style="157" customWidth="1"/>
    <col min="773" max="778" width="9" style="157"/>
    <col min="779" max="779" width="8.25" style="157" customWidth="1"/>
    <col min="780" max="1024" width="9" style="157"/>
    <col min="1025" max="1025" width="5.08203125" style="157" customWidth="1"/>
    <col min="1026" max="1027" width="9" style="157"/>
    <col min="1028" max="1028" width="5.08203125" style="157" customWidth="1"/>
    <col min="1029" max="1034" width="9" style="157"/>
    <col min="1035" max="1035" width="8.25" style="157" customWidth="1"/>
    <col min="1036" max="1280" width="9" style="157"/>
    <col min="1281" max="1281" width="5.08203125" style="157" customWidth="1"/>
    <col min="1282" max="1283" width="9" style="157"/>
    <col min="1284" max="1284" width="5.08203125" style="157" customWidth="1"/>
    <col min="1285" max="1290" width="9" style="157"/>
    <col min="1291" max="1291" width="8.25" style="157" customWidth="1"/>
    <col min="1292" max="1536" width="9" style="157"/>
    <col min="1537" max="1537" width="5.08203125" style="157" customWidth="1"/>
    <col min="1538" max="1539" width="9" style="157"/>
    <col min="1540" max="1540" width="5.08203125" style="157" customWidth="1"/>
    <col min="1541" max="1546" width="9" style="157"/>
    <col min="1547" max="1547" width="8.25" style="157" customWidth="1"/>
    <col min="1548" max="1792" width="9" style="157"/>
    <col min="1793" max="1793" width="5.08203125" style="157" customWidth="1"/>
    <col min="1794" max="1795" width="9" style="157"/>
    <col min="1796" max="1796" width="5.08203125" style="157" customWidth="1"/>
    <col min="1797" max="1802" width="9" style="157"/>
    <col min="1803" max="1803" width="8.25" style="157" customWidth="1"/>
    <col min="1804" max="2048" width="9" style="157"/>
    <col min="2049" max="2049" width="5.08203125" style="157" customWidth="1"/>
    <col min="2050" max="2051" width="9" style="157"/>
    <col min="2052" max="2052" width="5.08203125" style="157" customWidth="1"/>
    <col min="2053" max="2058" width="9" style="157"/>
    <col min="2059" max="2059" width="8.25" style="157" customWidth="1"/>
    <col min="2060" max="2304" width="9" style="157"/>
    <col min="2305" max="2305" width="5.08203125" style="157" customWidth="1"/>
    <col min="2306" max="2307" width="9" style="157"/>
    <col min="2308" max="2308" width="5.08203125" style="157" customWidth="1"/>
    <col min="2309" max="2314" width="9" style="157"/>
    <col min="2315" max="2315" width="8.25" style="157" customWidth="1"/>
    <col min="2316" max="2560" width="9" style="157"/>
    <col min="2561" max="2561" width="5.08203125" style="157" customWidth="1"/>
    <col min="2562" max="2563" width="9" style="157"/>
    <col min="2564" max="2564" width="5.08203125" style="157" customWidth="1"/>
    <col min="2565" max="2570" width="9" style="157"/>
    <col min="2571" max="2571" width="8.25" style="157" customWidth="1"/>
    <col min="2572" max="2816" width="9" style="157"/>
    <col min="2817" max="2817" width="5.08203125" style="157" customWidth="1"/>
    <col min="2818" max="2819" width="9" style="157"/>
    <col min="2820" max="2820" width="5.08203125" style="157" customWidth="1"/>
    <col min="2821" max="2826" width="9" style="157"/>
    <col min="2827" max="2827" width="8.25" style="157" customWidth="1"/>
    <col min="2828" max="3072" width="9" style="157"/>
    <col min="3073" max="3073" width="5.08203125" style="157" customWidth="1"/>
    <col min="3074" max="3075" width="9" style="157"/>
    <col min="3076" max="3076" width="5.08203125" style="157" customWidth="1"/>
    <col min="3077" max="3082" width="9" style="157"/>
    <col min="3083" max="3083" width="8.25" style="157" customWidth="1"/>
    <col min="3084" max="3328" width="9" style="157"/>
    <col min="3329" max="3329" width="5.08203125" style="157" customWidth="1"/>
    <col min="3330" max="3331" width="9" style="157"/>
    <col min="3332" max="3332" width="5.08203125" style="157" customWidth="1"/>
    <col min="3333" max="3338" width="9" style="157"/>
    <col min="3339" max="3339" width="8.25" style="157" customWidth="1"/>
    <col min="3340" max="3584" width="9" style="157"/>
    <col min="3585" max="3585" width="5.08203125" style="157" customWidth="1"/>
    <col min="3586" max="3587" width="9" style="157"/>
    <col min="3588" max="3588" width="5.08203125" style="157" customWidth="1"/>
    <col min="3589" max="3594" width="9" style="157"/>
    <col min="3595" max="3595" width="8.25" style="157" customWidth="1"/>
    <col min="3596" max="3840" width="9" style="157"/>
    <col min="3841" max="3841" width="5.08203125" style="157" customWidth="1"/>
    <col min="3842" max="3843" width="9" style="157"/>
    <col min="3844" max="3844" width="5.08203125" style="157" customWidth="1"/>
    <col min="3845" max="3850" width="9" style="157"/>
    <col min="3851" max="3851" width="8.25" style="157" customWidth="1"/>
    <col min="3852" max="4096" width="9" style="157"/>
    <col min="4097" max="4097" width="5.08203125" style="157" customWidth="1"/>
    <col min="4098" max="4099" width="9" style="157"/>
    <col min="4100" max="4100" width="5.08203125" style="157" customWidth="1"/>
    <col min="4101" max="4106" width="9" style="157"/>
    <col min="4107" max="4107" width="8.25" style="157" customWidth="1"/>
    <col min="4108" max="4352" width="9" style="157"/>
    <col min="4353" max="4353" width="5.08203125" style="157" customWidth="1"/>
    <col min="4354" max="4355" width="9" style="157"/>
    <col min="4356" max="4356" width="5.08203125" style="157" customWidth="1"/>
    <col min="4357" max="4362" width="9" style="157"/>
    <col min="4363" max="4363" width="8.25" style="157" customWidth="1"/>
    <col min="4364" max="4608" width="9" style="157"/>
    <col min="4609" max="4609" width="5.08203125" style="157" customWidth="1"/>
    <col min="4610" max="4611" width="9" style="157"/>
    <col min="4612" max="4612" width="5.08203125" style="157" customWidth="1"/>
    <col min="4613" max="4618" width="9" style="157"/>
    <col min="4619" max="4619" width="8.25" style="157" customWidth="1"/>
    <col min="4620" max="4864" width="9" style="157"/>
    <col min="4865" max="4865" width="5.08203125" style="157" customWidth="1"/>
    <col min="4866" max="4867" width="9" style="157"/>
    <col min="4868" max="4868" width="5.08203125" style="157" customWidth="1"/>
    <col min="4869" max="4874" width="9" style="157"/>
    <col min="4875" max="4875" width="8.25" style="157" customWidth="1"/>
    <col min="4876" max="5120" width="9" style="157"/>
    <col min="5121" max="5121" width="5.08203125" style="157" customWidth="1"/>
    <col min="5122" max="5123" width="9" style="157"/>
    <col min="5124" max="5124" width="5.08203125" style="157" customWidth="1"/>
    <col min="5125" max="5130" width="9" style="157"/>
    <col min="5131" max="5131" width="8.25" style="157" customWidth="1"/>
    <col min="5132" max="5376" width="9" style="157"/>
    <col min="5377" max="5377" width="5.08203125" style="157" customWidth="1"/>
    <col min="5378" max="5379" width="9" style="157"/>
    <col min="5380" max="5380" width="5.08203125" style="157" customWidth="1"/>
    <col min="5381" max="5386" width="9" style="157"/>
    <col min="5387" max="5387" width="8.25" style="157" customWidth="1"/>
    <col min="5388" max="5632" width="9" style="157"/>
    <col min="5633" max="5633" width="5.08203125" style="157" customWidth="1"/>
    <col min="5634" max="5635" width="9" style="157"/>
    <col min="5636" max="5636" width="5.08203125" style="157" customWidth="1"/>
    <col min="5637" max="5642" width="9" style="157"/>
    <col min="5643" max="5643" width="8.25" style="157" customWidth="1"/>
    <col min="5644" max="5888" width="9" style="157"/>
    <col min="5889" max="5889" width="5.08203125" style="157" customWidth="1"/>
    <col min="5890" max="5891" width="9" style="157"/>
    <col min="5892" max="5892" width="5.08203125" style="157" customWidth="1"/>
    <col min="5893" max="5898" width="9" style="157"/>
    <col min="5899" max="5899" width="8.25" style="157" customWidth="1"/>
    <col min="5900" max="6144" width="9" style="157"/>
    <col min="6145" max="6145" width="5.08203125" style="157" customWidth="1"/>
    <col min="6146" max="6147" width="9" style="157"/>
    <col min="6148" max="6148" width="5.08203125" style="157" customWidth="1"/>
    <col min="6149" max="6154" width="9" style="157"/>
    <col min="6155" max="6155" width="8.25" style="157" customWidth="1"/>
    <col min="6156" max="6400" width="9" style="157"/>
    <col min="6401" max="6401" width="5.08203125" style="157" customWidth="1"/>
    <col min="6402" max="6403" width="9" style="157"/>
    <col min="6404" max="6404" width="5.08203125" style="157" customWidth="1"/>
    <col min="6405" max="6410" width="9" style="157"/>
    <col min="6411" max="6411" width="8.25" style="157" customWidth="1"/>
    <col min="6412" max="6656" width="9" style="157"/>
    <col min="6657" max="6657" width="5.08203125" style="157" customWidth="1"/>
    <col min="6658" max="6659" width="9" style="157"/>
    <col min="6660" max="6660" width="5.08203125" style="157" customWidth="1"/>
    <col min="6661" max="6666" width="9" style="157"/>
    <col min="6667" max="6667" width="8.25" style="157" customWidth="1"/>
    <col min="6668" max="6912" width="9" style="157"/>
    <col min="6913" max="6913" width="5.08203125" style="157" customWidth="1"/>
    <col min="6914" max="6915" width="9" style="157"/>
    <col min="6916" max="6916" width="5.08203125" style="157" customWidth="1"/>
    <col min="6917" max="6922" width="9" style="157"/>
    <col min="6923" max="6923" width="8.25" style="157" customWidth="1"/>
    <col min="6924" max="7168" width="9" style="157"/>
    <col min="7169" max="7169" width="5.08203125" style="157" customWidth="1"/>
    <col min="7170" max="7171" width="9" style="157"/>
    <col min="7172" max="7172" width="5.08203125" style="157" customWidth="1"/>
    <col min="7173" max="7178" width="9" style="157"/>
    <col min="7179" max="7179" width="8.25" style="157" customWidth="1"/>
    <col min="7180" max="7424" width="9" style="157"/>
    <col min="7425" max="7425" width="5.08203125" style="157" customWidth="1"/>
    <col min="7426" max="7427" width="9" style="157"/>
    <col min="7428" max="7428" width="5.08203125" style="157" customWidth="1"/>
    <col min="7429" max="7434" width="9" style="157"/>
    <col min="7435" max="7435" width="8.25" style="157" customWidth="1"/>
    <col min="7436" max="7680" width="9" style="157"/>
    <col min="7681" max="7681" width="5.08203125" style="157" customWidth="1"/>
    <col min="7682" max="7683" width="9" style="157"/>
    <col min="7684" max="7684" width="5.08203125" style="157" customWidth="1"/>
    <col min="7685" max="7690" width="9" style="157"/>
    <col min="7691" max="7691" width="8.25" style="157" customWidth="1"/>
    <col min="7692" max="7936" width="9" style="157"/>
    <col min="7937" max="7937" width="5.08203125" style="157" customWidth="1"/>
    <col min="7938" max="7939" width="9" style="157"/>
    <col min="7940" max="7940" width="5.08203125" style="157" customWidth="1"/>
    <col min="7941" max="7946" width="9" style="157"/>
    <col min="7947" max="7947" width="8.25" style="157" customWidth="1"/>
    <col min="7948" max="8192" width="9" style="157"/>
    <col min="8193" max="8193" width="5.08203125" style="157" customWidth="1"/>
    <col min="8194" max="8195" width="9" style="157"/>
    <col min="8196" max="8196" width="5.08203125" style="157" customWidth="1"/>
    <col min="8197" max="8202" width="9" style="157"/>
    <col min="8203" max="8203" width="8.25" style="157" customWidth="1"/>
    <col min="8204" max="8448" width="9" style="157"/>
    <col min="8449" max="8449" width="5.08203125" style="157" customWidth="1"/>
    <col min="8450" max="8451" width="9" style="157"/>
    <col min="8452" max="8452" width="5.08203125" style="157" customWidth="1"/>
    <col min="8453" max="8458" width="9" style="157"/>
    <col min="8459" max="8459" width="8.25" style="157" customWidth="1"/>
    <col min="8460" max="8704" width="9" style="157"/>
    <col min="8705" max="8705" width="5.08203125" style="157" customWidth="1"/>
    <col min="8706" max="8707" width="9" style="157"/>
    <col min="8708" max="8708" width="5.08203125" style="157" customWidth="1"/>
    <col min="8709" max="8714" width="9" style="157"/>
    <col min="8715" max="8715" width="8.25" style="157" customWidth="1"/>
    <col min="8716" max="8960" width="9" style="157"/>
    <col min="8961" max="8961" width="5.08203125" style="157" customWidth="1"/>
    <col min="8962" max="8963" width="9" style="157"/>
    <col min="8964" max="8964" width="5.08203125" style="157" customWidth="1"/>
    <col min="8965" max="8970" width="9" style="157"/>
    <col min="8971" max="8971" width="8.25" style="157" customWidth="1"/>
    <col min="8972" max="9216" width="9" style="157"/>
    <col min="9217" max="9217" width="5.08203125" style="157" customWidth="1"/>
    <col min="9218" max="9219" width="9" style="157"/>
    <col min="9220" max="9220" width="5.08203125" style="157" customWidth="1"/>
    <col min="9221" max="9226" width="9" style="157"/>
    <col min="9227" max="9227" width="8.25" style="157" customWidth="1"/>
    <col min="9228" max="9472" width="9" style="157"/>
    <col min="9473" max="9473" width="5.08203125" style="157" customWidth="1"/>
    <col min="9474" max="9475" width="9" style="157"/>
    <col min="9476" max="9476" width="5.08203125" style="157" customWidth="1"/>
    <col min="9477" max="9482" width="9" style="157"/>
    <col min="9483" max="9483" width="8.25" style="157" customWidth="1"/>
    <col min="9484" max="9728" width="9" style="157"/>
    <col min="9729" max="9729" width="5.08203125" style="157" customWidth="1"/>
    <col min="9730" max="9731" width="9" style="157"/>
    <col min="9732" max="9732" width="5.08203125" style="157" customWidth="1"/>
    <col min="9733" max="9738" width="9" style="157"/>
    <col min="9739" max="9739" width="8.25" style="157" customWidth="1"/>
    <col min="9740" max="9984" width="9" style="157"/>
    <col min="9985" max="9985" width="5.08203125" style="157" customWidth="1"/>
    <col min="9986" max="9987" width="9" style="157"/>
    <col min="9988" max="9988" width="5.08203125" style="157" customWidth="1"/>
    <col min="9989" max="9994" width="9" style="157"/>
    <col min="9995" max="9995" width="8.25" style="157" customWidth="1"/>
    <col min="9996" max="10240" width="9" style="157"/>
    <col min="10241" max="10241" width="5.08203125" style="157" customWidth="1"/>
    <col min="10242" max="10243" width="9" style="157"/>
    <col min="10244" max="10244" width="5.08203125" style="157" customWidth="1"/>
    <col min="10245" max="10250" width="9" style="157"/>
    <col min="10251" max="10251" width="8.25" style="157" customWidth="1"/>
    <col min="10252" max="10496" width="9" style="157"/>
    <col min="10497" max="10497" width="5.08203125" style="157" customWidth="1"/>
    <col min="10498" max="10499" width="9" style="157"/>
    <col min="10500" max="10500" width="5.08203125" style="157" customWidth="1"/>
    <col min="10501" max="10506" width="9" style="157"/>
    <col min="10507" max="10507" width="8.25" style="157" customWidth="1"/>
    <col min="10508" max="10752" width="9" style="157"/>
    <col min="10753" max="10753" width="5.08203125" style="157" customWidth="1"/>
    <col min="10754" max="10755" width="9" style="157"/>
    <col min="10756" max="10756" width="5.08203125" style="157" customWidth="1"/>
    <col min="10757" max="10762" width="9" style="157"/>
    <col min="10763" max="10763" width="8.25" style="157" customWidth="1"/>
    <col min="10764" max="11008" width="9" style="157"/>
    <col min="11009" max="11009" width="5.08203125" style="157" customWidth="1"/>
    <col min="11010" max="11011" width="9" style="157"/>
    <col min="11012" max="11012" width="5.08203125" style="157" customWidth="1"/>
    <col min="11013" max="11018" width="9" style="157"/>
    <col min="11019" max="11019" width="8.25" style="157" customWidth="1"/>
    <col min="11020" max="11264" width="9" style="157"/>
    <col min="11265" max="11265" width="5.08203125" style="157" customWidth="1"/>
    <col min="11266" max="11267" width="9" style="157"/>
    <col min="11268" max="11268" width="5.08203125" style="157" customWidth="1"/>
    <col min="11269" max="11274" width="9" style="157"/>
    <col min="11275" max="11275" width="8.25" style="157" customWidth="1"/>
    <col min="11276" max="11520" width="9" style="157"/>
    <col min="11521" max="11521" width="5.08203125" style="157" customWidth="1"/>
    <col min="11522" max="11523" width="9" style="157"/>
    <col min="11524" max="11524" width="5.08203125" style="157" customWidth="1"/>
    <col min="11525" max="11530" width="9" style="157"/>
    <col min="11531" max="11531" width="8.25" style="157" customWidth="1"/>
    <col min="11532" max="11776" width="9" style="157"/>
    <col min="11777" max="11777" width="5.08203125" style="157" customWidth="1"/>
    <col min="11778" max="11779" width="9" style="157"/>
    <col min="11780" max="11780" width="5.08203125" style="157" customWidth="1"/>
    <col min="11781" max="11786" width="9" style="157"/>
    <col min="11787" max="11787" width="8.25" style="157" customWidth="1"/>
    <col min="11788" max="12032" width="9" style="157"/>
    <col min="12033" max="12033" width="5.08203125" style="157" customWidth="1"/>
    <col min="12034" max="12035" width="9" style="157"/>
    <col min="12036" max="12036" width="5.08203125" style="157" customWidth="1"/>
    <col min="12037" max="12042" width="9" style="157"/>
    <col min="12043" max="12043" width="8.25" style="157" customWidth="1"/>
    <col min="12044" max="12288" width="9" style="157"/>
    <col min="12289" max="12289" width="5.08203125" style="157" customWidth="1"/>
    <col min="12290" max="12291" width="9" style="157"/>
    <col min="12292" max="12292" width="5.08203125" style="157" customWidth="1"/>
    <col min="12293" max="12298" width="9" style="157"/>
    <col min="12299" max="12299" width="8.25" style="157" customWidth="1"/>
    <col min="12300" max="12544" width="9" style="157"/>
    <col min="12545" max="12545" width="5.08203125" style="157" customWidth="1"/>
    <col min="12546" max="12547" width="9" style="157"/>
    <col min="12548" max="12548" width="5.08203125" style="157" customWidth="1"/>
    <col min="12549" max="12554" width="9" style="157"/>
    <col min="12555" max="12555" width="8.25" style="157" customWidth="1"/>
    <col min="12556" max="12800" width="9" style="157"/>
    <col min="12801" max="12801" width="5.08203125" style="157" customWidth="1"/>
    <col min="12802" max="12803" width="9" style="157"/>
    <col min="12804" max="12804" width="5.08203125" style="157" customWidth="1"/>
    <col min="12805" max="12810" width="9" style="157"/>
    <col min="12811" max="12811" width="8.25" style="157" customWidth="1"/>
    <col min="12812" max="13056" width="9" style="157"/>
    <col min="13057" max="13057" width="5.08203125" style="157" customWidth="1"/>
    <col min="13058" max="13059" width="9" style="157"/>
    <col min="13060" max="13060" width="5.08203125" style="157" customWidth="1"/>
    <col min="13061" max="13066" width="9" style="157"/>
    <col min="13067" max="13067" width="8.25" style="157" customWidth="1"/>
    <col min="13068" max="13312" width="9" style="157"/>
    <col min="13313" max="13313" width="5.08203125" style="157" customWidth="1"/>
    <col min="13314" max="13315" width="9" style="157"/>
    <col min="13316" max="13316" width="5.08203125" style="157" customWidth="1"/>
    <col min="13317" max="13322" width="9" style="157"/>
    <col min="13323" max="13323" width="8.25" style="157" customWidth="1"/>
    <col min="13324" max="13568" width="9" style="157"/>
    <col min="13569" max="13569" width="5.08203125" style="157" customWidth="1"/>
    <col min="13570" max="13571" width="9" style="157"/>
    <col min="13572" max="13572" width="5.08203125" style="157" customWidth="1"/>
    <col min="13573" max="13578" width="9" style="157"/>
    <col min="13579" max="13579" width="8.25" style="157" customWidth="1"/>
    <col min="13580" max="13824" width="9" style="157"/>
    <col min="13825" max="13825" width="5.08203125" style="157" customWidth="1"/>
    <col min="13826" max="13827" width="9" style="157"/>
    <col min="13828" max="13828" width="5.08203125" style="157" customWidth="1"/>
    <col min="13829" max="13834" width="9" style="157"/>
    <col min="13835" max="13835" width="8.25" style="157" customWidth="1"/>
    <col min="13836" max="14080" width="9" style="157"/>
    <col min="14081" max="14081" width="5.08203125" style="157" customWidth="1"/>
    <col min="14082" max="14083" width="9" style="157"/>
    <col min="14084" max="14084" width="5.08203125" style="157" customWidth="1"/>
    <col min="14085" max="14090" width="9" style="157"/>
    <col min="14091" max="14091" width="8.25" style="157" customWidth="1"/>
    <col min="14092" max="14336" width="9" style="157"/>
    <col min="14337" max="14337" width="5.08203125" style="157" customWidth="1"/>
    <col min="14338" max="14339" width="9" style="157"/>
    <col min="14340" max="14340" width="5.08203125" style="157" customWidth="1"/>
    <col min="14341" max="14346" width="9" style="157"/>
    <col min="14347" max="14347" width="8.25" style="157" customWidth="1"/>
    <col min="14348" max="14592" width="9" style="157"/>
    <col min="14593" max="14593" width="5.08203125" style="157" customWidth="1"/>
    <col min="14594" max="14595" width="9" style="157"/>
    <col min="14596" max="14596" width="5.08203125" style="157" customWidth="1"/>
    <col min="14597" max="14602" width="9" style="157"/>
    <col min="14603" max="14603" width="8.25" style="157" customWidth="1"/>
    <col min="14604" max="14848" width="9" style="157"/>
    <col min="14849" max="14849" width="5.08203125" style="157" customWidth="1"/>
    <col min="14850" max="14851" width="9" style="157"/>
    <col min="14852" max="14852" width="5.08203125" style="157" customWidth="1"/>
    <col min="14853" max="14858" width="9" style="157"/>
    <col min="14859" max="14859" width="8.25" style="157" customWidth="1"/>
    <col min="14860" max="15104" width="9" style="157"/>
    <col min="15105" max="15105" width="5.08203125" style="157" customWidth="1"/>
    <col min="15106" max="15107" width="9" style="157"/>
    <col min="15108" max="15108" width="5.08203125" style="157" customWidth="1"/>
    <col min="15109" max="15114" width="9" style="157"/>
    <col min="15115" max="15115" width="8.25" style="157" customWidth="1"/>
    <col min="15116" max="15360" width="9" style="157"/>
    <col min="15361" max="15361" width="5.08203125" style="157" customWidth="1"/>
    <col min="15362" max="15363" width="9" style="157"/>
    <col min="15364" max="15364" width="5.08203125" style="157" customWidth="1"/>
    <col min="15365" max="15370" width="9" style="157"/>
    <col min="15371" max="15371" width="8.25" style="157" customWidth="1"/>
    <col min="15372" max="15616" width="9" style="157"/>
    <col min="15617" max="15617" width="5.08203125" style="157" customWidth="1"/>
    <col min="15618" max="15619" width="9" style="157"/>
    <col min="15620" max="15620" width="5.08203125" style="157" customWidth="1"/>
    <col min="15621" max="15626" width="9" style="157"/>
    <col min="15627" max="15627" width="8.25" style="157" customWidth="1"/>
    <col min="15628" max="15872" width="9" style="157"/>
    <col min="15873" max="15873" width="5.08203125" style="157" customWidth="1"/>
    <col min="15874" max="15875" width="9" style="157"/>
    <col min="15876" max="15876" width="5.08203125" style="157" customWidth="1"/>
    <col min="15877" max="15882" width="9" style="157"/>
    <col min="15883" max="15883" width="8.25" style="157" customWidth="1"/>
    <col min="15884" max="16128" width="9" style="157"/>
    <col min="16129" max="16129" width="5.08203125" style="157" customWidth="1"/>
    <col min="16130" max="16131" width="9" style="157"/>
    <col min="16132" max="16132" width="5.08203125" style="157" customWidth="1"/>
    <col min="16133" max="16138" width="9" style="157"/>
    <col min="16139" max="16139" width="8.25" style="157" customWidth="1"/>
    <col min="16140" max="16384" width="9" style="157"/>
  </cols>
  <sheetData>
    <row r="1" spans="1:11" ht="30" customHeight="1">
      <c r="A1" s="728" t="s">
        <v>1310</v>
      </c>
      <c r="B1" s="728"/>
      <c r="C1" s="728"/>
      <c r="D1" s="728"/>
      <c r="E1" s="728"/>
      <c r="F1" s="728"/>
      <c r="G1" s="728"/>
      <c r="H1" s="728"/>
      <c r="I1" s="728"/>
      <c r="J1" s="728"/>
      <c r="K1" s="728"/>
    </row>
    <row r="2" spans="1:11" ht="23.25" customHeight="1" thickBot="1">
      <c r="A2" s="510"/>
      <c r="B2" s="510"/>
      <c r="C2" s="510"/>
      <c r="D2" s="510"/>
      <c r="E2" s="510"/>
      <c r="F2" s="510"/>
      <c r="G2" s="510"/>
      <c r="H2" s="510"/>
      <c r="I2" s="510"/>
      <c r="J2" s="510"/>
      <c r="K2" s="511" t="s">
        <v>1763</v>
      </c>
    </row>
    <row r="3" spans="1:11" ht="217.5" customHeight="1" thickTop="1" thickBot="1">
      <c r="A3" s="729" t="s">
        <v>1766</v>
      </c>
      <c r="B3" s="729"/>
      <c r="C3" s="729"/>
      <c r="D3" s="729"/>
      <c r="E3" s="729"/>
      <c r="F3" s="729"/>
      <c r="G3" s="729"/>
      <c r="H3" s="729"/>
      <c r="I3" s="729"/>
      <c r="J3" s="729"/>
      <c r="K3" s="729"/>
    </row>
    <row r="4" spans="1:11" ht="33.75" customHeight="1" thickTop="1">
      <c r="A4" s="711" t="s">
        <v>377</v>
      </c>
      <c r="B4" s="711"/>
      <c r="C4" s="711"/>
      <c r="D4" s="711"/>
      <c r="E4" s="711"/>
      <c r="F4" s="711"/>
      <c r="G4" s="158"/>
      <c r="H4" s="158"/>
      <c r="I4" s="158"/>
      <c r="J4" s="158"/>
      <c r="K4" s="158"/>
    </row>
    <row r="5" spans="1:11" ht="5.15" customHeight="1">
      <c r="A5" s="158"/>
      <c r="B5" s="158"/>
      <c r="C5" s="158"/>
      <c r="D5" s="158"/>
      <c r="E5" s="158"/>
      <c r="F5" s="158"/>
      <c r="G5" s="158"/>
      <c r="H5" s="158"/>
      <c r="I5" s="158"/>
      <c r="J5" s="158"/>
      <c r="K5" s="158"/>
    </row>
    <row r="6" spans="1:11" ht="37.5" customHeight="1">
      <c r="A6" s="499"/>
      <c r="B6" s="500"/>
      <c r="C6" s="733" t="s">
        <v>1311</v>
      </c>
      <c r="D6" s="734"/>
      <c r="E6" s="734"/>
      <c r="F6" s="734"/>
      <c r="G6" s="734"/>
      <c r="H6" s="734"/>
      <c r="I6" s="734"/>
      <c r="J6" s="734"/>
      <c r="K6" s="734"/>
    </row>
    <row r="7" spans="1:11" ht="5.15" customHeight="1">
      <c r="A7" s="158"/>
      <c r="B7" s="158"/>
      <c r="C7" s="158"/>
      <c r="D7" s="158"/>
      <c r="E7" s="158"/>
      <c r="F7" s="158"/>
      <c r="G7" s="158"/>
      <c r="H7" s="158"/>
      <c r="I7" s="158"/>
      <c r="J7" s="158"/>
      <c r="K7" s="158"/>
    </row>
    <row r="8" spans="1:11" ht="20.149999999999999" customHeight="1">
      <c r="A8" s="501"/>
      <c r="B8" s="502"/>
      <c r="C8" s="712" t="s">
        <v>1275</v>
      </c>
      <c r="D8" s="712"/>
      <c r="E8" s="712"/>
      <c r="F8" s="712"/>
      <c r="G8" s="712"/>
      <c r="H8" s="712"/>
      <c r="I8" s="712"/>
      <c r="J8" s="712"/>
      <c r="K8" s="712"/>
    </row>
    <row r="9" spans="1:11" ht="51.75" customHeight="1">
      <c r="A9" s="158"/>
      <c r="B9" s="158"/>
      <c r="C9" s="712"/>
      <c r="D9" s="712"/>
      <c r="E9" s="712"/>
      <c r="F9" s="712"/>
      <c r="G9" s="712"/>
      <c r="H9" s="712"/>
      <c r="I9" s="712"/>
      <c r="J9" s="712"/>
      <c r="K9" s="712"/>
    </row>
    <row r="10" spans="1:11" ht="20.25" hidden="1" customHeight="1">
      <c r="A10" s="730" t="s">
        <v>1312</v>
      </c>
      <c r="B10" s="730"/>
      <c r="C10" s="730"/>
      <c r="D10" s="730"/>
      <c r="E10" s="730"/>
      <c r="F10" s="730"/>
      <c r="G10" s="730"/>
      <c r="H10" s="730"/>
      <c r="I10" s="730"/>
      <c r="J10" s="730"/>
      <c r="K10" s="158"/>
    </row>
    <row r="11" spans="1:11" ht="5.15" customHeight="1">
      <c r="A11" s="158"/>
      <c r="B11" s="158"/>
      <c r="C11" s="158"/>
      <c r="D11" s="158"/>
      <c r="E11" s="158"/>
      <c r="F11" s="158"/>
      <c r="G11" s="158"/>
      <c r="H11" s="158"/>
      <c r="I11" s="158"/>
      <c r="J11" s="158"/>
      <c r="K11" s="158"/>
    </row>
    <row r="12" spans="1:11" ht="30.75" customHeight="1">
      <c r="A12" s="711" t="s">
        <v>1277</v>
      </c>
      <c r="B12" s="711"/>
      <c r="C12" s="711"/>
      <c r="D12" s="711"/>
      <c r="E12" s="711"/>
      <c r="F12" s="711"/>
      <c r="G12" s="158"/>
      <c r="H12" s="158"/>
      <c r="I12" s="158"/>
      <c r="J12" s="158"/>
      <c r="K12" s="158"/>
    </row>
    <row r="13" spans="1:11" ht="51.75" customHeight="1">
      <c r="A13" s="714" t="s">
        <v>1278</v>
      </c>
      <c r="B13" s="714"/>
      <c r="C13" s="714"/>
      <c r="D13" s="714"/>
      <c r="E13" s="714"/>
      <c r="F13" s="714"/>
      <c r="G13" s="714"/>
      <c r="H13" s="714"/>
      <c r="I13" s="714"/>
      <c r="J13" s="714"/>
      <c r="K13" s="714"/>
    </row>
    <row r="14" spans="1:11" ht="12" customHeight="1">
      <c r="A14" s="158"/>
      <c r="B14" s="158"/>
      <c r="C14" s="158"/>
      <c r="D14" s="158"/>
      <c r="E14" s="158"/>
      <c r="F14" s="158"/>
      <c r="G14" s="158"/>
      <c r="H14" s="158"/>
      <c r="I14" s="158"/>
      <c r="J14" s="158"/>
      <c r="K14" s="158"/>
    </row>
    <row r="15" spans="1:11" ht="33.75" customHeight="1">
      <c r="A15" s="731" t="s">
        <v>1279</v>
      </c>
      <c r="B15" s="731"/>
      <c r="C15" s="731"/>
      <c r="D15" s="731"/>
      <c r="E15" s="731"/>
      <c r="F15" s="731"/>
      <c r="G15" s="731"/>
      <c r="H15" s="731"/>
      <c r="I15" s="731"/>
      <c r="J15" s="731"/>
      <c r="K15" s="158"/>
    </row>
    <row r="16" spans="1:11" ht="20.149999999999999" customHeight="1">
      <c r="A16" s="715" t="s">
        <v>1764</v>
      </c>
      <c r="B16" s="715"/>
      <c r="C16" s="715"/>
      <c r="D16" s="715"/>
      <c r="E16" s="715"/>
      <c r="F16" s="715"/>
      <c r="G16" s="512" t="s">
        <v>379</v>
      </c>
      <c r="H16" s="732" t="s">
        <v>383</v>
      </c>
      <c r="I16" s="717"/>
      <c r="J16" s="717"/>
      <c r="K16" s="717"/>
    </row>
    <row r="17" spans="1:11" ht="8.25" customHeight="1">
      <c r="A17" s="158"/>
      <c r="B17" s="158"/>
      <c r="C17" s="158"/>
      <c r="D17" s="158"/>
      <c r="E17" s="158"/>
      <c r="F17" s="158"/>
      <c r="G17" s="158"/>
      <c r="H17" s="158"/>
      <c r="I17" s="158"/>
      <c r="J17" s="158"/>
      <c r="K17" s="158"/>
    </row>
    <row r="18" spans="1:11" ht="33.75" customHeight="1">
      <c r="A18" s="731" t="s">
        <v>1513</v>
      </c>
      <c r="B18" s="731"/>
      <c r="C18" s="731"/>
      <c r="D18" s="731"/>
      <c r="E18" s="731"/>
      <c r="F18" s="731"/>
      <c r="G18" s="731"/>
      <c r="H18" s="731"/>
      <c r="I18" s="731"/>
      <c r="J18" s="731"/>
      <c r="K18" s="158"/>
    </row>
    <row r="19" spans="1:11" ht="27" customHeight="1">
      <c r="A19" s="735" t="s">
        <v>1765</v>
      </c>
      <c r="B19" s="735"/>
      <c r="C19" s="735"/>
      <c r="D19" s="735"/>
      <c r="E19" s="735"/>
      <c r="F19" s="735"/>
      <c r="G19" s="735"/>
      <c r="H19" s="735"/>
      <c r="I19" s="735"/>
      <c r="J19" s="735"/>
      <c r="K19" s="735"/>
    </row>
    <row r="20" spans="1:11" ht="27" customHeight="1">
      <c r="A20" s="735"/>
      <c r="B20" s="735"/>
      <c r="C20" s="735"/>
      <c r="D20" s="735"/>
      <c r="E20" s="735"/>
      <c r="F20" s="735"/>
      <c r="G20" s="735"/>
      <c r="H20" s="735"/>
      <c r="I20" s="735"/>
      <c r="J20" s="735"/>
      <c r="K20" s="735"/>
    </row>
    <row r="21" spans="1:11" ht="27" customHeight="1">
      <c r="A21" s="735"/>
      <c r="B21" s="735"/>
      <c r="C21" s="735"/>
      <c r="D21" s="735"/>
      <c r="E21" s="735"/>
      <c r="F21" s="735"/>
      <c r="G21" s="735"/>
      <c r="H21" s="735"/>
      <c r="I21" s="735"/>
      <c r="J21" s="735"/>
      <c r="K21" s="735"/>
    </row>
    <row r="22" spans="1:11" ht="21.75" customHeight="1">
      <c r="A22" s="158"/>
      <c r="B22" s="158"/>
      <c r="C22" s="707" t="s">
        <v>1512</v>
      </c>
      <c r="D22" s="707"/>
      <c r="E22" s="707"/>
      <c r="F22" s="707"/>
      <c r="G22" s="707"/>
      <c r="H22" s="707"/>
      <c r="I22" s="707"/>
      <c r="J22" s="707"/>
      <c r="K22" s="707"/>
    </row>
    <row r="23" spans="1:11" ht="21.75" customHeight="1">
      <c r="A23" s="158"/>
      <c r="B23" s="158"/>
      <c r="C23" s="707" t="s">
        <v>1461</v>
      </c>
      <c r="D23" s="707"/>
      <c r="E23" s="707"/>
      <c r="F23" s="707"/>
      <c r="G23" s="707"/>
      <c r="H23" s="707"/>
      <c r="I23" s="707"/>
      <c r="J23" s="707"/>
      <c r="K23" s="707"/>
    </row>
    <row r="24" spans="1:11" ht="21.75" customHeight="1">
      <c r="A24" s="158"/>
      <c r="B24" s="158"/>
      <c r="C24" s="158" t="s">
        <v>1624</v>
      </c>
      <c r="D24" s="158"/>
      <c r="E24" s="158"/>
      <c r="F24" s="158"/>
      <c r="G24" s="158"/>
      <c r="H24" s="448"/>
      <c r="I24" s="448"/>
      <c r="J24" s="448"/>
      <c r="K24" s="158"/>
    </row>
    <row r="25" spans="1:11" ht="21.75" customHeight="1">
      <c r="A25" s="158"/>
      <c r="B25" s="158"/>
      <c r="C25" s="707" t="s">
        <v>381</v>
      </c>
      <c r="D25" s="707"/>
      <c r="E25" s="707"/>
      <c r="F25" s="707"/>
      <c r="G25" s="707"/>
      <c r="H25" s="707"/>
      <c r="I25" s="707"/>
      <c r="J25" s="707"/>
      <c r="K25" s="707"/>
    </row>
    <row r="26" spans="1:11" ht="21.75" customHeight="1">
      <c r="A26" s="158"/>
      <c r="B26" s="158"/>
      <c r="C26" s="159" t="s">
        <v>384</v>
      </c>
      <c r="D26" s="708" t="s">
        <v>383</v>
      </c>
      <c r="E26" s="708"/>
      <c r="F26" s="708"/>
      <c r="G26" s="708"/>
      <c r="H26" s="708"/>
      <c r="I26" s="708"/>
      <c r="J26" s="708"/>
      <c r="K26" s="708"/>
    </row>
    <row r="27" spans="1:11" ht="21.75" customHeight="1"/>
    <row r="28" spans="1:11" ht="20.149999999999999" customHeight="1"/>
    <row r="29" spans="1:11" ht="20.149999999999999" customHeight="1"/>
    <row r="30" spans="1:11" ht="20.149999999999999" customHeight="1"/>
    <row r="31" spans="1:11" ht="20.149999999999999" customHeight="1"/>
  </sheetData>
  <mergeCells count="17">
    <mergeCell ref="D26:K26"/>
    <mergeCell ref="C22:K22"/>
    <mergeCell ref="C23:K23"/>
    <mergeCell ref="C25:K25"/>
    <mergeCell ref="A18:J18"/>
    <mergeCell ref="A19:K21"/>
    <mergeCell ref="A16:F16"/>
    <mergeCell ref="H16:K16"/>
    <mergeCell ref="A1:K1"/>
    <mergeCell ref="A3:K3"/>
    <mergeCell ref="A4:F4"/>
    <mergeCell ref="C6:K6"/>
    <mergeCell ref="C8:K9"/>
    <mergeCell ref="A10:J10"/>
    <mergeCell ref="A12:F12"/>
    <mergeCell ref="A13:K13"/>
    <mergeCell ref="A15:J15"/>
  </mergeCells>
  <phoneticPr fontId="1"/>
  <hyperlinks>
    <hyperlink ref="H16" r:id="rId1" xr:uid="{5BFBDCE9-4D70-4B45-9779-2E91060463F8}"/>
    <hyperlink ref="D26" r:id="rId2" xr:uid="{52BFC088-6CDA-41D2-82B8-92993E701956}"/>
  </hyperlinks>
  <printOptions horizontalCentered="1"/>
  <pageMargins left="0.59055118110236227" right="0.59055118110236227" top="0.98425196850393704" bottom="0.98425196850393704" header="0.51181102362204722" footer="0.51181102362204722"/>
  <pageSetup paperSize="9" scale="84" orientation="portrait"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0049C-76C0-4AEC-8C71-EB1F1CCD9A36}">
  <dimension ref="A1:K33"/>
  <sheetViews>
    <sheetView view="pageBreakPreview" zoomScale="85" zoomScaleNormal="85" zoomScaleSheetLayoutView="85" workbookViewId="0">
      <selection activeCell="A17" sqref="A17"/>
    </sheetView>
  </sheetViews>
  <sheetFormatPr defaultRowHeight="16.5"/>
  <cols>
    <col min="1" max="1" width="5.08203125" style="157" customWidth="1"/>
    <col min="2" max="3" width="9" style="157"/>
    <col min="4" max="4" width="5.08203125" style="157" customWidth="1"/>
    <col min="5" max="10" width="9" style="157"/>
    <col min="11" max="11" width="8.25" style="157" customWidth="1"/>
    <col min="12" max="256" width="9" style="157"/>
    <col min="257" max="257" width="5.08203125" style="157" customWidth="1"/>
    <col min="258" max="259" width="9" style="157"/>
    <col min="260" max="260" width="5.08203125" style="157" customWidth="1"/>
    <col min="261" max="266" width="9" style="157"/>
    <col min="267" max="267" width="8.25" style="157" customWidth="1"/>
    <col min="268" max="512" width="9" style="157"/>
    <col min="513" max="513" width="5.08203125" style="157" customWidth="1"/>
    <col min="514" max="515" width="9" style="157"/>
    <col min="516" max="516" width="5.08203125" style="157" customWidth="1"/>
    <col min="517" max="522" width="9" style="157"/>
    <col min="523" max="523" width="8.25" style="157" customWidth="1"/>
    <col min="524" max="768" width="9" style="157"/>
    <col min="769" max="769" width="5.08203125" style="157" customWidth="1"/>
    <col min="770" max="771" width="9" style="157"/>
    <col min="772" max="772" width="5.08203125" style="157" customWidth="1"/>
    <col min="773" max="778" width="9" style="157"/>
    <col min="779" max="779" width="8.25" style="157" customWidth="1"/>
    <col min="780" max="1024" width="9" style="157"/>
    <col min="1025" max="1025" width="5.08203125" style="157" customWidth="1"/>
    <col min="1026" max="1027" width="9" style="157"/>
    <col min="1028" max="1028" width="5.08203125" style="157" customWidth="1"/>
    <col min="1029" max="1034" width="9" style="157"/>
    <col min="1035" max="1035" width="8.25" style="157" customWidth="1"/>
    <col min="1036" max="1280" width="9" style="157"/>
    <col min="1281" max="1281" width="5.08203125" style="157" customWidth="1"/>
    <col min="1282" max="1283" width="9" style="157"/>
    <col min="1284" max="1284" width="5.08203125" style="157" customWidth="1"/>
    <col min="1285" max="1290" width="9" style="157"/>
    <col min="1291" max="1291" width="8.25" style="157" customWidth="1"/>
    <col min="1292" max="1536" width="9" style="157"/>
    <col min="1537" max="1537" width="5.08203125" style="157" customWidth="1"/>
    <col min="1538" max="1539" width="9" style="157"/>
    <col min="1540" max="1540" width="5.08203125" style="157" customWidth="1"/>
    <col min="1541" max="1546" width="9" style="157"/>
    <col min="1547" max="1547" width="8.25" style="157" customWidth="1"/>
    <col min="1548" max="1792" width="9" style="157"/>
    <col min="1793" max="1793" width="5.08203125" style="157" customWidth="1"/>
    <col min="1794" max="1795" width="9" style="157"/>
    <col min="1796" max="1796" width="5.08203125" style="157" customWidth="1"/>
    <col min="1797" max="1802" width="9" style="157"/>
    <col min="1803" max="1803" width="8.25" style="157" customWidth="1"/>
    <col min="1804" max="2048" width="9" style="157"/>
    <col min="2049" max="2049" width="5.08203125" style="157" customWidth="1"/>
    <col min="2050" max="2051" width="9" style="157"/>
    <col min="2052" max="2052" width="5.08203125" style="157" customWidth="1"/>
    <col min="2053" max="2058" width="9" style="157"/>
    <col min="2059" max="2059" width="8.25" style="157" customWidth="1"/>
    <col min="2060" max="2304" width="9" style="157"/>
    <col min="2305" max="2305" width="5.08203125" style="157" customWidth="1"/>
    <col min="2306" max="2307" width="9" style="157"/>
    <col min="2308" max="2308" width="5.08203125" style="157" customWidth="1"/>
    <col min="2309" max="2314" width="9" style="157"/>
    <col min="2315" max="2315" width="8.25" style="157" customWidth="1"/>
    <col min="2316" max="2560" width="9" style="157"/>
    <col min="2561" max="2561" width="5.08203125" style="157" customWidth="1"/>
    <col min="2562" max="2563" width="9" style="157"/>
    <col min="2564" max="2564" width="5.08203125" style="157" customWidth="1"/>
    <col min="2565" max="2570" width="9" style="157"/>
    <col min="2571" max="2571" width="8.25" style="157" customWidth="1"/>
    <col min="2572" max="2816" width="9" style="157"/>
    <col min="2817" max="2817" width="5.08203125" style="157" customWidth="1"/>
    <col min="2818" max="2819" width="9" style="157"/>
    <col min="2820" max="2820" width="5.08203125" style="157" customWidth="1"/>
    <col min="2821" max="2826" width="9" style="157"/>
    <col min="2827" max="2827" width="8.25" style="157" customWidth="1"/>
    <col min="2828" max="3072" width="9" style="157"/>
    <col min="3073" max="3073" width="5.08203125" style="157" customWidth="1"/>
    <col min="3074" max="3075" width="9" style="157"/>
    <col min="3076" max="3076" width="5.08203125" style="157" customWidth="1"/>
    <col min="3077" max="3082" width="9" style="157"/>
    <col min="3083" max="3083" width="8.25" style="157" customWidth="1"/>
    <col min="3084" max="3328" width="9" style="157"/>
    <col min="3329" max="3329" width="5.08203125" style="157" customWidth="1"/>
    <col min="3330" max="3331" width="9" style="157"/>
    <col min="3332" max="3332" width="5.08203125" style="157" customWidth="1"/>
    <col min="3333" max="3338" width="9" style="157"/>
    <col min="3339" max="3339" width="8.25" style="157" customWidth="1"/>
    <col min="3340" max="3584" width="9" style="157"/>
    <col min="3585" max="3585" width="5.08203125" style="157" customWidth="1"/>
    <col min="3586" max="3587" width="9" style="157"/>
    <col min="3588" max="3588" width="5.08203125" style="157" customWidth="1"/>
    <col min="3589" max="3594" width="9" style="157"/>
    <col min="3595" max="3595" width="8.25" style="157" customWidth="1"/>
    <col min="3596" max="3840" width="9" style="157"/>
    <col min="3841" max="3841" width="5.08203125" style="157" customWidth="1"/>
    <col min="3842" max="3843" width="9" style="157"/>
    <col min="3844" max="3844" width="5.08203125" style="157" customWidth="1"/>
    <col min="3845" max="3850" width="9" style="157"/>
    <col min="3851" max="3851" width="8.25" style="157" customWidth="1"/>
    <col min="3852" max="4096" width="9" style="157"/>
    <col min="4097" max="4097" width="5.08203125" style="157" customWidth="1"/>
    <col min="4098" max="4099" width="9" style="157"/>
    <col min="4100" max="4100" width="5.08203125" style="157" customWidth="1"/>
    <col min="4101" max="4106" width="9" style="157"/>
    <col min="4107" max="4107" width="8.25" style="157" customWidth="1"/>
    <col min="4108" max="4352" width="9" style="157"/>
    <col min="4353" max="4353" width="5.08203125" style="157" customWidth="1"/>
    <col min="4354" max="4355" width="9" style="157"/>
    <col min="4356" max="4356" width="5.08203125" style="157" customWidth="1"/>
    <col min="4357" max="4362" width="9" style="157"/>
    <col min="4363" max="4363" width="8.25" style="157" customWidth="1"/>
    <col min="4364" max="4608" width="9" style="157"/>
    <col min="4609" max="4609" width="5.08203125" style="157" customWidth="1"/>
    <col min="4610" max="4611" width="9" style="157"/>
    <col min="4612" max="4612" width="5.08203125" style="157" customWidth="1"/>
    <col min="4613" max="4618" width="9" style="157"/>
    <col min="4619" max="4619" width="8.25" style="157" customWidth="1"/>
    <col min="4620" max="4864" width="9" style="157"/>
    <col min="4865" max="4865" width="5.08203125" style="157" customWidth="1"/>
    <col min="4866" max="4867" width="9" style="157"/>
    <col min="4868" max="4868" width="5.08203125" style="157" customWidth="1"/>
    <col min="4869" max="4874" width="9" style="157"/>
    <col min="4875" max="4875" width="8.25" style="157" customWidth="1"/>
    <col min="4876" max="5120" width="9" style="157"/>
    <col min="5121" max="5121" width="5.08203125" style="157" customWidth="1"/>
    <col min="5122" max="5123" width="9" style="157"/>
    <col min="5124" max="5124" width="5.08203125" style="157" customWidth="1"/>
    <col min="5125" max="5130" width="9" style="157"/>
    <col min="5131" max="5131" width="8.25" style="157" customWidth="1"/>
    <col min="5132" max="5376" width="9" style="157"/>
    <col min="5377" max="5377" width="5.08203125" style="157" customWidth="1"/>
    <col min="5378" max="5379" width="9" style="157"/>
    <col min="5380" max="5380" width="5.08203125" style="157" customWidth="1"/>
    <col min="5381" max="5386" width="9" style="157"/>
    <col min="5387" max="5387" width="8.25" style="157" customWidth="1"/>
    <col min="5388" max="5632" width="9" style="157"/>
    <col min="5633" max="5633" width="5.08203125" style="157" customWidth="1"/>
    <col min="5634" max="5635" width="9" style="157"/>
    <col min="5636" max="5636" width="5.08203125" style="157" customWidth="1"/>
    <col min="5637" max="5642" width="9" style="157"/>
    <col min="5643" max="5643" width="8.25" style="157" customWidth="1"/>
    <col min="5644" max="5888" width="9" style="157"/>
    <col min="5889" max="5889" width="5.08203125" style="157" customWidth="1"/>
    <col min="5890" max="5891" width="9" style="157"/>
    <col min="5892" max="5892" width="5.08203125" style="157" customWidth="1"/>
    <col min="5893" max="5898" width="9" style="157"/>
    <col min="5899" max="5899" width="8.25" style="157" customWidth="1"/>
    <col min="5900" max="6144" width="9" style="157"/>
    <col min="6145" max="6145" width="5.08203125" style="157" customWidth="1"/>
    <col min="6146" max="6147" width="9" style="157"/>
    <col min="6148" max="6148" width="5.08203125" style="157" customWidth="1"/>
    <col min="6149" max="6154" width="9" style="157"/>
    <col min="6155" max="6155" width="8.25" style="157" customWidth="1"/>
    <col min="6156" max="6400" width="9" style="157"/>
    <col min="6401" max="6401" width="5.08203125" style="157" customWidth="1"/>
    <col min="6402" max="6403" width="9" style="157"/>
    <col min="6404" max="6404" width="5.08203125" style="157" customWidth="1"/>
    <col min="6405" max="6410" width="9" style="157"/>
    <col min="6411" max="6411" width="8.25" style="157" customWidth="1"/>
    <col min="6412" max="6656" width="9" style="157"/>
    <col min="6657" max="6657" width="5.08203125" style="157" customWidth="1"/>
    <col min="6658" max="6659" width="9" style="157"/>
    <col min="6660" max="6660" width="5.08203125" style="157" customWidth="1"/>
    <col min="6661" max="6666" width="9" style="157"/>
    <col min="6667" max="6667" width="8.25" style="157" customWidth="1"/>
    <col min="6668" max="6912" width="9" style="157"/>
    <col min="6913" max="6913" width="5.08203125" style="157" customWidth="1"/>
    <col min="6914" max="6915" width="9" style="157"/>
    <col min="6916" max="6916" width="5.08203125" style="157" customWidth="1"/>
    <col min="6917" max="6922" width="9" style="157"/>
    <col min="6923" max="6923" width="8.25" style="157" customWidth="1"/>
    <col min="6924" max="7168" width="9" style="157"/>
    <col min="7169" max="7169" width="5.08203125" style="157" customWidth="1"/>
    <col min="7170" max="7171" width="9" style="157"/>
    <col min="7172" max="7172" width="5.08203125" style="157" customWidth="1"/>
    <col min="7173" max="7178" width="9" style="157"/>
    <col min="7179" max="7179" width="8.25" style="157" customWidth="1"/>
    <col min="7180" max="7424" width="9" style="157"/>
    <col min="7425" max="7425" width="5.08203125" style="157" customWidth="1"/>
    <col min="7426" max="7427" width="9" style="157"/>
    <col min="7428" max="7428" width="5.08203125" style="157" customWidth="1"/>
    <col min="7429" max="7434" width="9" style="157"/>
    <col min="7435" max="7435" width="8.25" style="157" customWidth="1"/>
    <col min="7436" max="7680" width="9" style="157"/>
    <col min="7681" max="7681" width="5.08203125" style="157" customWidth="1"/>
    <col min="7682" max="7683" width="9" style="157"/>
    <col min="7684" max="7684" width="5.08203125" style="157" customWidth="1"/>
    <col min="7685" max="7690" width="9" style="157"/>
    <col min="7691" max="7691" width="8.25" style="157" customWidth="1"/>
    <col min="7692" max="7936" width="9" style="157"/>
    <col min="7937" max="7937" width="5.08203125" style="157" customWidth="1"/>
    <col min="7938" max="7939" width="9" style="157"/>
    <col min="7940" max="7940" width="5.08203125" style="157" customWidth="1"/>
    <col min="7941" max="7946" width="9" style="157"/>
    <col min="7947" max="7947" width="8.25" style="157" customWidth="1"/>
    <col min="7948" max="8192" width="9" style="157"/>
    <col min="8193" max="8193" width="5.08203125" style="157" customWidth="1"/>
    <col min="8194" max="8195" width="9" style="157"/>
    <col min="8196" max="8196" width="5.08203125" style="157" customWidth="1"/>
    <col min="8197" max="8202" width="9" style="157"/>
    <col min="8203" max="8203" width="8.25" style="157" customWidth="1"/>
    <col min="8204" max="8448" width="9" style="157"/>
    <col min="8449" max="8449" width="5.08203125" style="157" customWidth="1"/>
    <col min="8450" max="8451" width="9" style="157"/>
    <col min="8452" max="8452" width="5.08203125" style="157" customWidth="1"/>
    <col min="8453" max="8458" width="9" style="157"/>
    <col min="8459" max="8459" width="8.25" style="157" customWidth="1"/>
    <col min="8460" max="8704" width="9" style="157"/>
    <col min="8705" max="8705" width="5.08203125" style="157" customWidth="1"/>
    <col min="8706" max="8707" width="9" style="157"/>
    <col min="8708" max="8708" width="5.08203125" style="157" customWidth="1"/>
    <col min="8709" max="8714" width="9" style="157"/>
    <col min="8715" max="8715" width="8.25" style="157" customWidth="1"/>
    <col min="8716" max="8960" width="9" style="157"/>
    <col min="8961" max="8961" width="5.08203125" style="157" customWidth="1"/>
    <col min="8962" max="8963" width="9" style="157"/>
    <col min="8964" max="8964" width="5.08203125" style="157" customWidth="1"/>
    <col min="8965" max="8970" width="9" style="157"/>
    <col min="8971" max="8971" width="8.25" style="157" customWidth="1"/>
    <col min="8972" max="9216" width="9" style="157"/>
    <col min="9217" max="9217" width="5.08203125" style="157" customWidth="1"/>
    <col min="9218" max="9219" width="9" style="157"/>
    <col min="9220" max="9220" width="5.08203125" style="157" customWidth="1"/>
    <col min="9221" max="9226" width="9" style="157"/>
    <col min="9227" max="9227" width="8.25" style="157" customWidth="1"/>
    <col min="9228" max="9472" width="9" style="157"/>
    <col min="9473" max="9473" width="5.08203125" style="157" customWidth="1"/>
    <col min="9474" max="9475" width="9" style="157"/>
    <col min="9476" max="9476" width="5.08203125" style="157" customWidth="1"/>
    <col min="9477" max="9482" width="9" style="157"/>
    <col min="9483" max="9483" width="8.25" style="157" customWidth="1"/>
    <col min="9484" max="9728" width="9" style="157"/>
    <col min="9729" max="9729" width="5.08203125" style="157" customWidth="1"/>
    <col min="9730" max="9731" width="9" style="157"/>
    <col min="9732" max="9732" width="5.08203125" style="157" customWidth="1"/>
    <col min="9733" max="9738" width="9" style="157"/>
    <col min="9739" max="9739" width="8.25" style="157" customWidth="1"/>
    <col min="9740" max="9984" width="9" style="157"/>
    <col min="9985" max="9985" width="5.08203125" style="157" customWidth="1"/>
    <col min="9986" max="9987" width="9" style="157"/>
    <col min="9988" max="9988" width="5.08203125" style="157" customWidth="1"/>
    <col min="9989" max="9994" width="9" style="157"/>
    <col min="9995" max="9995" width="8.25" style="157" customWidth="1"/>
    <col min="9996" max="10240" width="9" style="157"/>
    <col min="10241" max="10241" width="5.08203125" style="157" customWidth="1"/>
    <col min="10242" max="10243" width="9" style="157"/>
    <col min="10244" max="10244" width="5.08203125" style="157" customWidth="1"/>
    <col min="10245" max="10250" width="9" style="157"/>
    <col min="10251" max="10251" width="8.25" style="157" customWidth="1"/>
    <col min="10252" max="10496" width="9" style="157"/>
    <col min="10497" max="10497" width="5.08203125" style="157" customWidth="1"/>
    <col min="10498" max="10499" width="9" style="157"/>
    <col min="10500" max="10500" width="5.08203125" style="157" customWidth="1"/>
    <col min="10501" max="10506" width="9" style="157"/>
    <col min="10507" max="10507" width="8.25" style="157" customWidth="1"/>
    <col min="10508" max="10752" width="9" style="157"/>
    <col min="10753" max="10753" width="5.08203125" style="157" customWidth="1"/>
    <col min="10754" max="10755" width="9" style="157"/>
    <col min="10756" max="10756" width="5.08203125" style="157" customWidth="1"/>
    <col min="10757" max="10762" width="9" style="157"/>
    <col min="10763" max="10763" width="8.25" style="157" customWidth="1"/>
    <col min="10764" max="11008" width="9" style="157"/>
    <col min="11009" max="11009" width="5.08203125" style="157" customWidth="1"/>
    <col min="11010" max="11011" width="9" style="157"/>
    <col min="11012" max="11012" width="5.08203125" style="157" customWidth="1"/>
    <col min="11013" max="11018" width="9" style="157"/>
    <col min="11019" max="11019" width="8.25" style="157" customWidth="1"/>
    <col min="11020" max="11264" width="9" style="157"/>
    <col min="11265" max="11265" width="5.08203125" style="157" customWidth="1"/>
    <col min="11266" max="11267" width="9" style="157"/>
    <col min="11268" max="11268" width="5.08203125" style="157" customWidth="1"/>
    <col min="11269" max="11274" width="9" style="157"/>
    <col min="11275" max="11275" width="8.25" style="157" customWidth="1"/>
    <col min="11276" max="11520" width="9" style="157"/>
    <col min="11521" max="11521" width="5.08203125" style="157" customWidth="1"/>
    <col min="11522" max="11523" width="9" style="157"/>
    <col min="11524" max="11524" width="5.08203125" style="157" customWidth="1"/>
    <col min="11525" max="11530" width="9" style="157"/>
    <col min="11531" max="11531" width="8.25" style="157" customWidth="1"/>
    <col min="11532" max="11776" width="9" style="157"/>
    <col min="11777" max="11777" width="5.08203125" style="157" customWidth="1"/>
    <col min="11778" max="11779" width="9" style="157"/>
    <col min="11780" max="11780" width="5.08203125" style="157" customWidth="1"/>
    <col min="11781" max="11786" width="9" style="157"/>
    <col min="11787" max="11787" width="8.25" style="157" customWidth="1"/>
    <col min="11788" max="12032" width="9" style="157"/>
    <col min="12033" max="12033" width="5.08203125" style="157" customWidth="1"/>
    <col min="12034" max="12035" width="9" style="157"/>
    <col min="12036" max="12036" width="5.08203125" style="157" customWidth="1"/>
    <col min="12037" max="12042" width="9" style="157"/>
    <col min="12043" max="12043" width="8.25" style="157" customWidth="1"/>
    <col min="12044" max="12288" width="9" style="157"/>
    <col min="12289" max="12289" width="5.08203125" style="157" customWidth="1"/>
    <col min="12290" max="12291" width="9" style="157"/>
    <col min="12292" max="12292" width="5.08203125" style="157" customWidth="1"/>
    <col min="12293" max="12298" width="9" style="157"/>
    <col min="12299" max="12299" width="8.25" style="157" customWidth="1"/>
    <col min="12300" max="12544" width="9" style="157"/>
    <col min="12545" max="12545" width="5.08203125" style="157" customWidth="1"/>
    <col min="12546" max="12547" width="9" style="157"/>
    <col min="12548" max="12548" width="5.08203125" style="157" customWidth="1"/>
    <col min="12549" max="12554" width="9" style="157"/>
    <col min="12555" max="12555" width="8.25" style="157" customWidth="1"/>
    <col min="12556" max="12800" width="9" style="157"/>
    <col min="12801" max="12801" width="5.08203125" style="157" customWidth="1"/>
    <col min="12802" max="12803" width="9" style="157"/>
    <col min="12804" max="12804" width="5.08203125" style="157" customWidth="1"/>
    <col min="12805" max="12810" width="9" style="157"/>
    <col min="12811" max="12811" width="8.25" style="157" customWidth="1"/>
    <col min="12812" max="13056" width="9" style="157"/>
    <col min="13057" max="13057" width="5.08203125" style="157" customWidth="1"/>
    <col min="13058" max="13059" width="9" style="157"/>
    <col min="13060" max="13060" width="5.08203125" style="157" customWidth="1"/>
    <col min="13061" max="13066" width="9" style="157"/>
    <col min="13067" max="13067" width="8.25" style="157" customWidth="1"/>
    <col min="13068" max="13312" width="9" style="157"/>
    <col min="13313" max="13313" width="5.08203125" style="157" customWidth="1"/>
    <col min="13314" max="13315" width="9" style="157"/>
    <col min="13316" max="13316" width="5.08203125" style="157" customWidth="1"/>
    <col min="13317" max="13322" width="9" style="157"/>
    <col min="13323" max="13323" width="8.25" style="157" customWidth="1"/>
    <col min="13324" max="13568" width="9" style="157"/>
    <col min="13569" max="13569" width="5.08203125" style="157" customWidth="1"/>
    <col min="13570" max="13571" width="9" style="157"/>
    <col min="13572" max="13572" width="5.08203125" style="157" customWidth="1"/>
    <col min="13573" max="13578" width="9" style="157"/>
    <col min="13579" max="13579" width="8.25" style="157" customWidth="1"/>
    <col min="13580" max="13824" width="9" style="157"/>
    <col min="13825" max="13825" width="5.08203125" style="157" customWidth="1"/>
    <col min="13826" max="13827" width="9" style="157"/>
    <col min="13828" max="13828" width="5.08203125" style="157" customWidth="1"/>
    <col min="13829" max="13834" width="9" style="157"/>
    <col min="13835" max="13835" width="8.25" style="157" customWidth="1"/>
    <col min="13836" max="14080" width="9" style="157"/>
    <col min="14081" max="14081" width="5.08203125" style="157" customWidth="1"/>
    <col min="14082" max="14083" width="9" style="157"/>
    <col min="14084" max="14084" width="5.08203125" style="157" customWidth="1"/>
    <col min="14085" max="14090" width="9" style="157"/>
    <col min="14091" max="14091" width="8.25" style="157" customWidth="1"/>
    <col min="14092" max="14336" width="9" style="157"/>
    <col min="14337" max="14337" width="5.08203125" style="157" customWidth="1"/>
    <col min="14338" max="14339" width="9" style="157"/>
    <col min="14340" max="14340" width="5.08203125" style="157" customWidth="1"/>
    <col min="14341" max="14346" width="9" style="157"/>
    <col min="14347" max="14347" width="8.25" style="157" customWidth="1"/>
    <col min="14348" max="14592" width="9" style="157"/>
    <col min="14593" max="14593" width="5.08203125" style="157" customWidth="1"/>
    <col min="14594" max="14595" width="9" style="157"/>
    <col min="14596" max="14596" width="5.08203125" style="157" customWidth="1"/>
    <col min="14597" max="14602" width="9" style="157"/>
    <col min="14603" max="14603" width="8.25" style="157" customWidth="1"/>
    <col min="14604" max="14848" width="9" style="157"/>
    <col min="14849" max="14849" width="5.08203125" style="157" customWidth="1"/>
    <col min="14850" max="14851" width="9" style="157"/>
    <col min="14852" max="14852" width="5.08203125" style="157" customWidth="1"/>
    <col min="14853" max="14858" width="9" style="157"/>
    <col min="14859" max="14859" width="8.25" style="157" customWidth="1"/>
    <col min="14860" max="15104" width="9" style="157"/>
    <col min="15105" max="15105" width="5.08203125" style="157" customWidth="1"/>
    <col min="15106" max="15107" width="9" style="157"/>
    <col min="15108" max="15108" width="5.08203125" style="157" customWidth="1"/>
    <col min="15109" max="15114" width="9" style="157"/>
    <col min="15115" max="15115" width="8.25" style="157" customWidth="1"/>
    <col min="15116" max="15360" width="9" style="157"/>
    <col min="15361" max="15361" width="5.08203125" style="157" customWidth="1"/>
    <col min="15362" max="15363" width="9" style="157"/>
    <col min="15364" max="15364" width="5.08203125" style="157" customWidth="1"/>
    <col min="15365" max="15370" width="9" style="157"/>
    <col min="15371" max="15371" width="8.25" style="157" customWidth="1"/>
    <col min="15372" max="15616" width="9" style="157"/>
    <col min="15617" max="15617" width="5.08203125" style="157" customWidth="1"/>
    <col min="15618" max="15619" width="9" style="157"/>
    <col min="15620" max="15620" width="5.08203125" style="157" customWidth="1"/>
    <col min="15621" max="15626" width="9" style="157"/>
    <col min="15627" max="15627" width="8.25" style="157" customWidth="1"/>
    <col min="15628" max="15872" width="9" style="157"/>
    <col min="15873" max="15873" width="5.08203125" style="157" customWidth="1"/>
    <col min="15874" max="15875" width="9" style="157"/>
    <col min="15876" max="15876" width="5.08203125" style="157" customWidth="1"/>
    <col min="15877" max="15882" width="9" style="157"/>
    <col min="15883" max="15883" width="8.25" style="157" customWidth="1"/>
    <col min="15884" max="16128" width="9" style="157"/>
    <col min="16129" max="16129" width="5.08203125" style="157" customWidth="1"/>
    <col min="16130" max="16131" width="9" style="157"/>
    <col min="16132" max="16132" width="5.08203125" style="157" customWidth="1"/>
    <col min="16133" max="16138" width="9" style="157"/>
    <col min="16139" max="16139" width="8.25" style="157" customWidth="1"/>
    <col min="16140" max="16384" width="9" style="157"/>
  </cols>
  <sheetData>
    <row r="1" spans="1:11" ht="20.149999999999999" customHeight="1">
      <c r="A1" s="528"/>
      <c r="B1" s="528"/>
      <c r="C1" s="528"/>
      <c r="D1" s="528"/>
      <c r="E1" s="528"/>
      <c r="F1" s="528"/>
      <c r="G1" s="528"/>
      <c r="H1" s="528"/>
      <c r="I1" s="736"/>
      <c r="J1" s="736"/>
      <c r="K1" s="736"/>
    </row>
    <row r="2" spans="1:11" ht="5.15" customHeight="1">
      <c r="A2" s="528"/>
      <c r="B2" s="528"/>
      <c r="C2" s="528"/>
      <c r="D2" s="528"/>
      <c r="E2" s="528"/>
      <c r="F2" s="528"/>
      <c r="G2" s="528"/>
      <c r="H2" s="528"/>
      <c r="I2" s="529"/>
      <c r="J2" s="529"/>
      <c r="K2" s="529"/>
    </row>
    <row r="3" spans="1:11" ht="39.75" customHeight="1">
      <c r="A3" s="737" t="s">
        <v>1249</v>
      </c>
      <c r="B3" s="737"/>
      <c r="C3" s="737"/>
      <c r="D3" s="737"/>
      <c r="E3" s="737"/>
      <c r="F3" s="737"/>
      <c r="G3" s="737"/>
      <c r="H3" s="737"/>
      <c r="I3" s="737"/>
      <c r="J3" s="737"/>
      <c r="K3" s="737"/>
    </row>
    <row r="4" spans="1:11" ht="20.149999999999999" customHeight="1">
      <c r="A4" s="158"/>
      <c r="B4" s="158"/>
      <c r="C4" s="158"/>
      <c r="D4" s="158"/>
      <c r="E4" s="158"/>
      <c r="F4" s="158"/>
      <c r="G4" s="158"/>
      <c r="H4" s="530"/>
      <c r="I4" s="738" t="s">
        <v>1339</v>
      </c>
      <c r="J4" s="738"/>
      <c r="K4" s="738"/>
    </row>
    <row r="5" spans="1:11" ht="5.25" customHeight="1">
      <c r="A5" s="739"/>
      <c r="B5" s="739"/>
      <c r="C5" s="739"/>
      <c r="D5" s="739"/>
      <c r="E5" s="739"/>
      <c r="F5" s="739"/>
      <c r="G5" s="739"/>
      <c r="H5" s="739"/>
      <c r="I5" s="739"/>
      <c r="J5" s="739"/>
      <c r="K5" s="739"/>
    </row>
    <row r="6" spans="1:11" ht="33.75" customHeight="1">
      <c r="A6" s="711" t="s">
        <v>377</v>
      </c>
      <c r="B6" s="711"/>
      <c r="C6" s="711"/>
      <c r="D6" s="711"/>
      <c r="E6" s="711"/>
      <c r="F6" s="711"/>
      <c r="G6" s="158"/>
      <c r="H6" s="158"/>
      <c r="I6" s="158"/>
      <c r="J6" s="158"/>
      <c r="K6" s="158"/>
    </row>
    <row r="7" spans="1:11" ht="5.15" customHeight="1">
      <c r="A7" s="158"/>
      <c r="B7" s="158"/>
      <c r="C7" s="158"/>
      <c r="D7" s="158"/>
      <c r="E7" s="158"/>
      <c r="F7" s="158"/>
      <c r="G7" s="158"/>
      <c r="H7" s="158"/>
      <c r="I7" s="158"/>
      <c r="J7" s="158"/>
      <c r="K7" s="158"/>
    </row>
    <row r="8" spans="1:11" ht="18" customHeight="1">
      <c r="A8" s="740"/>
      <c r="B8" s="741"/>
      <c r="C8" s="735" t="s">
        <v>1340</v>
      </c>
      <c r="D8" s="735"/>
      <c r="E8" s="735"/>
      <c r="F8" s="735"/>
      <c r="G8" s="735"/>
      <c r="H8" s="735"/>
      <c r="I8" s="735"/>
      <c r="J8" s="735"/>
      <c r="K8" s="735"/>
    </row>
    <row r="9" spans="1:11" ht="18" customHeight="1">
      <c r="A9" s="742"/>
      <c r="B9" s="743"/>
      <c r="C9" s="735"/>
      <c r="D9" s="735"/>
      <c r="E9" s="735"/>
      <c r="F9" s="735"/>
      <c r="G9" s="735"/>
      <c r="H9" s="735"/>
      <c r="I9" s="735"/>
      <c r="J9" s="735"/>
      <c r="K9" s="735"/>
    </row>
    <row r="10" spans="1:11" ht="26.25" customHeight="1">
      <c r="A10" s="713" t="s">
        <v>1341</v>
      </c>
      <c r="B10" s="713"/>
      <c r="C10" s="713"/>
      <c r="D10" s="713"/>
      <c r="E10" s="713"/>
      <c r="F10" s="713"/>
      <c r="G10" s="713"/>
      <c r="H10" s="713"/>
      <c r="I10" s="713"/>
      <c r="J10" s="713"/>
      <c r="K10" s="158"/>
    </row>
    <row r="11" spans="1:11" ht="12.75" customHeight="1">
      <c r="A11" s="158"/>
      <c r="B11" s="158"/>
      <c r="C11" s="158"/>
      <c r="D11" s="158"/>
      <c r="E11" s="158"/>
      <c r="F11" s="158"/>
      <c r="G11" s="158"/>
      <c r="H11" s="158"/>
      <c r="I11" s="158"/>
      <c r="J11" s="158"/>
      <c r="K11" s="158"/>
    </row>
    <row r="12" spans="1:11" ht="5.15" customHeight="1">
      <c r="A12" s="158"/>
      <c r="B12" s="158"/>
      <c r="C12" s="158"/>
      <c r="D12" s="158"/>
      <c r="E12" s="158"/>
      <c r="F12" s="158"/>
      <c r="G12" s="158"/>
      <c r="H12" s="158"/>
      <c r="I12" s="158"/>
      <c r="J12" s="158"/>
      <c r="K12" s="158"/>
    </row>
    <row r="13" spans="1:11" ht="20.149999999999999" customHeight="1">
      <c r="A13" s="158"/>
      <c r="B13" s="158"/>
      <c r="C13" s="158"/>
      <c r="D13" s="158"/>
      <c r="E13" s="158"/>
      <c r="F13" s="158"/>
      <c r="G13" s="158"/>
      <c r="H13" s="158"/>
      <c r="I13" s="158"/>
      <c r="J13" s="158"/>
      <c r="K13" s="158"/>
    </row>
    <row r="14" spans="1:11" ht="33.75" customHeight="1">
      <c r="A14" s="711" t="s">
        <v>1342</v>
      </c>
      <c r="B14" s="711"/>
      <c r="C14" s="711"/>
      <c r="D14" s="711"/>
      <c r="E14" s="711"/>
      <c r="F14" s="711"/>
      <c r="G14" s="158"/>
      <c r="H14" s="158"/>
      <c r="I14" s="158"/>
      <c r="J14" s="158"/>
      <c r="K14" s="158"/>
    </row>
    <row r="15" spans="1:11" ht="23.25" customHeight="1">
      <c r="A15" s="707" t="s">
        <v>378</v>
      </c>
      <c r="B15" s="707"/>
      <c r="C15" s="707"/>
      <c r="D15" s="707"/>
      <c r="E15" s="707"/>
      <c r="F15" s="707"/>
      <c r="G15" s="707"/>
      <c r="H15" s="707"/>
      <c r="I15" s="707"/>
      <c r="J15" s="707"/>
      <c r="K15" s="158"/>
    </row>
    <row r="16" spans="1:11" ht="20.149999999999999" customHeight="1">
      <c r="A16" s="715" t="s">
        <v>1347</v>
      </c>
      <c r="B16" s="715"/>
      <c r="C16" s="715"/>
      <c r="D16" s="715"/>
      <c r="E16" s="715"/>
      <c r="F16" s="715"/>
      <c r="G16" s="512" t="s">
        <v>379</v>
      </c>
      <c r="H16" s="732" t="s">
        <v>383</v>
      </c>
      <c r="I16" s="717"/>
      <c r="J16" s="717"/>
      <c r="K16" s="717"/>
    </row>
    <row r="17" spans="1:11" ht="8.25" customHeight="1">
      <c r="A17" s="158"/>
      <c r="B17" s="158"/>
      <c r="C17" s="158"/>
      <c r="D17" s="158"/>
      <c r="E17" s="158"/>
      <c r="F17" s="158"/>
      <c r="G17" s="158"/>
      <c r="H17" s="158"/>
      <c r="I17" s="158"/>
      <c r="J17" s="158"/>
      <c r="K17" s="158"/>
    </row>
    <row r="18" spans="1:11" ht="19.5" customHeight="1">
      <c r="A18" s="707" t="s">
        <v>1343</v>
      </c>
      <c r="B18" s="707"/>
      <c r="C18" s="707"/>
      <c r="D18" s="707"/>
      <c r="E18" s="707"/>
      <c r="F18" s="707"/>
      <c r="G18" s="707"/>
      <c r="H18" s="707"/>
      <c r="I18" s="707"/>
      <c r="J18" s="707"/>
      <c r="K18" s="707"/>
    </row>
    <row r="19" spans="1:11" ht="9" customHeight="1">
      <c r="A19" s="158"/>
      <c r="B19" s="158"/>
      <c r="C19" s="158"/>
      <c r="D19" s="158"/>
      <c r="E19" s="158"/>
      <c r="F19" s="158"/>
      <c r="G19" s="158"/>
      <c r="H19" s="158"/>
      <c r="I19" s="158"/>
      <c r="J19" s="158"/>
      <c r="K19" s="158"/>
    </row>
    <row r="20" spans="1:11" ht="20.149999999999999" customHeight="1">
      <c r="A20" s="707" t="s">
        <v>1250</v>
      </c>
      <c r="B20" s="707"/>
      <c r="C20" s="707"/>
      <c r="D20" s="707"/>
      <c r="E20" s="707"/>
      <c r="F20" s="707"/>
      <c r="G20" s="707"/>
      <c r="H20" s="707"/>
      <c r="I20" s="707"/>
      <c r="J20" s="707"/>
      <c r="K20" s="707"/>
    </row>
    <row r="21" spans="1:11" ht="54" customHeight="1">
      <c r="A21" s="723" t="s">
        <v>1314</v>
      </c>
      <c r="B21" s="723"/>
      <c r="C21" s="723"/>
      <c r="D21" s="723"/>
      <c r="E21" s="723"/>
      <c r="F21" s="723"/>
      <c r="G21" s="723"/>
      <c r="H21" s="723"/>
      <c r="I21" s="723"/>
      <c r="J21" s="723"/>
      <c r="K21" s="723"/>
    </row>
    <row r="22" spans="1:11" ht="28.5" customHeight="1">
      <c r="A22" s="712" t="s">
        <v>1344</v>
      </c>
      <c r="B22" s="712"/>
      <c r="C22" s="712"/>
      <c r="D22" s="712"/>
      <c r="E22" s="712"/>
      <c r="F22" s="712"/>
      <c r="G22" s="712"/>
      <c r="H22" s="712"/>
      <c r="I22" s="712"/>
      <c r="J22" s="712"/>
      <c r="K22" s="712"/>
    </row>
    <row r="23" spans="1:11" ht="20.149999999999999" customHeight="1">
      <c r="A23" s="712"/>
      <c r="B23" s="712"/>
      <c r="C23" s="712"/>
      <c r="D23" s="712"/>
      <c r="E23" s="712"/>
      <c r="F23" s="712"/>
      <c r="G23" s="712"/>
      <c r="H23" s="712"/>
      <c r="I23" s="712"/>
      <c r="J23" s="712"/>
      <c r="K23" s="712"/>
    </row>
    <row r="24" spans="1:11" ht="21.75" customHeight="1">
      <c r="A24" s="158"/>
      <c r="B24" s="158"/>
      <c r="C24" s="707" t="s">
        <v>380</v>
      </c>
      <c r="D24" s="707"/>
      <c r="E24" s="707"/>
      <c r="F24" s="707"/>
      <c r="G24" s="707"/>
      <c r="H24" s="707"/>
      <c r="I24" s="707"/>
      <c r="J24" s="707"/>
      <c r="K24" s="707"/>
    </row>
    <row r="25" spans="1:11" ht="21.75" customHeight="1">
      <c r="A25" s="158"/>
      <c r="B25" s="158"/>
      <c r="C25" s="707" t="s">
        <v>382</v>
      </c>
      <c r="D25" s="707"/>
      <c r="E25" s="707"/>
      <c r="F25" s="707"/>
      <c r="G25" s="707"/>
      <c r="H25" s="707"/>
      <c r="I25" s="707"/>
      <c r="J25" s="707"/>
      <c r="K25" s="707"/>
    </row>
    <row r="26" spans="1:11" ht="21.75" customHeight="1">
      <c r="A26" s="158"/>
      <c r="B26" s="158"/>
      <c r="C26" s="158" t="s">
        <v>1345</v>
      </c>
      <c r="D26" s="158"/>
      <c r="E26" s="158"/>
      <c r="F26" s="158"/>
      <c r="G26" s="158"/>
      <c r="H26" s="448"/>
      <c r="I26" s="448"/>
      <c r="J26" s="448"/>
      <c r="K26" s="158"/>
    </row>
    <row r="27" spans="1:11" ht="21.75" customHeight="1">
      <c r="A27" s="158"/>
      <c r="B27" s="158"/>
      <c r="C27" s="707" t="s">
        <v>381</v>
      </c>
      <c r="D27" s="707"/>
      <c r="E27" s="707"/>
      <c r="F27" s="707"/>
      <c r="G27" s="707"/>
      <c r="H27" s="707"/>
      <c r="I27" s="707"/>
      <c r="J27" s="707"/>
      <c r="K27" s="707"/>
    </row>
    <row r="28" spans="1:11" ht="21.75" customHeight="1">
      <c r="A28" s="158"/>
      <c r="B28" s="158"/>
      <c r="C28" s="159" t="s">
        <v>384</v>
      </c>
      <c r="D28" s="708" t="s">
        <v>383</v>
      </c>
      <c r="E28" s="708"/>
      <c r="F28" s="708"/>
      <c r="G28" s="708"/>
      <c r="H28" s="708"/>
      <c r="I28" s="708"/>
      <c r="J28" s="708"/>
      <c r="K28" s="708"/>
    </row>
    <row r="29" spans="1:11" ht="21.75" customHeight="1"/>
    <row r="30" spans="1:11" ht="20.149999999999999" customHeight="1"/>
    <row r="31" spans="1:11" ht="20.149999999999999" customHeight="1"/>
    <row r="32" spans="1:11" ht="20.149999999999999" customHeight="1"/>
    <row r="33" ht="20.149999999999999" customHeight="1"/>
  </sheetData>
  <mergeCells count="20">
    <mergeCell ref="D28:K28"/>
    <mergeCell ref="A20:K20"/>
    <mergeCell ref="A21:K21"/>
    <mergeCell ref="A22:K23"/>
    <mergeCell ref="C24:K24"/>
    <mergeCell ref="C25:K25"/>
    <mergeCell ref="C27:K27"/>
    <mergeCell ref="A18:K18"/>
    <mergeCell ref="I1:K1"/>
    <mergeCell ref="A3:K3"/>
    <mergeCell ref="I4:K4"/>
    <mergeCell ref="A5:K5"/>
    <mergeCell ref="A6:F6"/>
    <mergeCell ref="A8:B9"/>
    <mergeCell ref="C8:K9"/>
    <mergeCell ref="A10:J10"/>
    <mergeCell ref="A14:F14"/>
    <mergeCell ref="A15:J15"/>
    <mergeCell ref="A16:F16"/>
    <mergeCell ref="H16:K16"/>
  </mergeCells>
  <phoneticPr fontId="1"/>
  <hyperlinks>
    <hyperlink ref="H16" r:id="rId1" xr:uid="{2B23761D-8361-4426-899F-5817E2B22CFE}"/>
    <hyperlink ref="D28" r:id="rId2" xr:uid="{F4B74648-6DE8-454E-9F81-164EDAA23936}"/>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B44-F82C-4B2E-8AB6-695C11129D2F}">
  <sheetPr codeName="Sheet5">
    <tabColor rgb="FF00B050"/>
    <pageSetUpPr fitToPage="1"/>
  </sheetPr>
  <dimension ref="A1:AL113"/>
  <sheetViews>
    <sheetView view="pageBreakPreview" zoomScale="84" zoomScaleNormal="100" zoomScaleSheetLayoutView="84" workbookViewId="0">
      <selection activeCell="L20" sqref="L20:Q20"/>
    </sheetView>
  </sheetViews>
  <sheetFormatPr defaultColWidth="9" defaultRowHeight="18"/>
  <cols>
    <col min="1" max="1" width="3.08203125" customWidth="1"/>
    <col min="2" max="2" width="3.58203125" customWidth="1"/>
    <col min="3" max="3" width="10.08203125" customWidth="1"/>
    <col min="4" max="4" width="9" customWidth="1"/>
    <col min="5" max="5" width="10.25" customWidth="1"/>
    <col min="6" max="18" width="6.83203125" customWidth="1"/>
    <col min="19" max="29" width="9" hidden="1" customWidth="1"/>
    <col min="30" max="30" width="15.1640625" hidden="1" customWidth="1"/>
    <col min="31" max="35" width="9" hidden="1" customWidth="1"/>
    <col min="36" max="36" width="9" customWidth="1"/>
    <col min="37" max="37" width="10" customWidth="1"/>
    <col min="38" max="38" width="85.9140625" customWidth="1"/>
  </cols>
  <sheetData>
    <row r="1" spans="1:36" ht="22.5" customHeight="1">
      <c r="B1" s="191" t="s">
        <v>0</v>
      </c>
      <c r="AF1" t="s">
        <v>1</v>
      </c>
    </row>
    <row r="2" spans="1:36" ht="53.25" customHeight="1"/>
    <row r="3" spans="1:36" ht="15" customHeight="1">
      <c r="C3" s="142" t="s">
        <v>403</v>
      </c>
      <c r="D3" s="749"/>
      <c r="E3" s="749"/>
      <c r="F3" s="749"/>
      <c r="G3" s="749"/>
      <c r="H3" s="749"/>
      <c r="I3" s="749"/>
      <c r="M3" s="753" t="s">
        <v>1056</v>
      </c>
      <c r="N3" s="753"/>
      <c r="O3" s="753"/>
    </row>
    <row r="4" spans="1:36" ht="15" customHeight="1">
      <c r="C4" s="142" t="s">
        <v>404</v>
      </c>
      <c r="D4" s="749"/>
      <c r="E4" s="749"/>
      <c r="F4" s="749"/>
      <c r="G4" s="749"/>
      <c r="H4" s="749"/>
      <c r="I4" s="749"/>
      <c r="M4" s="757"/>
      <c r="N4" s="757"/>
      <c r="O4" s="757"/>
    </row>
    <row r="5" spans="1:36" ht="15" customHeight="1">
      <c r="C5" s="142" t="s">
        <v>1055</v>
      </c>
      <c r="D5" s="749"/>
      <c r="E5" s="749"/>
      <c r="F5" s="749"/>
      <c r="G5" s="749"/>
      <c r="H5" s="749"/>
      <c r="I5" s="749"/>
      <c r="J5" t="e">
        <f>"（分園"&amp;S8&amp;")"</f>
        <v>#N/A</v>
      </c>
      <c r="M5" s="748" t="e">
        <f>IF(EXACT(VLOOKUP(D5,補助金用基本データ!$C$5:$T$58,5,FALSE),ASC(M4))=TRUE,"OK","パスワードが違います")</f>
        <v>#N/A</v>
      </c>
      <c r="N5" s="748"/>
      <c r="O5" s="748"/>
      <c r="Q5" t="e">
        <f>IF(M5="OK",VLOOKUP(D5,補助金用基本データ!$C$5:$T$58,2,FALSE),"")</f>
        <v>#N/A</v>
      </c>
      <c r="S5" t="str">
        <f>LEFT(D5,4)</f>
        <v/>
      </c>
      <c r="AF5" s="748" t="s">
        <v>2</v>
      </c>
      <c r="AG5" s="748"/>
      <c r="AH5" s="1" t="s">
        <v>3</v>
      </c>
      <c r="AI5" s="140">
        <f>VLOOKUP(E8,AG7:AH45,2)</f>
        <v>2025</v>
      </c>
      <c r="AJ5" s="141"/>
    </row>
    <row r="6" spans="1:36" ht="15" customHeight="1">
      <c r="C6" s="142"/>
      <c r="D6" s="744">
        <f>IF(S5="（仮称）","ここに認可園名を記載してください。",D5)</f>
        <v>0</v>
      </c>
      <c r="E6" s="744"/>
      <c r="F6" s="744"/>
      <c r="G6" s="744"/>
      <c r="H6" s="744"/>
      <c r="I6" s="744"/>
      <c r="M6" s="143"/>
      <c r="N6" s="143"/>
      <c r="O6" s="143"/>
      <c r="Q6" t="e">
        <f>VLOOKUP(①基本情報!Q5,個別データ!$C$5:$HA$59,207,0)</f>
        <v>#N/A</v>
      </c>
      <c r="AF6" s="198"/>
      <c r="AG6" s="198"/>
      <c r="AH6" s="1"/>
      <c r="AI6" s="141"/>
      <c r="AJ6" s="141"/>
    </row>
    <row r="7" spans="1:36" ht="15" customHeight="1">
      <c r="AF7" s="1" t="s">
        <v>4</v>
      </c>
      <c r="AG7" s="1">
        <v>2</v>
      </c>
      <c r="AH7" s="1">
        <f>AH46+1</f>
        <v>2020</v>
      </c>
    </row>
    <row r="8" spans="1:36" ht="15" customHeight="1">
      <c r="D8" s="142" t="s">
        <v>4</v>
      </c>
      <c r="E8" s="429">
        <v>7</v>
      </c>
      <c r="F8" t="s">
        <v>8</v>
      </c>
      <c r="J8" s="142" t="s">
        <v>6</v>
      </c>
      <c r="K8" t="s">
        <v>7</v>
      </c>
      <c r="L8" s="758"/>
      <c r="M8" s="758"/>
      <c r="N8" s="758"/>
      <c r="O8" s="758"/>
      <c r="P8" s="758"/>
      <c r="Q8" s="759"/>
      <c r="R8" s="237"/>
      <c r="S8" t="e">
        <f>VLOOKUP($Q$5,個別データ!$C$5:$HA$59,3)</f>
        <v>#N/A</v>
      </c>
      <c r="AF8" s="1"/>
      <c r="AG8" s="1">
        <f>AG7+1</f>
        <v>3</v>
      </c>
      <c r="AH8" s="1">
        <f t="shared" ref="AH8:AH45" si="0">AH7+1</f>
        <v>2021</v>
      </c>
    </row>
    <row r="9" spans="1:36" ht="15" customHeight="1">
      <c r="D9" s="142" t="s">
        <v>5</v>
      </c>
      <c r="E9" s="1" t="s">
        <v>933</v>
      </c>
      <c r="F9" s="198" t="s">
        <v>930</v>
      </c>
      <c r="G9" s="198" t="s">
        <v>931</v>
      </c>
      <c r="H9" s="198" t="s">
        <v>932</v>
      </c>
      <c r="K9" t="s">
        <v>9</v>
      </c>
      <c r="L9" s="758"/>
      <c r="M9" s="758"/>
      <c r="N9" s="758"/>
      <c r="O9" s="758"/>
      <c r="P9" s="758"/>
      <c r="Q9" s="759"/>
      <c r="R9" s="237"/>
      <c r="AF9" s="1"/>
      <c r="AG9" s="1">
        <f>AG8+1</f>
        <v>4</v>
      </c>
      <c r="AH9" s="1">
        <f>AH8+1</f>
        <v>2022</v>
      </c>
    </row>
    <row r="10" spans="1:36" ht="15" customHeight="1">
      <c r="D10" s="142" t="s">
        <v>928</v>
      </c>
      <c r="E10" s="187" t="e">
        <f>VLOOKUP($Q$5,個別データ!$C$5:$HA$59,S10)</f>
        <v>#N/A</v>
      </c>
      <c r="F10" s="187" t="e">
        <f>VLOOKUP($Q$5,個別データ!$C$5:$HA$59,T10)</f>
        <v>#N/A</v>
      </c>
      <c r="G10" s="187" t="e">
        <f>VLOOKUP($Q$5,個別データ!$C$5:$HA$59,U10)</f>
        <v>#N/A</v>
      </c>
      <c r="H10" s="187" t="e">
        <f>VLOOKUP($Q$5,個別データ!$C$5:$HA$59,V10)</f>
        <v>#N/A</v>
      </c>
      <c r="Q10" s="237"/>
      <c r="R10" s="237"/>
      <c r="S10">
        <f>個別データ!F1</f>
        <v>4</v>
      </c>
      <c r="T10">
        <f>S10+1</f>
        <v>5</v>
      </c>
      <c r="U10">
        <f t="shared" ref="U10:V11" si="1">T10+1</f>
        <v>6</v>
      </c>
      <c r="V10">
        <f t="shared" si="1"/>
        <v>7</v>
      </c>
      <c r="AF10" s="1"/>
      <c r="AG10" s="1">
        <f t="shared" ref="AG10:AG22" si="2">AG9+1</f>
        <v>5</v>
      </c>
      <c r="AH10" s="1">
        <f t="shared" ref="AH10:AH22" si="3">AH9+1</f>
        <v>2023</v>
      </c>
    </row>
    <row r="11" spans="1:36" ht="15" customHeight="1">
      <c r="D11" s="142" t="s">
        <v>929</v>
      </c>
      <c r="E11" s="187" t="e">
        <f>VLOOKUP($Q$5,個別データ!$C$5:$HA$59,S11)</f>
        <v>#N/A</v>
      </c>
      <c r="F11" s="187" t="e">
        <f>VLOOKUP($Q$5,個別データ!$C$5:$HA$59,T11)</f>
        <v>#N/A</v>
      </c>
      <c r="G11" s="187" t="e">
        <f>VLOOKUP($Q$5,個別データ!$C$5:$HA$59,U11)</f>
        <v>#N/A</v>
      </c>
      <c r="H11" s="187" t="e">
        <f>VLOOKUP($Q$5,個別データ!$C$5:$HA$59,V11)</f>
        <v>#N/A</v>
      </c>
      <c r="Q11" s="237"/>
      <c r="R11" s="237"/>
      <c r="S11">
        <f>個別データ!J1</f>
        <v>8</v>
      </c>
      <c r="T11">
        <f>S11+1</f>
        <v>9</v>
      </c>
      <c r="U11">
        <f t="shared" si="1"/>
        <v>10</v>
      </c>
      <c r="V11">
        <f t="shared" si="1"/>
        <v>11</v>
      </c>
      <c r="AF11" s="1"/>
      <c r="AG11" s="1">
        <f t="shared" si="2"/>
        <v>6</v>
      </c>
      <c r="AH11" s="1">
        <f t="shared" si="3"/>
        <v>2024</v>
      </c>
    </row>
    <row r="12" spans="1:36" ht="15" hidden="1" customHeight="1">
      <c r="D12" s="142"/>
      <c r="Q12" s="237"/>
      <c r="R12" s="237"/>
      <c r="AF12" s="1"/>
      <c r="AG12" s="1">
        <f t="shared" si="2"/>
        <v>7</v>
      </c>
      <c r="AH12" s="1">
        <f t="shared" si="3"/>
        <v>2025</v>
      </c>
    </row>
    <row r="13" spans="1:36" ht="15" hidden="1" customHeight="1">
      <c r="A13" s="255"/>
      <c r="B13" s="255"/>
      <c r="D13" s="142"/>
      <c r="E13" s="142" t="s">
        <v>10</v>
      </c>
      <c r="F13" s="189" t="e">
        <f>VLOOKUP($Q$5,個別データ!#REF!,4)</f>
        <v>#N/A</v>
      </c>
      <c r="G13" t="s">
        <v>364</v>
      </c>
      <c r="AF13" s="1"/>
      <c r="AG13" s="1">
        <f t="shared" si="2"/>
        <v>8</v>
      </c>
      <c r="AH13" s="1">
        <f t="shared" si="3"/>
        <v>2026</v>
      </c>
    </row>
    <row r="14" spans="1:36" ht="15" hidden="1" customHeight="1">
      <c r="S14" s="143"/>
      <c r="T14" s="142"/>
      <c r="AF14" s="1"/>
      <c r="AG14" s="1">
        <f t="shared" si="2"/>
        <v>9</v>
      </c>
      <c r="AH14" s="1">
        <f t="shared" si="3"/>
        <v>2027</v>
      </c>
    </row>
    <row r="15" spans="1:36" ht="15" customHeight="1">
      <c r="A15" t="s">
        <v>873</v>
      </c>
      <c r="S15" s="143"/>
      <c r="T15" s="142"/>
      <c r="AF15" s="1"/>
      <c r="AG15" s="1">
        <f t="shared" si="2"/>
        <v>10</v>
      </c>
      <c r="AH15" s="1">
        <f t="shared" si="3"/>
        <v>2028</v>
      </c>
    </row>
    <row r="16" spans="1:36" ht="15" customHeight="1">
      <c r="B16" s="172" t="s">
        <v>1727</v>
      </c>
      <c r="C16" s="151"/>
      <c r="D16" s="151"/>
      <c r="E16" s="151"/>
      <c r="F16" s="151"/>
      <c r="G16" s="151"/>
      <c r="H16" s="151"/>
      <c r="I16" s="151"/>
      <c r="J16" s="151"/>
      <c r="K16" s="151"/>
      <c r="L16" s="151"/>
      <c r="M16" s="151"/>
      <c r="N16" s="152"/>
      <c r="S16" s="143"/>
      <c r="T16" s="235" t="s">
        <v>874</v>
      </c>
      <c r="AF16" s="1"/>
      <c r="AG16" s="1">
        <f t="shared" si="2"/>
        <v>11</v>
      </c>
      <c r="AH16" s="1">
        <f t="shared" si="3"/>
        <v>2029</v>
      </c>
    </row>
    <row r="17" spans="1:34" ht="15" customHeight="1">
      <c r="B17" s="148" t="s">
        <v>872</v>
      </c>
      <c r="N17" s="184"/>
      <c r="S17" s="143"/>
      <c r="T17" s="235" t="s">
        <v>1084</v>
      </c>
      <c r="AF17" s="1"/>
      <c r="AG17" s="1">
        <f t="shared" si="2"/>
        <v>12</v>
      </c>
      <c r="AH17" s="1">
        <f t="shared" si="3"/>
        <v>2030</v>
      </c>
    </row>
    <row r="18" spans="1:34" ht="15" customHeight="1">
      <c r="B18" s="150" t="s">
        <v>876</v>
      </c>
      <c r="C18" s="153"/>
      <c r="D18" s="153"/>
      <c r="E18" s="153"/>
      <c r="F18" s="153"/>
      <c r="G18" s="153"/>
      <c r="H18" s="153"/>
      <c r="I18" s="153"/>
      <c r="J18" s="153"/>
      <c r="K18" s="153"/>
      <c r="L18" s="153"/>
      <c r="M18" s="153"/>
      <c r="N18" s="154"/>
      <c r="S18" s="143"/>
      <c r="T18" s="142"/>
      <c r="AF18" s="1"/>
      <c r="AG18" s="1">
        <f t="shared" si="2"/>
        <v>13</v>
      </c>
      <c r="AH18" s="1">
        <f t="shared" si="3"/>
        <v>2031</v>
      </c>
    </row>
    <row r="19" spans="1:34" ht="15" customHeight="1" thickBot="1">
      <c r="R19" s="238"/>
      <c r="S19" s="143">
        <f>IF(L20=T16,1,IF(L20=T17,2,""))</f>
        <v>1</v>
      </c>
      <c r="T19" s="142"/>
      <c r="AF19" s="1"/>
      <c r="AG19" s="1">
        <f t="shared" si="2"/>
        <v>14</v>
      </c>
      <c r="AH19" s="1">
        <f t="shared" si="3"/>
        <v>2032</v>
      </c>
    </row>
    <row r="20" spans="1:34" ht="15" customHeight="1" thickBot="1">
      <c r="B20" t="s">
        <v>1728</v>
      </c>
      <c r="L20" s="754" t="s">
        <v>874</v>
      </c>
      <c r="M20" s="755"/>
      <c r="N20" s="755"/>
      <c r="O20" s="755"/>
      <c r="P20" s="755"/>
      <c r="Q20" s="756"/>
      <c r="R20" s="238"/>
      <c r="S20" s="143"/>
      <c r="T20" s="142"/>
      <c r="AF20" s="1"/>
      <c r="AG20" s="1">
        <f t="shared" si="2"/>
        <v>15</v>
      </c>
      <c r="AH20" s="1">
        <f t="shared" si="3"/>
        <v>2033</v>
      </c>
    </row>
    <row r="21" spans="1:34" ht="15" customHeight="1">
      <c r="L21" s="235"/>
      <c r="M21" s="235"/>
      <c r="N21" s="235"/>
      <c r="O21" s="235"/>
      <c r="P21" s="235"/>
      <c r="Q21" s="235"/>
      <c r="R21" s="238"/>
      <c r="S21" s="143"/>
      <c r="T21" s="142"/>
      <c r="AF21" s="1"/>
      <c r="AG21" s="1">
        <f t="shared" si="2"/>
        <v>16</v>
      </c>
      <c r="AH21" s="1">
        <f t="shared" si="3"/>
        <v>2034</v>
      </c>
    </row>
    <row r="22" spans="1:34" ht="15" customHeight="1">
      <c r="F22" s="185">
        <v>4</v>
      </c>
      <c r="G22" s="185">
        <v>5</v>
      </c>
      <c r="H22" s="185">
        <v>6</v>
      </c>
      <c r="I22" s="185">
        <v>7</v>
      </c>
      <c r="J22" s="185">
        <v>8</v>
      </c>
      <c r="K22" s="185">
        <v>9</v>
      </c>
      <c r="L22" s="185">
        <v>10</v>
      </c>
      <c r="M22" s="185">
        <v>11</v>
      </c>
      <c r="N22" s="185">
        <v>12</v>
      </c>
      <c r="O22" s="185">
        <v>1</v>
      </c>
      <c r="P22" s="185">
        <v>2</v>
      </c>
      <c r="Q22" s="185">
        <v>3</v>
      </c>
      <c r="R22" s="239"/>
      <c r="S22" s="143"/>
      <c r="T22" s="143" t="s">
        <v>11</v>
      </c>
      <c r="U22" s="143" t="s">
        <v>12</v>
      </c>
      <c r="V22" s="143" t="s">
        <v>665</v>
      </c>
      <c r="W22" t="s">
        <v>17</v>
      </c>
      <c r="X22" s="143"/>
      <c r="Y22" s="143"/>
      <c r="Z22" s="143"/>
      <c r="AA22" s="143"/>
      <c r="AB22" s="143"/>
      <c r="AC22" s="143"/>
      <c r="AD22" s="143"/>
      <c r="AE22" s="143"/>
      <c r="AF22" s="1"/>
      <c r="AG22" s="1">
        <f t="shared" si="2"/>
        <v>17</v>
      </c>
      <c r="AH22" s="1">
        <f t="shared" si="3"/>
        <v>2035</v>
      </c>
    </row>
    <row r="23" spans="1:34" ht="15" customHeight="1">
      <c r="A23" s="145" t="s">
        <v>15</v>
      </c>
      <c r="B23" s="146"/>
      <c r="C23" s="146"/>
      <c r="D23" s="146"/>
      <c r="E23" s="147"/>
      <c r="F23" s="429" t="s">
        <v>1103</v>
      </c>
      <c r="G23" s="430" t="str">
        <f>IF(F23="","",F23)</f>
        <v>有</v>
      </c>
      <c r="H23" s="430" t="str">
        <f t="shared" ref="H23:P23" si="4">IF(G23="","",G23)</f>
        <v>有</v>
      </c>
      <c r="I23" s="430" t="str">
        <f t="shared" si="4"/>
        <v>有</v>
      </c>
      <c r="J23" s="430" t="str">
        <f t="shared" si="4"/>
        <v>有</v>
      </c>
      <c r="K23" s="430" t="str">
        <f t="shared" si="4"/>
        <v>有</v>
      </c>
      <c r="L23" s="430" t="str">
        <f t="shared" si="4"/>
        <v>有</v>
      </c>
      <c r="M23" s="430" t="str">
        <f t="shared" si="4"/>
        <v>有</v>
      </c>
      <c r="N23" s="430" t="str">
        <f t="shared" si="4"/>
        <v>有</v>
      </c>
      <c r="O23" s="430" t="str">
        <f t="shared" si="4"/>
        <v>有</v>
      </c>
      <c r="P23" s="430" t="str">
        <f t="shared" si="4"/>
        <v>有</v>
      </c>
      <c r="Q23" s="430" t="str">
        <f>IF(P23="","",P23)</f>
        <v>有</v>
      </c>
      <c r="R23" s="240"/>
      <c r="S23" s="143">
        <f>個別データ!AN1</f>
        <v>38</v>
      </c>
      <c r="T23" s="143" t="s">
        <v>13</v>
      </c>
      <c r="U23" t="s">
        <v>14</v>
      </c>
      <c r="V23" t="s">
        <v>666</v>
      </c>
      <c r="W23" t="s">
        <v>19</v>
      </c>
      <c r="AF23" s="1"/>
      <c r="AG23" s="1">
        <f t="shared" ref="AG23:AH38" si="5">AG22+1</f>
        <v>18</v>
      </c>
      <c r="AH23" s="1">
        <f t="shared" si="0"/>
        <v>2036</v>
      </c>
    </row>
    <row r="24" spans="1:34" ht="15" customHeight="1">
      <c r="A24" s="148" t="s">
        <v>16</v>
      </c>
      <c r="E24" s="184"/>
      <c r="F24" s="149"/>
      <c r="G24" s="149"/>
      <c r="H24" s="149"/>
      <c r="I24" s="149"/>
      <c r="J24" s="149"/>
      <c r="K24" s="149"/>
      <c r="L24" s="149"/>
      <c r="M24" s="149"/>
      <c r="N24" s="149"/>
      <c r="O24" s="149"/>
      <c r="P24" s="149"/>
      <c r="Q24" s="149"/>
      <c r="R24" s="143"/>
      <c r="S24" s="143"/>
      <c r="T24" s="144" t="s">
        <v>273</v>
      </c>
      <c r="U24" s="144" t="s">
        <v>359</v>
      </c>
      <c r="V24" t="s">
        <v>667</v>
      </c>
      <c r="W24" t="s">
        <v>359</v>
      </c>
      <c r="AF24" s="1"/>
      <c r="AG24" s="1">
        <f t="shared" si="5"/>
        <v>19</v>
      </c>
      <c r="AH24" s="1">
        <f t="shared" si="0"/>
        <v>2037</v>
      </c>
    </row>
    <row r="25" spans="1:34" ht="15" customHeight="1">
      <c r="A25" s="148"/>
      <c r="B25" s="145" t="s">
        <v>18</v>
      </c>
      <c r="C25" s="146"/>
      <c r="D25" s="146"/>
      <c r="E25" s="147"/>
      <c r="F25" s="187" t="e">
        <f t="shared" ref="F25:Q25" si="6">IF(OR(F26=$U$22,F26=$U$23),$T$22,$T$23)</f>
        <v>#N/A</v>
      </c>
      <c r="G25" s="187" t="e">
        <f t="shared" si="6"/>
        <v>#N/A</v>
      </c>
      <c r="H25" s="187" t="e">
        <f t="shared" si="6"/>
        <v>#N/A</v>
      </c>
      <c r="I25" s="187" t="e">
        <f t="shared" si="6"/>
        <v>#N/A</v>
      </c>
      <c r="J25" s="187" t="e">
        <f t="shared" si="6"/>
        <v>#N/A</v>
      </c>
      <c r="K25" s="187" t="e">
        <f t="shared" si="6"/>
        <v>#N/A</v>
      </c>
      <c r="L25" s="187" t="e">
        <f t="shared" si="6"/>
        <v>#N/A</v>
      </c>
      <c r="M25" s="187" t="e">
        <f t="shared" si="6"/>
        <v>#N/A</v>
      </c>
      <c r="N25" s="187" t="e">
        <f t="shared" si="6"/>
        <v>#N/A</v>
      </c>
      <c r="O25" s="187" t="e">
        <f t="shared" si="6"/>
        <v>#N/A</v>
      </c>
      <c r="P25" s="187" t="e">
        <f t="shared" si="6"/>
        <v>#N/A</v>
      </c>
      <c r="Q25" s="187" t="e">
        <f t="shared" si="6"/>
        <v>#N/A</v>
      </c>
      <c r="R25" s="240"/>
      <c r="AF25" s="1"/>
      <c r="AG25" s="1">
        <f t="shared" si="5"/>
        <v>20</v>
      </c>
      <c r="AH25" s="1">
        <f t="shared" si="0"/>
        <v>2038</v>
      </c>
    </row>
    <row r="26" spans="1:34" ht="15" customHeight="1">
      <c r="A26" s="148"/>
      <c r="B26" s="145" t="s">
        <v>20</v>
      </c>
      <c r="C26" s="146"/>
      <c r="D26" s="146"/>
      <c r="E26" s="147"/>
      <c r="F26" s="187" t="e">
        <f>VLOOKUP($Q$5,個別データ!$C$5:$HA$59,S26)</f>
        <v>#N/A</v>
      </c>
      <c r="G26" s="186" t="e">
        <f>VLOOKUP($Q$5,個別データ!$C$5:$HA$59,T26)</f>
        <v>#N/A</v>
      </c>
      <c r="H26" s="186" t="e">
        <f>VLOOKUP($Q$5,個別データ!$C$5:$HA$59,U26)</f>
        <v>#N/A</v>
      </c>
      <c r="I26" s="186" t="e">
        <f>VLOOKUP($Q$5,個別データ!$C$5:$HA$59,V26)</f>
        <v>#N/A</v>
      </c>
      <c r="J26" s="186" t="e">
        <f>VLOOKUP($Q$5,個別データ!$C$5:$HA$59,W26)</f>
        <v>#N/A</v>
      </c>
      <c r="K26" s="186" t="e">
        <f>VLOOKUP($Q$5,個別データ!$C$5:$HA$59,X26)</f>
        <v>#N/A</v>
      </c>
      <c r="L26" s="186" t="e">
        <f>VLOOKUP($Q$5,個別データ!$C$5:$HA$59,Y26)</f>
        <v>#N/A</v>
      </c>
      <c r="M26" s="186" t="e">
        <f>VLOOKUP($Q$5,個別データ!$C$5:$HA$59,Z26)</f>
        <v>#N/A</v>
      </c>
      <c r="N26" s="186" t="e">
        <f>VLOOKUP($Q$5,個別データ!$C$5:$HA$59,AA26)</f>
        <v>#N/A</v>
      </c>
      <c r="O26" s="186" t="e">
        <f>VLOOKUP($Q$5,個別データ!$C$5:$HA$59,AB26)</f>
        <v>#N/A</v>
      </c>
      <c r="P26" s="186" t="e">
        <f>VLOOKUP($Q$5,個別データ!$C$5:$HA$59,AC26)</f>
        <v>#N/A</v>
      </c>
      <c r="Q26" s="186" t="e">
        <f>VLOOKUP($Q$5,個別データ!$C$5:$HA$59,AD26)</f>
        <v>#N/A</v>
      </c>
      <c r="R26" s="240"/>
      <c r="S26">
        <f>個別データ!AO1</f>
        <v>39</v>
      </c>
      <c r="T26">
        <f>S26+1</f>
        <v>40</v>
      </c>
      <c r="U26">
        <f t="shared" ref="U26:AD27" si="7">T26+1</f>
        <v>41</v>
      </c>
      <c r="V26">
        <f t="shared" si="7"/>
        <v>42</v>
      </c>
      <c r="W26">
        <f t="shared" si="7"/>
        <v>43</v>
      </c>
      <c r="X26">
        <f t="shared" si="7"/>
        <v>44</v>
      </c>
      <c r="Y26">
        <f t="shared" si="7"/>
        <v>45</v>
      </c>
      <c r="Z26">
        <f t="shared" si="7"/>
        <v>46</v>
      </c>
      <c r="AA26">
        <f t="shared" si="7"/>
        <v>47</v>
      </c>
      <c r="AB26">
        <f t="shared" si="7"/>
        <v>48</v>
      </c>
      <c r="AC26">
        <f t="shared" si="7"/>
        <v>49</v>
      </c>
      <c r="AD26">
        <f t="shared" si="7"/>
        <v>50</v>
      </c>
      <c r="AF26" s="1"/>
      <c r="AG26" s="1">
        <f t="shared" si="5"/>
        <v>21</v>
      </c>
      <c r="AH26" s="1">
        <f t="shared" si="0"/>
        <v>2039</v>
      </c>
    </row>
    <row r="27" spans="1:34" ht="15" customHeight="1">
      <c r="A27" s="150"/>
      <c r="B27" s="145" t="s">
        <v>21</v>
      </c>
      <c r="C27" s="146"/>
      <c r="D27" s="146"/>
      <c r="E27" s="147"/>
      <c r="F27" s="187" t="e">
        <f>VLOOKUP($Q$5,個別データ!$C$5:$HA$59,S27)</f>
        <v>#N/A</v>
      </c>
      <c r="G27" s="186" t="e">
        <f>VLOOKUP($Q$5,個別データ!$C$5:$HA$59,T27)</f>
        <v>#N/A</v>
      </c>
      <c r="H27" s="186" t="e">
        <f>VLOOKUP($Q$5,個別データ!$C$5:$HA$59,U27)</f>
        <v>#N/A</v>
      </c>
      <c r="I27" s="186" t="e">
        <f>VLOOKUP($Q$5,個別データ!$C$5:$HA$59,V27)</f>
        <v>#N/A</v>
      </c>
      <c r="J27" s="186" t="e">
        <f>VLOOKUP($Q$5,個別データ!$C$5:$HA$59,W27)</f>
        <v>#N/A</v>
      </c>
      <c r="K27" s="186" t="e">
        <f>VLOOKUP($Q$5,個別データ!$C$5:$HA$59,X27)</f>
        <v>#N/A</v>
      </c>
      <c r="L27" s="186" t="e">
        <f>VLOOKUP($Q$5,個別データ!$C$5:$HA$59,Y27)</f>
        <v>#N/A</v>
      </c>
      <c r="M27" s="186" t="e">
        <f>VLOOKUP($Q$5,個別データ!$C$5:$HA$59,Z27)</f>
        <v>#N/A</v>
      </c>
      <c r="N27" s="186" t="e">
        <f>VLOOKUP($Q$5,個別データ!$C$5:$HA$59,AA27)</f>
        <v>#N/A</v>
      </c>
      <c r="O27" s="186" t="e">
        <f>VLOOKUP($Q$5,個別データ!$C$5:$HA$59,AB27)</f>
        <v>#N/A</v>
      </c>
      <c r="P27" s="186" t="e">
        <f>VLOOKUP($Q$5,個別データ!$C$5:$HA$59,AC27)</f>
        <v>#N/A</v>
      </c>
      <c r="Q27" s="186" t="e">
        <f>VLOOKUP($Q$5,個別データ!$C$5:$HA$59,AD27)</f>
        <v>#N/A</v>
      </c>
      <c r="R27" s="240"/>
      <c r="S27">
        <f>個別データ!BA1</f>
        <v>51</v>
      </c>
      <c r="T27">
        <f>S27+1</f>
        <v>52</v>
      </c>
      <c r="U27">
        <f t="shared" si="7"/>
        <v>53</v>
      </c>
      <c r="V27">
        <f t="shared" si="7"/>
        <v>54</v>
      </c>
      <c r="W27">
        <f t="shared" si="7"/>
        <v>55</v>
      </c>
      <c r="X27">
        <f t="shared" si="7"/>
        <v>56</v>
      </c>
      <c r="Y27">
        <f t="shared" si="7"/>
        <v>57</v>
      </c>
      <c r="Z27">
        <f t="shared" si="7"/>
        <v>58</v>
      </c>
      <c r="AA27">
        <f t="shared" si="7"/>
        <v>59</v>
      </c>
      <c r="AB27">
        <f t="shared" si="7"/>
        <v>60</v>
      </c>
      <c r="AC27">
        <f t="shared" si="7"/>
        <v>61</v>
      </c>
      <c r="AD27">
        <f t="shared" si="7"/>
        <v>62</v>
      </c>
      <c r="AF27" s="1"/>
      <c r="AG27" s="1">
        <f t="shared" si="5"/>
        <v>22</v>
      </c>
      <c r="AH27" s="1">
        <f t="shared" si="0"/>
        <v>2040</v>
      </c>
    </row>
    <row r="28" spans="1:34" ht="15" customHeight="1">
      <c r="A28" s="172" t="s">
        <v>22</v>
      </c>
      <c r="B28" s="151"/>
      <c r="C28" s="151"/>
      <c r="D28" s="151"/>
      <c r="E28" s="152"/>
      <c r="F28" s="190"/>
      <c r="G28" s="190"/>
      <c r="H28" s="190"/>
      <c r="I28" s="190"/>
      <c r="J28" s="190"/>
      <c r="K28" s="190"/>
      <c r="L28" s="190"/>
      <c r="M28" s="190"/>
      <c r="N28" s="190"/>
      <c r="O28" s="190"/>
      <c r="P28" s="190"/>
      <c r="Q28" s="190"/>
      <c r="R28" s="241"/>
      <c r="AF28" s="1"/>
      <c r="AG28" s="1">
        <f t="shared" si="5"/>
        <v>23</v>
      </c>
      <c r="AH28" s="1">
        <f t="shared" si="0"/>
        <v>2041</v>
      </c>
    </row>
    <row r="29" spans="1:34" ht="15" customHeight="1">
      <c r="A29" s="148"/>
      <c r="B29" s="172" t="s">
        <v>23</v>
      </c>
      <c r="C29" s="151"/>
      <c r="D29" s="151"/>
      <c r="E29" s="152"/>
      <c r="F29" s="281">
        <f t="shared" ref="F29:Q29" si="8">SUM(F30:F31)</f>
        <v>0</v>
      </c>
      <c r="G29" s="281" t="e">
        <f t="shared" si="8"/>
        <v>#N/A</v>
      </c>
      <c r="H29" s="281" t="e">
        <f t="shared" si="8"/>
        <v>#N/A</v>
      </c>
      <c r="I29" s="281" t="e">
        <f t="shared" si="8"/>
        <v>#N/A</v>
      </c>
      <c r="J29" s="281" t="e">
        <f t="shared" si="8"/>
        <v>#N/A</v>
      </c>
      <c r="K29" s="281" t="e">
        <f t="shared" si="8"/>
        <v>#N/A</v>
      </c>
      <c r="L29" s="281" t="e">
        <f t="shared" si="8"/>
        <v>#N/A</v>
      </c>
      <c r="M29" s="281" t="e">
        <f t="shared" si="8"/>
        <v>#N/A</v>
      </c>
      <c r="N29" s="281" t="e">
        <f t="shared" si="8"/>
        <v>#N/A</v>
      </c>
      <c r="O29" s="281" t="e">
        <f t="shared" si="8"/>
        <v>#N/A</v>
      </c>
      <c r="P29" s="281" t="e">
        <f t="shared" si="8"/>
        <v>#N/A</v>
      </c>
      <c r="Q29" s="281" t="e">
        <f t="shared" si="8"/>
        <v>#N/A</v>
      </c>
      <c r="R29" s="242"/>
      <c r="AF29" s="1"/>
      <c r="AG29" s="1">
        <f t="shared" si="5"/>
        <v>24</v>
      </c>
      <c r="AH29" s="1">
        <f t="shared" si="0"/>
        <v>2042</v>
      </c>
    </row>
    <row r="30" spans="1:34" ht="15" customHeight="1">
      <c r="A30" s="148"/>
      <c r="B30" s="148"/>
      <c r="C30" s="145" t="s">
        <v>24</v>
      </c>
      <c r="D30" s="146"/>
      <c r="E30" s="147"/>
      <c r="F30" s="187"/>
      <c r="G30" s="187" t="e">
        <f>VLOOKUP($Q$5,個別データ!$C$5:$HA$248,T30)</f>
        <v>#N/A</v>
      </c>
      <c r="H30" s="187" t="e">
        <f>VLOOKUP($Q$5,個別データ!$C$5:$HA$248,U30)</f>
        <v>#N/A</v>
      </c>
      <c r="I30" s="187" t="e">
        <f>VLOOKUP($Q$5,個別データ!$C$5:$HA$248,V30)</f>
        <v>#N/A</v>
      </c>
      <c r="J30" s="187" t="e">
        <f>VLOOKUP($Q$5,個別データ!$C$5:$HA$248,W30)</f>
        <v>#N/A</v>
      </c>
      <c r="K30" s="187" t="e">
        <f>VLOOKUP($Q$5,個別データ!$C$5:$HA$248,X30)</f>
        <v>#N/A</v>
      </c>
      <c r="L30" s="187" t="e">
        <f>VLOOKUP($Q$5,個別データ!$C$5:$HA$248,Y30)</f>
        <v>#N/A</v>
      </c>
      <c r="M30" s="187" t="e">
        <f>VLOOKUP($Q$5,個別データ!$C$5:$HA$248,Z30)</f>
        <v>#N/A</v>
      </c>
      <c r="N30" s="187" t="e">
        <f>VLOOKUP($Q$5,個別データ!$C$5:$HA$248,AA30)</f>
        <v>#N/A</v>
      </c>
      <c r="O30" s="187" t="e">
        <f>VLOOKUP($Q$5,個別データ!$C$5:$HA$248,AB30)</f>
        <v>#N/A</v>
      </c>
      <c r="P30" s="187" t="e">
        <f>VLOOKUP($Q$5,個別データ!$C$5:$HA$248,AC30)</f>
        <v>#N/A</v>
      </c>
      <c r="Q30" s="187" t="e">
        <f>VLOOKUP($Q$5,個別データ!$C$5:$HA$248,AD30)</f>
        <v>#N/A</v>
      </c>
      <c r="R30" s="243"/>
      <c r="S30">
        <f>個別データ!BM1</f>
        <v>63</v>
      </c>
      <c r="T30">
        <f>S30+1</f>
        <v>64</v>
      </c>
      <c r="U30">
        <f t="shared" ref="U30:AD30" si="9">T30+1</f>
        <v>65</v>
      </c>
      <c r="V30">
        <f t="shared" si="9"/>
        <v>66</v>
      </c>
      <c r="W30">
        <f t="shared" si="9"/>
        <v>67</v>
      </c>
      <c r="X30">
        <f t="shared" si="9"/>
        <v>68</v>
      </c>
      <c r="Y30">
        <f t="shared" si="9"/>
        <v>69</v>
      </c>
      <c r="Z30">
        <f t="shared" si="9"/>
        <v>70</v>
      </c>
      <c r="AA30">
        <f t="shared" si="9"/>
        <v>71</v>
      </c>
      <c r="AB30">
        <f t="shared" si="9"/>
        <v>72</v>
      </c>
      <c r="AC30">
        <f t="shared" si="9"/>
        <v>73</v>
      </c>
      <c r="AD30">
        <f t="shared" si="9"/>
        <v>74</v>
      </c>
      <c r="AF30" s="1"/>
      <c r="AG30" s="1">
        <f t="shared" si="5"/>
        <v>25</v>
      </c>
      <c r="AH30" s="1">
        <f t="shared" si="0"/>
        <v>2043</v>
      </c>
    </row>
    <row r="31" spans="1:34" ht="15" customHeight="1">
      <c r="A31" s="148"/>
      <c r="B31" s="150"/>
      <c r="C31" s="145" t="s">
        <v>25</v>
      </c>
      <c r="D31" s="146"/>
      <c r="E31" s="147"/>
      <c r="F31" s="187"/>
      <c r="G31" s="187" t="e">
        <f>VLOOKUP($Q$5,個別データ!$C$5:$HA$248,T31)</f>
        <v>#N/A</v>
      </c>
      <c r="H31" s="187" t="e">
        <f>VLOOKUP($Q$5,個別データ!$C$5:$HA$248,U31)</f>
        <v>#N/A</v>
      </c>
      <c r="I31" s="187" t="e">
        <f>VLOOKUP($Q$5,個別データ!$C$5:$HA$248,V31)</f>
        <v>#N/A</v>
      </c>
      <c r="J31" s="187" t="e">
        <f>VLOOKUP($Q$5,個別データ!$C$5:$HA$248,W31)</f>
        <v>#N/A</v>
      </c>
      <c r="K31" s="187" t="e">
        <f>VLOOKUP($Q$5,個別データ!$C$5:$HA$248,X31)</f>
        <v>#N/A</v>
      </c>
      <c r="L31" s="187" t="e">
        <f>VLOOKUP($Q$5,個別データ!$C$5:$HA$248,Y31)</f>
        <v>#N/A</v>
      </c>
      <c r="M31" s="187" t="e">
        <f>VLOOKUP($Q$5,個別データ!$C$5:$HA$248,Z31)</f>
        <v>#N/A</v>
      </c>
      <c r="N31" s="187" t="e">
        <f>VLOOKUP($Q$5,個別データ!$C$5:$HA$248,AA31)</f>
        <v>#N/A</v>
      </c>
      <c r="O31" s="187" t="e">
        <f>VLOOKUP($Q$5,個別データ!$C$5:$HA$248,AB31)</f>
        <v>#N/A</v>
      </c>
      <c r="P31" s="187" t="e">
        <f>VLOOKUP($Q$5,個別データ!$C$5:$HA$248,AC31)</f>
        <v>#N/A</v>
      </c>
      <c r="Q31" s="187" t="e">
        <f>VLOOKUP($Q$5,個別データ!$C$5:$HA$248,AD31)</f>
        <v>#N/A</v>
      </c>
      <c r="R31" s="243"/>
      <c r="S31">
        <f>個別データ!BY1</f>
        <v>75</v>
      </c>
      <c r="T31">
        <f t="shared" ref="T31:AD32" si="10">S31+1</f>
        <v>76</v>
      </c>
      <c r="U31">
        <f t="shared" si="10"/>
        <v>77</v>
      </c>
      <c r="V31">
        <f t="shared" si="10"/>
        <v>78</v>
      </c>
      <c r="W31">
        <f t="shared" si="10"/>
        <v>79</v>
      </c>
      <c r="X31">
        <f t="shared" si="10"/>
        <v>80</v>
      </c>
      <c r="Y31">
        <f t="shared" si="10"/>
        <v>81</v>
      </c>
      <c r="Z31">
        <f t="shared" si="10"/>
        <v>82</v>
      </c>
      <c r="AA31">
        <f t="shared" si="10"/>
        <v>83</v>
      </c>
      <c r="AB31">
        <f t="shared" si="10"/>
        <v>84</v>
      </c>
      <c r="AC31">
        <f t="shared" si="10"/>
        <v>85</v>
      </c>
      <c r="AD31">
        <f t="shared" si="10"/>
        <v>86</v>
      </c>
      <c r="AF31" s="1"/>
      <c r="AG31" s="1">
        <f t="shared" si="5"/>
        <v>26</v>
      </c>
      <c r="AH31" s="1">
        <f t="shared" si="0"/>
        <v>2044</v>
      </c>
    </row>
    <row r="32" spans="1:34" ht="15" customHeight="1">
      <c r="A32" s="145" t="s">
        <v>26</v>
      </c>
      <c r="B32" s="153"/>
      <c r="C32" s="153"/>
      <c r="D32" s="153"/>
      <c r="E32" s="154"/>
      <c r="F32" s="187"/>
      <c r="G32" s="187" t="e">
        <f>VLOOKUP($Q$5,個別データ!$C$5:$HA$248,T32)</f>
        <v>#N/A</v>
      </c>
      <c r="H32" s="187" t="e">
        <f>VLOOKUP($Q$5,個別データ!$C$5:$HA$248,U32)</f>
        <v>#N/A</v>
      </c>
      <c r="I32" s="187" t="e">
        <f>VLOOKUP($Q$5,個別データ!$C$5:$HA$248,V32)</f>
        <v>#N/A</v>
      </c>
      <c r="J32" s="187" t="e">
        <f>VLOOKUP($Q$5,個別データ!$C$5:$HA$248,W32)</f>
        <v>#N/A</v>
      </c>
      <c r="K32" s="187" t="e">
        <f>VLOOKUP($Q$5,個別データ!$C$5:$HA$248,X32)</f>
        <v>#N/A</v>
      </c>
      <c r="L32" s="187" t="e">
        <f>VLOOKUP($Q$5,個別データ!$C$5:$HA$248,Y32)</f>
        <v>#N/A</v>
      </c>
      <c r="M32" s="187" t="e">
        <f>VLOOKUP($Q$5,個別データ!$C$5:$HA$248,Z32)</f>
        <v>#N/A</v>
      </c>
      <c r="N32" s="187" t="e">
        <f>VLOOKUP($Q$5,個別データ!$C$5:$HA$248,AA32)</f>
        <v>#N/A</v>
      </c>
      <c r="O32" s="187" t="e">
        <f>VLOOKUP($Q$5,個別データ!$C$5:$HA$248,AB32)</f>
        <v>#N/A</v>
      </c>
      <c r="P32" s="187" t="e">
        <f>VLOOKUP($Q$5,個別データ!$C$5:$HA$248,AC32)</f>
        <v>#N/A</v>
      </c>
      <c r="Q32" s="187" t="e">
        <f>VLOOKUP($Q$5,個別データ!$C$5:$HA$248,AD32)</f>
        <v>#N/A</v>
      </c>
      <c r="R32" s="243"/>
      <c r="S32">
        <f>個別データ!CK1</f>
        <v>87</v>
      </c>
      <c r="T32">
        <f t="shared" si="10"/>
        <v>88</v>
      </c>
      <c r="U32">
        <f t="shared" si="10"/>
        <v>89</v>
      </c>
      <c r="V32">
        <f t="shared" si="10"/>
        <v>90</v>
      </c>
      <c r="W32">
        <f t="shared" si="10"/>
        <v>91</v>
      </c>
      <c r="X32">
        <f t="shared" si="10"/>
        <v>92</v>
      </c>
      <c r="Y32">
        <f t="shared" si="10"/>
        <v>93</v>
      </c>
      <c r="Z32">
        <f t="shared" si="10"/>
        <v>94</v>
      </c>
      <c r="AA32">
        <f t="shared" si="10"/>
        <v>95</v>
      </c>
      <c r="AB32">
        <f t="shared" si="10"/>
        <v>96</v>
      </c>
      <c r="AC32">
        <f t="shared" si="10"/>
        <v>97</v>
      </c>
      <c r="AD32">
        <f t="shared" si="10"/>
        <v>98</v>
      </c>
      <c r="AF32" s="1"/>
      <c r="AG32" s="1">
        <f t="shared" si="5"/>
        <v>27</v>
      </c>
      <c r="AH32" s="1">
        <f t="shared" si="0"/>
        <v>2045</v>
      </c>
    </row>
    <row r="33" spans="1:34" ht="15" customHeight="1">
      <c r="A33" s="145" t="s">
        <v>27</v>
      </c>
      <c r="B33" s="146"/>
      <c r="C33" s="146"/>
      <c r="D33" s="146"/>
      <c r="E33" s="147"/>
      <c r="F33" s="187"/>
      <c r="G33" s="187" t="e">
        <f>VLOOKUP($Q$5,個別データ!$C$5:$HA$248,$S33)</f>
        <v>#N/A</v>
      </c>
      <c r="H33" s="187" t="e">
        <f>VLOOKUP($Q$5,個別データ!$C$5:$HA$248,$S33)</f>
        <v>#N/A</v>
      </c>
      <c r="I33" s="187" t="e">
        <f>VLOOKUP($Q$5,個別データ!$C$5:$HA$248,$S33)</f>
        <v>#N/A</v>
      </c>
      <c r="J33" s="187" t="e">
        <f>VLOOKUP($Q$5,個別データ!$C$5:$HA$248,$S33)</f>
        <v>#N/A</v>
      </c>
      <c r="K33" s="187" t="e">
        <f>VLOOKUP($Q$5,個別データ!$C$5:$HA$248,$S33)</f>
        <v>#N/A</v>
      </c>
      <c r="L33" s="187" t="e">
        <f>VLOOKUP($Q$5,個別データ!$C$5:$HA$248,$S33)</f>
        <v>#N/A</v>
      </c>
      <c r="M33" s="187" t="e">
        <f>VLOOKUP($Q$5,個別データ!$C$5:$HA$248,$S33)</f>
        <v>#N/A</v>
      </c>
      <c r="N33" s="187" t="e">
        <f>VLOOKUP($Q$5,個別データ!$C$5:$HA$248,$S33)</f>
        <v>#N/A</v>
      </c>
      <c r="O33" s="187" t="e">
        <f>VLOOKUP($Q$5,個別データ!$C$5:$HA$248,$S33)</f>
        <v>#N/A</v>
      </c>
      <c r="P33" s="187" t="e">
        <f>VLOOKUP($Q$5,個別データ!$C$5:$HA$248,$S33)</f>
        <v>#N/A</v>
      </c>
      <c r="Q33" s="187" t="e">
        <f>VLOOKUP($Q$5,個別データ!$C$5:$HA$248,$S33)</f>
        <v>#N/A</v>
      </c>
      <c r="R33" s="240"/>
      <c r="S33">
        <f>個別データ!CW1</f>
        <v>99</v>
      </c>
      <c r="AF33" s="1"/>
      <c r="AG33" s="1">
        <f t="shared" si="5"/>
        <v>28</v>
      </c>
      <c r="AH33" s="1">
        <f t="shared" si="0"/>
        <v>2046</v>
      </c>
    </row>
    <row r="34" spans="1:34" ht="15" customHeight="1">
      <c r="A34" s="145" t="s">
        <v>1206</v>
      </c>
      <c r="B34" s="146"/>
      <c r="C34" s="146"/>
      <c r="D34" s="146"/>
      <c r="E34" s="147"/>
      <c r="F34" s="187"/>
      <c r="G34" s="187" t="e">
        <f>VLOOKUP($Q$5,個別データ!$C$5:$HA$248,$S34)</f>
        <v>#N/A</v>
      </c>
      <c r="H34" s="187" t="e">
        <f>VLOOKUP($Q$5,個別データ!$C$5:$HA$248,$S34)</f>
        <v>#N/A</v>
      </c>
      <c r="I34" s="187" t="e">
        <f>VLOOKUP($Q$5,個別データ!$C$5:$HA$248,$S34)</f>
        <v>#N/A</v>
      </c>
      <c r="J34" s="187" t="e">
        <f>VLOOKUP($Q$5,個別データ!$C$5:$HA$248,$S34)</f>
        <v>#N/A</v>
      </c>
      <c r="K34" s="187" t="e">
        <f>VLOOKUP($Q$5,個別データ!$C$5:$HA$248,$S34)</f>
        <v>#N/A</v>
      </c>
      <c r="L34" s="187" t="e">
        <f>VLOOKUP($Q$5,個別データ!$C$5:$HA$248,$S34)</f>
        <v>#N/A</v>
      </c>
      <c r="M34" s="187" t="e">
        <f>VLOOKUP($Q$5,個別データ!$C$5:$HA$248,$S34)</f>
        <v>#N/A</v>
      </c>
      <c r="N34" s="187" t="e">
        <f>VLOOKUP($Q$5,個別データ!$C$5:$HA$248,$S34)</f>
        <v>#N/A</v>
      </c>
      <c r="O34" s="187" t="e">
        <f>VLOOKUP($Q$5,個別データ!$C$5:$HA$248,$S34)</f>
        <v>#N/A</v>
      </c>
      <c r="P34" s="187" t="e">
        <f>VLOOKUP($Q$5,個別データ!$C$5:$HA$248,$S34)</f>
        <v>#N/A</v>
      </c>
      <c r="Q34" s="187" t="e">
        <f>VLOOKUP($Q$5,個別データ!$C$5:$HA$248,$S34)</f>
        <v>#N/A</v>
      </c>
      <c r="R34" s="244"/>
      <c r="S34">
        <f>個別データ!CX1</f>
        <v>100</v>
      </c>
      <c r="AF34" s="1"/>
      <c r="AG34" s="1">
        <f t="shared" si="5"/>
        <v>29</v>
      </c>
      <c r="AH34" s="1">
        <f t="shared" si="0"/>
        <v>2047</v>
      </c>
    </row>
    <row r="35" spans="1:34" ht="15" hidden="1" customHeight="1">
      <c r="A35" s="270" t="s">
        <v>28</v>
      </c>
      <c r="B35" s="271"/>
      <c r="C35" s="271"/>
      <c r="D35" s="271"/>
      <c r="E35" s="272"/>
      <c r="F35" s="187" t="e">
        <f>VLOOKUP($Q$5,[15]個別データ!$C$5:$FG$243,S35)</f>
        <v>#N/A</v>
      </c>
      <c r="G35" s="187" t="e">
        <f t="shared" ref="G35:Q38" si="11">F35</f>
        <v>#N/A</v>
      </c>
      <c r="H35" s="187" t="e">
        <f t="shared" si="11"/>
        <v>#N/A</v>
      </c>
      <c r="I35" s="187" t="e">
        <f t="shared" si="11"/>
        <v>#N/A</v>
      </c>
      <c r="J35" s="187" t="e">
        <f t="shared" si="11"/>
        <v>#N/A</v>
      </c>
      <c r="K35" s="187" t="e">
        <f t="shared" si="11"/>
        <v>#N/A</v>
      </c>
      <c r="L35" s="187" t="e">
        <f t="shared" si="11"/>
        <v>#N/A</v>
      </c>
      <c r="M35" s="187" t="e">
        <f t="shared" si="11"/>
        <v>#N/A</v>
      </c>
      <c r="N35" s="187" t="e">
        <f t="shared" si="11"/>
        <v>#N/A</v>
      </c>
      <c r="O35" s="187" t="e">
        <f t="shared" si="11"/>
        <v>#N/A</v>
      </c>
      <c r="P35" s="187" t="e">
        <f t="shared" si="11"/>
        <v>#N/A</v>
      </c>
      <c r="Q35" s="187" t="e">
        <f t="shared" si="11"/>
        <v>#N/A</v>
      </c>
      <c r="R35" s="240"/>
      <c r="S35">
        <f>個別データ!CY1</f>
        <v>101</v>
      </c>
      <c r="T35">
        <f t="shared" ref="T35:AD37" si="12">S35+1</f>
        <v>102</v>
      </c>
      <c r="U35">
        <f t="shared" si="12"/>
        <v>103</v>
      </c>
      <c r="V35">
        <f t="shared" si="12"/>
        <v>104</v>
      </c>
      <c r="W35">
        <f t="shared" si="12"/>
        <v>105</v>
      </c>
      <c r="X35">
        <f t="shared" si="12"/>
        <v>106</v>
      </c>
      <c r="Y35">
        <f t="shared" si="12"/>
        <v>107</v>
      </c>
      <c r="Z35">
        <f t="shared" si="12"/>
        <v>108</v>
      </c>
      <c r="AA35">
        <f t="shared" si="12"/>
        <v>109</v>
      </c>
      <c r="AB35">
        <f t="shared" si="12"/>
        <v>110</v>
      </c>
      <c r="AC35">
        <f t="shared" si="12"/>
        <v>111</v>
      </c>
      <c r="AD35">
        <f t="shared" si="12"/>
        <v>112</v>
      </c>
      <c r="AF35" s="1"/>
      <c r="AG35" s="1">
        <f t="shared" si="5"/>
        <v>30</v>
      </c>
      <c r="AH35" s="1">
        <f t="shared" si="0"/>
        <v>2048</v>
      </c>
    </row>
    <row r="36" spans="1:34" ht="15" hidden="1" customHeight="1">
      <c r="A36" s="270" t="s">
        <v>29</v>
      </c>
      <c r="B36" s="271"/>
      <c r="C36" s="271"/>
      <c r="D36" s="271"/>
      <c r="E36" s="272"/>
      <c r="F36" s="187" t="e">
        <f>IF(OR(F37=$W$22,F37=$W$23),$T$22,$T$23)</f>
        <v>#N/A</v>
      </c>
      <c r="G36" s="187" t="e">
        <f t="shared" si="11"/>
        <v>#N/A</v>
      </c>
      <c r="H36" s="187" t="e">
        <f t="shared" si="11"/>
        <v>#N/A</v>
      </c>
      <c r="I36" s="187" t="e">
        <f t="shared" si="11"/>
        <v>#N/A</v>
      </c>
      <c r="J36" s="187" t="e">
        <f t="shared" si="11"/>
        <v>#N/A</v>
      </c>
      <c r="K36" s="187" t="e">
        <f t="shared" si="11"/>
        <v>#N/A</v>
      </c>
      <c r="L36" s="187" t="e">
        <f t="shared" si="11"/>
        <v>#N/A</v>
      </c>
      <c r="M36" s="187" t="e">
        <f t="shared" si="11"/>
        <v>#N/A</v>
      </c>
      <c r="N36" s="187" t="e">
        <f t="shared" si="11"/>
        <v>#N/A</v>
      </c>
      <c r="O36" s="187" t="e">
        <f t="shared" si="11"/>
        <v>#N/A</v>
      </c>
      <c r="P36" s="187" t="e">
        <f t="shared" si="11"/>
        <v>#N/A</v>
      </c>
      <c r="Q36" s="187" t="e">
        <f t="shared" si="11"/>
        <v>#N/A</v>
      </c>
      <c r="R36" s="240"/>
      <c r="AF36" s="1"/>
      <c r="AG36" s="1">
        <f t="shared" si="5"/>
        <v>31</v>
      </c>
      <c r="AH36" s="1">
        <f t="shared" si="0"/>
        <v>2049</v>
      </c>
    </row>
    <row r="37" spans="1:34" ht="15" hidden="1" customHeight="1">
      <c r="A37" s="273"/>
      <c r="B37" s="274" t="s">
        <v>30</v>
      </c>
      <c r="C37" s="275"/>
      <c r="D37" s="275"/>
      <c r="E37" s="276"/>
      <c r="F37" s="187" t="e">
        <f>VLOOKUP($Q$5,[15]個別データ!$C$5:$FG$243,S37)</f>
        <v>#N/A</v>
      </c>
      <c r="G37" s="187" t="e">
        <f t="shared" si="11"/>
        <v>#N/A</v>
      </c>
      <c r="H37" s="187" t="e">
        <f t="shared" si="11"/>
        <v>#N/A</v>
      </c>
      <c r="I37" s="187" t="e">
        <f t="shared" si="11"/>
        <v>#N/A</v>
      </c>
      <c r="J37" s="187" t="e">
        <f t="shared" si="11"/>
        <v>#N/A</v>
      </c>
      <c r="K37" s="187" t="e">
        <f t="shared" si="11"/>
        <v>#N/A</v>
      </c>
      <c r="L37" s="187" t="e">
        <f t="shared" si="11"/>
        <v>#N/A</v>
      </c>
      <c r="M37" s="187" t="e">
        <f t="shared" si="11"/>
        <v>#N/A</v>
      </c>
      <c r="N37" s="187" t="e">
        <f t="shared" si="11"/>
        <v>#N/A</v>
      </c>
      <c r="O37" s="187" t="e">
        <f t="shared" si="11"/>
        <v>#N/A</v>
      </c>
      <c r="P37" s="187" t="e">
        <f t="shared" si="11"/>
        <v>#N/A</v>
      </c>
      <c r="Q37" s="187" t="e">
        <f t="shared" si="11"/>
        <v>#N/A</v>
      </c>
      <c r="R37" s="245"/>
      <c r="S37">
        <f>個別データ!DK1</f>
        <v>113</v>
      </c>
      <c r="T37">
        <f t="shared" si="12"/>
        <v>114</v>
      </c>
      <c r="U37">
        <f t="shared" si="12"/>
        <v>115</v>
      </c>
      <c r="V37">
        <f t="shared" si="12"/>
        <v>116</v>
      </c>
      <c r="W37">
        <f t="shared" si="12"/>
        <v>117</v>
      </c>
      <c r="X37">
        <f t="shared" si="12"/>
        <v>118</v>
      </c>
      <c r="Y37">
        <f t="shared" si="12"/>
        <v>119</v>
      </c>
      <c r="Z37">
        <f t="shared" si="12"/>
        <v>120</v>
      </c>
      <c r="AA37">
        <f t="shared" si="12"/>
        <v>121</v>
      </c>
      <c r="AB37">
        <f t="shared" si="12"/>
        <v>122</v>
      </c>
      <c r="AC37">
        <f t="shared" si="12"/>
        <v>123</v>
      </c>
      <c r="AD37">
        <f t="shared" si="12"/>
        <v>124</v>
      </c>
      <c r="AF37" s="1"/>
      <c r="AG37" s="1">
        <f t="shared" si="5"/>
        <v>32</v>
      </c>
      <c r="AH37" s="1">
        <f t="shared" si="0"/>
        <v>2050</v>
      </c>
    </row>
    <row r="38" spans="1:34" ht="15" customHeight="1">
      <c r="A38" s="150" t="s">
        <v>31</v>
      </c>
      <c r="B38" s="153"/>
      <c r="C38" s="153"/>
      <c r="D38" s="153"/>
      <c r="E38" s="154"/>
      <c r="F38" s="187" t="s">
        <v>11</v>
      </c>
      <c r="G38" s="187" t="str">
        <f t="shared" si="11"/>
        <v>有</v>
      </c>
      <c r="H38" s="187" t="str">
        <f t="shared" si="11"/>
        <v>有</v>
      </c>
      <c r="I38" s="187" t="str">
        <f t="shared" si="11"/>
        <v>有</v>
      </c>
      <c r="J38" s="187" t="str">
        <f t="shared" si="11"/>
        <v>有</v>
      </c>
      <c r="K38" s="187" t="str">
        <f t="shared" si="11"/>
        <v>有</v>
      </c>
      <c r="L38" s="187" t="str">
        <f t="shared" si="11"/>
        <v>有</v>
      </c>
      <c r="M38" s="187" t="str">
        <f t="shared" si="11"/>
        <v>有</v>
      </c>
      <c r="N38" s="187" t="str">
        <f t="shared" si="11"/>
        <v>有</v>
      </c>
      <c r="O38" s="187" t="str">
        <f t="shared" si="11"/>
        <v>有</v>
      </c>
      <c r="P38" s="187" t="str">
        <f t="shared" si="11"/>
        <v>有</v>
      </c>
      <c r="Q38" s="187" t="str">
        <f t="shared" si="11"/>
        <v>有</v>
      </c>
      <c r="R38" s="240"/>
      <c r="S38">
        <f>個別データ!EI1</f>
        <v>137</v>
      </c>
      <c r="T38">
        <f>+S38+1</f>
        <v>138</v>
      </c>
      <c r="U38">
        <f t="shared" ref="U38:AD38" si="13">+T38+1</f>
        <v>139</v>
      </c>
      <c r="V38">
        <f t="shared" si="13"/>
        <v>140</v>
      </c>
      <c r="W38">
        <f t="shared" si="13"/>
        <v>141</v>
      </c>
      <c r="X38">
        <f t="shared" si="13"/>
        <v>142</v>
      </c>
      <c r="Y38">
        <f t="shared" si="13"/>
        <v>143</v>
      </c>
      <c r="Z38">
        <f t="shared" si="13"/>
        <v>144</v>
      </c>
      <c r="AA38">
        <f t="shared" si="13"/>
        <v>145</v>
      </c>
      <c r="AB38">
        <f t="shared" si="13"/>
        <v>146</v>
      </c>
      <c r="AC38">
        <f t="shared" si="13"/>
        <v>147</v>
      </c>
      <c r="AD38">
        <f t="shared" si="13"/>
        <v>148</v>
      </c>
      <c r="AF38" s="1"/>
      <c r="AG38" s="1">
        <f t="shared" si="5"/>
        <v>33</v>
      </c>
      <c r="AH38" s="1">
        <f t="shared" si="5"/>
        <v>2051</v>
      </c>
    </row>
    <row r="39" spans="1:34" ht="15" customHeight="1">
      <c r="A39" s="145" t="s">
        <v>1629</v>
      </c>
      <c r="E39" s="184"/>
      <c r="F39" s="187" t="s">
        <v>13</v>
      </c>
      <c r="G39" s="187" t="e">
        <f>VLOOKUP($Q$5,個別データ!$C$5:$HA$248,T39)</f>
        <v>#N/A</v>
      </c>
      <c r="H39" s="187" t="e">
        <f>VLOOKUP($Q$5,個別データ!$C$5:$HA$248,U39)</f>
        <v>#N/A</v>
      </c>
      <c r="I39" s="187" t="e">
        <f>VLOOKUP($Q$5,個別データ!$C$5:$HA$248,V39)</f>
        <v>#N/A</v>
      </c>
      <c r="J39" s="187" t="e">
        <f>VLOOKUP($Q$5,個別データ!$C$5:$HA$248,W39)</f>
        <v>#N/A</v>
      </c>
      <c r="K39" s="187" t="e">
        <f>VLOOKUP($Q$5,個別データ!$C$5:$HA$248,X39)</f>
        <v>#N/A</v>
      </c>
      <c r="L39" s="187" t="e">
        <f>VLOOKUP($Q$5,個別データ!$C$5:$HA$248,Y39)</f>
        <v>#N/A</v>
      </c>
      <c r="M39" s="187" t="e">
        <f>VLOOKUP($Q$5,個別データ!$C$5:$HA$248,Z39)</f>
        <v>#N/A</v>
      </c>
      <c r="N39" s="187" t="e">
        <f>VLOOKUP($Q$5,個別データ!$C$5:$HA$248,AA39)</f>
        <v>#N/A</v>
      </c>
      <c r="O39" s="187" t="e">
        <f>VLOOKUP($Q$5,個別データ!$C$5:$HA$248,AB39)</f>
        <v>#N/A</v>
      </c>
      <c r="P39" s="187" t="e">
        <f>VLOOKUP($Q$5,個別データ!$C$5:$HA$248,AC39)</f>
        <v>#N/A</v>
      </c>
      <c r="Q39" s="187" t="e">
        <f>VLOOKUP($Q$5,個別データ!$C$5:$HA$248,AD39)</f>
        <v>#N/A</v>
      </c>
      <c r="R39" s="240"/>
      <c r="S39">
        <f>個別データ!EW1</f>
        <v>151</v>
      </c>
      <c r="T39">
        <f>S39+1</f>
        <v>152</v>
      </c>
      <c r="U39">
        <f t="shared" ref="U39:AD39" si="14">T39+1</f>
        <v>153</v>
      </c>
      <c r="V39">
        <f t="shared" si="14"/>
        <v>154</v>
      </c>
      <c r="W39">
        <f t="shared" si="14"/>
        <v>155</v>
      </c>
      <c r="X39">
        <f t="shared" si="14"/>
        <v>156</v>
      </c>
      <c r="Y39">
        <f t="shared" si="14"/>
        <v>157</v>
      </c>
      <c r="Z39">
        <f t="shared" si="14"/>
        <v>158</v>
      </c>
      <c r="AA39">
        <f t="shared" si="14"/>
        <v>159</v>
      </c>
      <c r="AB39">
        <f t="shared" si="14"/>
        <v>160</v>
      </c>
      <c r="AC39">
        <f t="shared" si="14"/>
        <v>161</v>
      </c>
      <c r="AD39">
        <f t="shared" si="14"/>
        <v>162</v>
      </c>
      <c r="AF39" s="1"/>
      <c r="AG39" s="1"/>
      <c r="AH39" s="1"/>
    </row>
    <row r="40" spans="1:34" ht="15" customHeight="1">
      <c r="A40" s="172" t="s">
        <v>668</v>
      </c>
      <c r="B40" s="151"/>
      <c r="C40" s="151"/>
      <c r="D40" s="151"/>
      <c r="E40" s="152"/>
      <c r="F40" s="187"/>
      <c r="G40" s="187" t="e">
        <f t="shared" ref="G40:Q40" si="15">IF(OR(G41=$T$44,G41=$T$45,G41=$T$46),"有","無")</f>
        <v>#N/A</v>
      </c>
      <c r="H40" s="187" t="e">
        <f t="shared" si="15"/>
        <v>#N/A</v>
      </c>
      <c r="I40" s="187" t="e">
        <f t="shared" si="15"/>
        <v>#N/A</v>
      </c>
      <c r="J40" s="187" t="e">
        <f t="shared" si="15"/>
        <v>#N/A</v>
      </c>
      <c r="K40" s="187" t="e">
        <f t="shared" si="15"/>
        <v>#N/A</v>
      </c>
      <c r="L40" s="187" t="e">
        <f t="shared" si="15"/>
        <v>#N/A</v>
      </c>
      <c r="M40" s="187" t="e">
        <f t="shared" si="15"/>
        <v>#N/A</v>
      </c>
      <c r="N40" s="187" t="e">
        <f t="shared" si="15"/>
        <v>#N/A</v>
      </c>
      <c r="O40" s="187" t="e">
        <f t="shared" si="15"/>
        <v>#N/A</v>
      </c>
      <c r="P40" s="187" t="e">
        <f t="shared" si="15"/>
        <v>#N/A</v>
      </c>
      <c r="Q40" s="187" t="e">
        <f t="shared" si="15"/>
        <v>#N/A</v>
      </c>
      <c r="R40" s="245"/>
      <c r="AF40" s="1"/>
      <c r="AG40" s="1">
        <f>AG38+1</f>
        <v>34</v>
      </c>
      <c r="AH40" s="1">
        <f>AH38+1</f>
        <v>2052</v>
      </c>
    </row>
    <row r="41" spans="1:34" ht="15" customHeight="1">
      <c r="A41" s="150"/>
      <c r="B41" s="145" t="s">
        <v>669</v>
      </c>
      <c r="C41" s="146"/>
      <c r="D41" s="146"/>
      <c r="E41" s="147"/>
      <c r="F41" s="188"/>
      <c r="G41" s="188" t="e">
        <f>VLOOKUP($Q$5,個別データ!$C$5:$HA$248,T41)</f>
        <v>#N/A</v>
      </c>
      <c r="H41" s="188" t="e">
        <f>VLOOKUP($Q$5,個別データ!$C$5:$HA$248,U41)</f>
        <v>#N/A</v>
      </c>
      <c r="I41" s="188" t="e">
        <f>VLOOKUP($Q$5,個別データ!$C$5:$HA$248,V41)</f>
        <v>#N/A</v>
      </c>
      <c r="J41" s="188" t="e">
        <f>VLOOKUP($Q$5,個別データ!$C$5:$HA$248,W41)</f>
        <v>#N/A</v>
      </c>
      <c r="K41" s="188" t="e">
        <f>VLOOKUP($Q$5,個別データ!$C$5:$HA$248,X41)</f>
        <v>#N/A</v>
      </c>
      <c r="L41" s="188" t="e">
        <f>VLOOKUP($Q$5,個別データ!$C$5:$HA$248,Y41)</f>
        <v>#N/A</v>
      </c>
      <c r="M41" s="188" t="e">
        <f>VLOOKUP($Q$5,個別データ!$C$5:$HA$248,Z41)</f>
        <v>#N/A</v>
      </c>
      <c r="N41" s="188" t="e">
        <f>VLOOKUP($Q$5,個別データ!$C$5:$HA$248,AA41)</f>
        <v>#N/A</v>
      </c>
      <c r="O41" s="188" t="e">
        <f>VLOOKUP($Q$5,個別データ!$C$5:$HA$248,AB41)</f>
        <v>#N/A</v>
      </c>
      <c r="P41" s="188" t="e">
        <f>VLOOKUP($Q$5,個別データ!$C$5:$HA$248,AC41)</f>
        <v>#N/A</v>
      </c>
      <c r="Q41" s="188" t="e">
        <f>VLOOKUP($Q$5,個別データ!$C$5:$HA$248,AD41)</f>
        <v>#N/A</v>
      </c>
      <c r="R41" s="245"/>
      <c r="S41">
        <f>個別データ!GC1</f>
        <v>183</v>
      </c>
      <c r="T41">
        <f>+S41+1</f>
        <v>184</v>
      </c>
      <c r="U41">
        <f t="shared" ref="U41:AD42" si="16">+T41+1</f>
        <v>185</v>
      </c>
      <c r="V41">
        <f t="shared" si="16"/>
        <v>186</v>
      </c>
      <c r="W41">
        <f t="shared" si="16"/>
        <v>187</v>
      </c>
      <c r="X41">
        <f t="shared" si="16"/>
        <v>188</v>
      </c>
      <c r="Y41">
        <f t="shared" si="16"/>
        <v>189</v>
      </c>
      <c r="Z41">
        <f t="shared" si="16"/>
        <v>190</v>
      </c>
      <c r="AA41">
        <f t="shared" si="16"/>
        <v>191</v>
      </c>
      <c r="AB41">
        <f t="shared" si="16"/>
        <v>192</v>
      </c>
      <c r="AC41">
        <f t="shared" si="16"/>
        <v>193</v>
      </c>
      <c r="AD41">
        <f t="shared" si="16"/>
        <v>194</v>
      </c>
      <c r="AF41" s="1"/>
      <c r="AG41" s="1">
        <f t="shared" ref="AG41:AH42" si="17">AG40+1</f>
        <v>35</v>
      </c>
      <c r="AH41" s="1">
        <f t="shared" si="17"/>
        <v>2053</v>
      </c>
    </row>
    <row r="42" spans="1:34" ht="15" hidden="1" customHeight="1">
      <c r="A42" s="150"/>
      <c r="B42" s="150"/>
      <c r="C42" s="150" t="s">
        <v>724</v>
      </c>
      <c r="D42" s="153"/>
      <c r="E42" s="154"/>
      <c r="F42" s="188">
        <f>IF(F41="配置",個別データ!$GO$3,0)</f>
        <v>0</v>
      </c>
      <c r="G42" s="188" t="e">
        <f>IF(G41="配置",個別データ!$GO$3,0)</f>
        <v>#N/A</v>
      </c>
      <c r="H42" s="188" t="e">
        <f>IF(H41="配置",個別データ!$GO$3,0)</f>
        <v>#N/A</v>
      </c>
      <c r="I42" s="188" t="e">
        <f>IF(I41="配置",個別データ!$GO$3,0)</f>
        <v>#N/A</v>
      </c>
      <c r="J42" s="188" t="e">
        <f>IF(J41="配置",個別データ!$GO$3,0)</f>
        <v>#N/A</v>
      </c>
      <c r="K42" s="188" t="e">
        <f>IF(K41="配置",個別データ!$GO$3,0)</f>
        <v>#N/A</v>
      </c>
      <c r="L42" s="188" t="e">
        <f>IF(L41="配置",個別データ!$GO$3,0)</f>
        <v>#N/A</v>
      </c>
      <c r="M42" s="188" t="e">
        <f>IF(M41="配置",個別データ!$GO$3,0)</f>
        <v>#N/A</v>
      </c>
      <c r="N42" s="188" t="e">
        <f>IF(N41="配置",個別データ!$GO$3,0)</f>
        <v>#N/A</v>
      </c>
      <c r="O42" s="188" t="e">
        <f>IF(O41="配置",個別データ!$GO$3,0)</f>
        <v>#N/A</v>
      </c>
      <c r="P42" s="188" t="e">
        <f>IF(P41="配置",個別データ!$GO$3,0)</f>
        <v>#N/A</v>
      </c>
      <c r="Q42" s="188" t="e">
        <f>IF(Q41="配置",個別データ!$GO$3,0)</f>
        <v>#N/A</v>
      </c>
      <c r="R42" s="246"/>
      <c r="S42">
        <f>個別データ!GO1</f>
        <v>195</v>
      </c>
      <c r="T42">
        <f>+S42+1</f>
        <v>196</v>
      </c>
      <c r="U42">
        <f t="shared" si="16"/>
        <v>197</v>
      </c>
      <c r="V42">
        <f t="shared" si="16"/>
        <v>198</v>
      </c>
      <c r="W42">
        <f t="shared" si="16"/>
        <v>199</v>
      </c>
      <c r="X42">
        <f t="shared" si="16"/>
        <v>200</v>
      </c>
      <c r="Y42">
        <f t="shared" si="16"/>
        <v>201</v>
      </c>
      <c r="Z42">
        <f t="shared" si="16"/>
        <v>202</v>
      </c>
      <c r="AA42">
        <f t="shared" si="16"/>
        <v>203</v>
      </c>
      <c r="AB42">
        <f t="shared" si="16"/>
        <v>204</v>
      </c>
      <c r="AC42">
        <f t="shared" si="16"/>
        <v>205</v>
      </c>
      <c r="AD42">
        <f t="shared" si="16"/>
        <v>206</v>
      </c>
      <c r="AF42" s="1"/>
      <c r="AG42" s="1">
        <f t="shared" si="17"/>
        <v>36</v>
      </c>
      <c r="AH42" s="1">
        <f t="shared" si="0"/>
        <v>2054</v>
      </c>
    </row>
    <row r="43" spans="1:34" ht="3.75" customHeight="1">
      <c r="AF43" s="1"/>
      <c r="AG43" s="1">
        <f t="shared" ref="AG43" si="18">AG42+1</f>
        <v>37</v>
      </c>
      <c r="AH43" s="1">
        <f t="shared" si="0"/>
        <v>2055</v>
      </c>
    </row>
    <row r="44" spans="1:34" ht="15" customHeight="1">
      <c r="T44" t="s">
        <v>665</v>
      </c>
      <c r="U44">
        <v>76960</v>
      </c>
      <c r="AF44" s="1"/>
      <c r="AG44" s="1">
        <f t="shared" ref="AG44" si="19">AG43+1</f>
        <v>38</v>
      </c>
      <c r="AH44" s="1">
        <f t="shared" si="0"/>
        <v>2056</v>
      </c>
    </row>
    <row r="45" spans="1:34" ht="15" customHeight="1">
      <c r="B45" t="s">
        <v>386</v>
      </c>
      <c r="T45" t="s">
        <v>666</v>
      </c>
      <c r="U45">
        <v>50000</v>
      </c>
      <c r="AF45" s="1"/>
      <c r="AG45" s="1">
        <f t="shared" ref="AG45" si="20">AG44+1</f>
        <v>39</v>
      </c>
      <c r="AH45" s="1">
        <f t="shared" si="0"/>
        <v>2057</v>
      </c>
    </row>
    <row r="46" spans="1:34" ht="15" customHeight="1">
      <c r="B46" t="s">
        <v>387</v>
      </c>
      <c r="T46" t="s">
        <v>667</v>
      </c>
      <c r="U46">
        <v>10000</v>
      </c>
      <c r="AF46" s="1" t="s">
        <v>32</v>
      </c>
      <c r="AG46" s="1">
        <v>31</v>
      </c>
      <c r="AH46" s="1">
        <v>2019</v>
      </c>
    </row>
    <row r="47" spans="1:34" ht="15" customHeight="1"/>
    <row r="48" spans="1:34" ht="15" customHeight="1"/>
    <row r="49" spans="5:20" ht="15" customHeight="1"/>
    <row r="50" spans="5:20" ht="15" customHeight="1"/>
    <row r="51" spans="5:20" ht="15" customHeight="1"/>
    <row r="52" spans="5:20" ht="32.25" customHeight="1"/>
    <row r="53" spans="5:20" ht="33" customHeight="1"/>
    <row r="54" spans="5:20" ht="33" customHeight="1"/>
    <row r="55" spans="5:20" ht="33.75" hidden="1" customHeight="1">
      <c r="F55" s="182"/>
      <c r="G55" s="182"/>
      <c r="H55" s="182"/>
      <c r="I55" s="182"/>
      <c r="J55" s="182"/>
      <c r="K55" s="182"/>
      <c r="L55" s="182"/>
      <c r="M55" s="182"/>
      <c r="N55" s="182"/>
      <c r="O55" s="182"/>
      <c r="P55" s="182"/>
      <c r="Q55" s="182"/>
      <c r="R55" s="182"/>
      <c r="T55" t="s">
        <v>35</v>
      </c>
    </row>
    <row r="56" spans="5:20" ht="33.75" hidden="1" customHeight="1"/>
    <row r="57" spans="5:20" ht="33.75" hidden="1" customHeight="1">
      <c r="N57" t="s">
        <v>866</v>
      </c>
    </row>
    <row r="58" spans="5:20" ht="31.5" hidden="1" customHeight="1">
      <c r="N58" t="s">
        <v>867</v>
      </c>
    </row>
    <row r="59" spans="5:20" ht="31.5" hidden="1" customHeight="1">
      <c r="N59" t="s">
        <v>868</v>
      </c>
    </row>
    <row r="60" spans="5:20" ht="31.5" hidden="1" customHeight="1">
      <c r="E60" s="752" t="s">
        <v>707</v>
      </c>
      <c r="F60" s="752"/>
      <c r="G60" s="752"/>
      <c r="H60" s="752"/>
      <c r="I60" s="752"/>
      <c r="J60" s="752"/>
      <c r="K60" s="752"/>
      <c r="N60" t="s">
        <v>869</v>
      </c>
    </row>
    <row r="61" spans="5:20" ht="31.5" hidden="1" customHeight="1">
      <c r="E61" s="752"/>
      <c r="F61" s="752"/>
      <c r="G61" s="752"/>
      <c r="H61" s="752"/>
      <c r="I61" s="752"/>
      <c r="J61" s="752"/>
      <c r="K61" s="752"/>
      <c r="N61" t="s">
        <v>870</v>
      </c>
    </row>
    <row r="62" spans="5:20" ht="31.5" hidden="1" customHeight="1">
      <c r="E62" s="752"/>
      <c r="F62" s="752"/>
      <c r="G62" s="752"/>
      <c r="H62" s="752"/>
      <c r="I62" s="752"/>
      <c r="J62" s="752"/>
      <c r="K62" s="752"/>
      <c r="N62" t="s">
        <v>871</v>
      </c>
    </row>
    <row r="63" spans="5:20" ht="31.5" hidden="1" customHeight="1">
      <c r="E63" s="752" t="s">
        <v>709</v>
      </c>
      <c r="F63" s="752"/>
      <c r="G63" s="752"/>
      <c r="H63" s="752"/>
      <c r="I63" s="752"/>
      <c r="J63" s="752"/>
      <c r="K63" s="752"/>
    </row>
    <row r="64" spans="5:20" ht="33.75" hidden="1" customHeight="1">
      <c r="E64" s="752"/>
      <c r="F64" s="752"/>
      <c r="G64" s="752"/>
      <c r="H64" s="752"/>
      <c r="I64" s="752"/>
      <c r="J64" s="752"/>
      <c r="K64" s="752"/>
    </row>
    <row r="65" spans="1:18" ht="33.75" hidden="1" customHeight="1">
      <c r="E65" s="752"/>
      <c r="F65" s="752"/>
      <c r="G65" s="752"/>
      <c r="H65" s="752"/>
      <c r="I65" s="752"/>
      <c r="J65" s="752"/>
      <c r="K65" s="752"/>
    </row>
    <row r="66" spans="1:18" hidden="1"/>
    <row r="67" spans="1:18" hidden="1"/>
    <row r="68" spans="1:18" hidden="1"/>
    <row r="69" spans="1:18" hidden="1"/>
    <row r="70" spans="1:18" hidden="1"/>
    <row r="71" spans="1:18" hidden="1"/>
    <row r="72" spans="1:18" hidden="1"/>
    <row r="73" spans="1:18" hidden="1"/>
    <row r="74" spans="1:18" hidden="1"/>
    <row r="75" spans="1:18" ht="39" hidden="1" customHeight="1"/>
    <row r="76" spans="1:18" hidden="1"/>
    <row r="77" spans="1:18" hidden="1"/>
    <row r="78" spans="1:18" hidden="1">
      <c r="A78" s="750" t="s">
        <v>33</v>
      </c>
      <c r="B78" s="751"/>
      <c r="C78" s="751"/>
      <c r="D78" s="170"/>
      <c r="E78" s="170"/>
      <c r="F78" s="155"/>
      <c r="J78" s="155"/>
      <c r="K78" s="155"/>
      <c r="L78" s="155"/>
      <c r="M78" s="155"/>
      <c r="N78" s="155"/>
      <c r="O78" s="155"/>
      <c r="P78" s="155"/>
      <c r="Q78" s="155"/>
    </row>
    <row r="79" spans="1:18" hidden="1">
      <c r="A79" s="148"/>
      <c r="B79" s="746" t="s">
        <v>34</v>
      </c>
      <c r="C79" s="747"/>
      <c r="D79" s="169"/>
      <c r="E79" s="169"/>
      <c r="F79" s="156"/>
      <c r="G79" s="156"/>
      <c r="H79" s="156"/>
      <c r="I79" s="156"/>
      <c r="J79" s="156"/>
      <c r="K79" s="156"/>
      <c r="L79" s="156"/>
      <c r="M79" s="156"/>
      <c r="N79" s="156"/>
      <c r="O79" s="156"/>
      <c r="P79" s="156"/>
      <c r="Q79" s="156"/>
      <c r="R79" s="236"/>
    </row>
    <row r="80" spans="1:18" hidden="1">
      <c r="A80" s="148"/>
      <c r="B80" s="746" t="s">
        <v>36</v>
      </c>
      <c r="C80" s="747"/>
      <c r="D80" s="169"/>
      <c r="E80" s="169"/>
      <c r="F80" s="156"/>
      <c r="G80" s="156"/>
      <c r="H80" s="156"/>
      <c r="I80" s="156"/>
      <c r="J80" s="156"/>
      <c r="K80" s="156"/>
      <c r="L80" s="156"/>
      <c r="M80" s="156"/>
      <c r="N80" s="156"/>
      <c r="O80" s="156"/>
      <c r="P80" s="156"/>
      <c r="Q80" s="156"/>
      <c r="R80" s="236"/>
    </row>
    <row r="81" spans="1:38" hidden="1">
      <c r="A81" s="148"/>
      <c r="B81" s="747" t="s">
        <v>37</v>
      </c>
      <c r="C81" s="747"/>
      <c r="D81" s="169"/>
      <c r="E81" s="169"/>
      <c r="F81" s="156"/>
      <c r="G81" s="156"/>
      <c r="H81" s="156"/>
      <c r="I81" s="156"/>
      <c r="J81" s="156"/>
      <c r="K81" s="156"/>
      <c r="L81" s="156"/>
      <c r="M81" s="156"/>
      <c r="N81" s="156"/>
      <c r="O81" s="156"/>
      <c r="P81" s="156"/>
      <c r="Q81" s="156"/>
      <c r="R81" s="236"/>
    </row>
    <row r="82" spans="1:38" hidden="1">
      <c r="A82" s="148"/>
      <c r="B82" s="747" t="s">
        <v>38</v>
      </c>
      <c r="C82" s="747"/>
      <c r="D82" s="169"/>
      <c r="E82" s="169"/>
      <c r="F82" s="156"/>
      <c r="G82" s="156"/>
      <c r="H82" s="156"/>
      <c r="I82" s="156"/>
      <c r="J82" s="156"/>
      <c r="K82" s="156"/>
      <c r="L82" s="156"/>
      <c r="M82" s="156"/>
      <c r="N82" s="156"/>
      <c r="O82" s="156"/>
      <c r="P82" s="156"/>
      <c r="Q82" s="156"/>
      <c r="R82" s="236"/>
      <c r="T82" s="599"/>
      <c r="U82" s="599"/>
      <c r="V82" s="599"/>
      <c r="W82" s="599"/>
      <c r="X82" s="599"/>
      <c r="Y82" s="599"/>
      <c r="Z82" s="599"/>
      <c r="AA82" s="599"/>
      <c r="AB82" s="599"/>
      <c r="AC82" s="599"/>
      <c r="AD82" s="599"/>
      <c r="AK82" s="599" t="s">
        <v>343</v>
      </c>
      <c r="AL82" s="599"/>
    </row>
    <row r="83" spans="1:38" hidden="1">
      <c r="A83" s="150"/>
      <c r="B83" s="747" t="s">
        <v>39</v>
      </c>
      <c r="C83" s="747"/>
      <c r="D83" s="169"/>
      <c r="E83" s="169"/>
      <c r="F83" s="156"/>
      <c r="G83" s="156"/>
      <c r="H83" s="156"/>
      <c r="I83" s="156"/>
      <c r="J83" s="156"/>
      <c r="K83" s="156"/>
      <c r="L83" s="156"/>
      <c r="M83" s="156"/>
      <c r="N83" s="156"/>
      <c r="O83" s="156"/>
      <c r="P83" s="156"/>
      <c r="Q83" s="156"/>
      <c r="R83" s="236"/>
      <c r="T83" s="599"/>
      <c r="U83" s="599"/>
      <c r="V83" s="599"/>
      <c r="W83" s="599"/>
      <c r="X83" s="599"/>
      <c r="Y83" s="599"/>
      <c r="Z83" s="599"/>
      <c r="AA83" s="599"/>
      <c r="AB83" s="599"/>
      <c r="AC83" s="599"/>
      <c r="AD83" s="599"/>
      <c r="AK83" s="599"/>
      <c r="AL83" s="599"/>
    </row>
    <row r="84" spans="1:38" ht="19.5" hidden="1" customHeight="1">
      <c r="T84" s="635"/>
      <c r="U84" s="635"/>
      <c r="V84" s="635"/>
      <c r="W84" s="635"/>
      <c r="X84" s="635"/>
      <c r="Y84" s="635"/>
      <c r="Z84" s="635"/>
      <c r="AA84" s="635"/>
      <c r="AB84" s="635"/>
      <c r="AC84" s="635"/>
      <c r="AD84" s="635"/>
      <c r="AK84" s="635" t="s">
        <v>1737</v>
      </c>
      <c r="AL84" s="635"/>
    </row>
    <row r="85" spans="1:38" hidden="1">
      <c r="A85" s="750" t="s">
        <v>40</v>
      </c>
      <c r="B85" s="751"/>
      <c r="C85" s="751"/>
      <c r="D85" s="170"/>
      <c r="E85" s="170"/>
      <c r="F85" s="155"/>
      <c r="G85" s="155"/>
      <c r="H85" s="155"/>
      <c r="I85" s="155"/>
      <c r="J85" s="155"/>
      <c r="K85" s="155"/>
      <c r="L85" s="155"/>
      <c r="M85" s="155"/>
      <c r="N85" s="155"/>
      <c r="O85" s="155"/>
      <c r="P85" s="155"/>
      <c r="Q85" s="155"/>
      <c r="T85" s="599"/>
      <c r="U85" s="599"/>
      <c r="V85" s="599"/>
      <c r="W85" s="599"/>
      <c r="X85" s="599"/>
      <c r="Y85" s="599"/>
      <c r="Z85" s="599"/>
      <c r="AA85" s="599"/>
      <c r="AB85" s="599"/>
      <c r="AC85" s="599"/>
      <c r="AD85" s="599"/>
      <c r="AK85" s="599" t="s">
        <v>1738</v>
      </c>
      <c r="AL85" s="599"/>
    </row>
    <row r="86" spans="1:38" hidden="1">
      <c r="A86" s="148"/>
      <c r="B86" s="746" t="s">
        <v>41</v>
      </c>
      <c r="C86" s="747"/>
      <c r="D86" s="169"/>
      <c r="E86" s="169"/>
      <c r="F86" s="156"/>
      <c r="G86" s="156"/>
      <c r="H86" s="156"/>
      <c r="I86" s="156"/>
      <c r="J86" s="156"/>
      <c r="K86" s="156"/>
      <c r="L86" s="156"/>
      <c r="M86" s="156"/>
      <c r="N86" s="156"/>
      <c r="O86" s="156"/>
      <c r="P86" s="156"/>
      <c r="Q86" s="156"/>
      <c r="R86" s="236"/>
      <c r="T86" s="635"/>
      <c r="U86" s="635"/>
      <c r="V86" s="635"/>
      <c r="W86" s="635"/>
      <c r="X86" s="635"/>
      <c r="Y86" s="635"/>
      <c r="Z86" s="635"/>
      <c r="AA86" s="635"/>
      <c r="AB86" s="635"/>
      <c r="AC86" s="635"/>
      <c r="AD86" s="635"/>
      <c r="AK86" s="607" t="s">
        <v>317</v>
      </c>
      <c r="AL86" s="607" t="s">
        <v>318</v>
      </c>
    </row>
    <row r="87" spans="1:38" ht="19.5" hidden="1" customHeight="1">
      <c r="A87" s="148"/>
      <c r="B87" s="747" t="s">
        <v>42</v>
      </c>
      <c r="C87" s="747"/>
      <c r="D87" s="169"/>
      <c r="E87" s="169"/>
      <c r="F87" s="156"/>
      <c r="G87" s="156"/>
      <c r="H87" s="156"/>
      <c r="I87" s="156"/>
      <c r="J87" s="156"/>
      <c r="K87" s="156"/>
      <c r="L87" s="156"/>
      <c r="M87" s="156"/>
      <c r="N87" s="156"/>
      <c r="O87" s="156"/>
      <c r="P87" s="156"/>
      <c r="Q87" s="156"/>
      <c r="R87" s="236"/>
      <c r="T87" s="635"/>
      <c r="U87" s="635"/>
      <c r="V87" s="635"/>
      <c r="W87" s="635"/>
      <c r="X87" s="635"/>
      <c r="Y87" s="635"/>
      <c r="Z87" s="635"/>
      <c r="AA87" s="635"/>
      <c r="AB87" s="635"/>
      <c r="AC87" s="635"/>
      <c r="AD87" s="635"/>
      <c r="AK87" s="600" t="s">
        <v>362</v>
      </c>
      <c r="AL87" s="602" t="s">
        <v>672</v>
      </c>
    </row>
    <row r="88" spans="1:38" ht="19.5" hidden="1" customHeight="1">
      <c r="A88" s="148"/>
      <c r="B88" s="747" t="s">
        <v>43</v>
      </c>
      <c r="C88" s="747"/>
      <c r="D88" s="169"/>
      <c r="E88" s="169"/>
      <c r="F88" s="156"/>
      <c r="G88" s="156"/>
      <c r="H88" s="156"/>
      <c r="I88" s="156"/>
      <c r="J88" s="156"/>
      <c r="K88" s="156"/>
      <c r="L88" s="156"/>
      <c r="M88" s="156"/>
      <c r="N88" s="156"/>
      <c r="O88" s="156"/>
      <c r="P88" s="156"/>
      <c r="Q88" s="156"/>
      <c r="R88" s="236"/>
      <c r="T88" s="635"/>
      <c r="U88" s="635"/>
      <c r="V88" s="635"/>
      <c r="W88" s="635"/>
      <c r="X88" s="635"/>
      <c r="Y88" s="635"/>
      <c r="Z88" s="635"/>
      <c r="AA88" s="635"/>
      <c r="AB88" s="635"/>
      <c r="AC88" s="635"/>
      <c r="AD88" s="635"/>
      <c r="AK88" s="600" t="s">
        <v>671</v>
      </c>
      <c r="AL88" s="602" t="s">
        <v>673</v>
      </c>
    </row>
    <row r="89" spans="1:38" ht="19.5" hidden="1" customHeight="1">
      <c r="A89" s="150"/>
      <c r="B89" s="747" t="s">
        <v>44</v>
      </c>
      <c r="C89" s="747"/>
      <c r="D89" s="169"/>
      <c r="E89" s="169"/>
      <c r="F89" s="156"/>
      <c r="G89" s="156"/>
      <c r="H89" s="156"/>
      <c r="I89" s="156"/>
      <c r="J89" s="156"/>
      <c r="K89" s="156"/>
      <c r="L89" s="156"/>
      <c r="M89" s="156"/>
      <c r="N89" s="156"/>
      <c r="O89" s="156"/>
      <c r="P89" s="156"/>
      <c r="Q89" s="156"/>
      <c r="R89" s="236"/>
      <c r="T89" s="635"/>
      <c r="U89" s="635"/>
      <c r="V89" s="635"/>
      <c r="W89" s="635"/>
      <c r="X89" s="635"/>
      <c r="Y89" s="635"/>
      <c r="Z89" s="635"/>
      <c r="AA89" s="635"/>
      <c r="AB89" s="635"/>
      <c r="AC89" s="635"/>
      <c r="AD89" s="635"/>
      <c r="AK89" s="600" t="s">
        <v>1058</v>
      </c>
      <c r="AL89" s="602" t="s">
        <v>1117</v>
      </c>
    </row>
    <row r="90" spans="1:38" ht="19.5" hidden="1" customHeight="1">
      <c r="T90" s="635"/>
      <c r="U90" s="635"/>
      <c r="V90" s="635"/>
      <c r="W90" s="635"/>
      <c r="X90" s="635"/>
      <c r="Y90" s="635"/>
      <c r="Z90" s="635"/>
      <c r="AA90" s="635"/>
      <c r="AB90" s="635"/>
      <c r="AC90" s="635"/>
      <c r="AD90" s="635"/>
      <c r="AK90" s="600" t="s">
        <v>1059</v>
      </c>
      <c r="AL90" s="602" t="s">
        <v>708</v>
      </c>
    </row>
    <row r="91" spans="1:38" ht="50" hidden="1" customHeight="1">
      <c r="T91" s="635"/>
      <c r="U91" s="635"/>
      <c r="V91" s="635"/>
      <c r="W91" s="635"/>
      <c r="X91" s="635"/>
      <c r="Y91" s="635"/>
      <c r="Z91" s="635"/>
      <c r="AA91" s="635"/>
      <c r="AB91" s="635"/>
      <c r="AC91" s="635"/>
      <c r="AD91" s="635"/>
      <c r="AK91" s="600" t="s">
        <v>1060</v>
      </c>
      <c r="AL91" s="602" t="s">
        <v>1068</v>
      </c>
    </row>
    <row r="92" spans="1:38" ht="19.5" hidden="1" customHeight="1">
      <c r="T92" s="745"/>
      <c r="U92" s="745"/>
      <c r="V92" s="635"/>
      <c r="W92" s="635"/>
      <c r="X92" s="635"/>
      <c r="Y92" s="635"/>
      <c r="Z92" s="635"/>
      <c r="AA92" s="635"/>
      <c r="AB92" s="635"/>
      <c r="AC92" s="635"/>
      <c r="AD92" s="635"/>
      <c r="AK92" s="601" t="s">
        <v>1061</v>
      </c>
      <c r="AL92" s="602" t="s">
        <v>363</v>
      </c>
    </row>
    <row r="93" spans="1:38" ht="19.5" hidden="1" customHeight="1">
      <c r="T93" s="745"/>
      <c r="U93" s="745"/>
      <c r="V93" s="635"/>
      <c r="W93" s="635"/>
      <c r="X93" s="635"/>
      <c r="Y93" s="635"/>
      <c r="Z93" s="635"/>
      <c r="AA93" s="635"/>
      <c r="AB93" s="635"/>
      <c r="AC93" s="635"/>
      <c r="AD93" s="635"/>
      <c r="AK93" s="601" t="s">
        <v>1073</v>
      </c>
      <c r="AL93" s="602" t="s">
        <v>1062</v>
      </c>
    </row>
    <row r="94" spans="1:38" ht="19.5" hidden="1" customHeight="1">
      <c r="T94" s="745"/>
      <c r="U94" s="745"/>
      <c r="V94" s="635"/>
      <c r="W94" s="635"/>
      <c r="X94" s="635"/>
      <c r="Y94" s="635"/>
      <c r="Z94" s="635"/>
      <c r="AA94" s="635"/>
      <c r="AB94" s="635"/>
      <c r="AC94" s="635"/>
      <c r="AD94" s="635"/>
      <c r="AK94" s="601" t="s">
        <v>1074</v>
      </c>
      <c r="AL94" s="602" t="s">
        <v>1063</v>
      </c>
    </row>
    <row r="95" spans="1:38" ht="19.5" hidden="1" customHeight="1">
      <c r="T95" s="745"/>
      <c r="U95" s="745"/>
      <c r="V95" s="635"/>
      <c r="W95" s="635"/>
      <c r="X95" s="635"/>
      <c r="Y95" s="635"/>
      <c r="Z95" s="635"/>
      <c r="AA95" s="635"/>
      <c r="AB95" s="635"/>
      <c r="AC95" s="635"/>
      <c r="AD95" s="635"/>
      <c r="AK95" s="601" t="s">
        <v>1072</v>
      </c>
      <c r="AL95" s="602" t="s">
        <v>365</v>
      </c>
    </row>
    <row r="96" spans="1:38" ht="19.5" hidden="1" customHeight="1">
      <c r="T96" s="745"/>
      <c r="U96" s="745"/>
      <c r="V96" s="635"/>
      <c r="W96" s="635"/>
      <c r="X96" s="635"/>
      <c r="Y96" s="635"/>
      <c r="Z96" s="635"/>
      <c r="AA96" s="635"/>
      <c r="AB96" s="635"/>
      <c r="AC96" s="635"/>
      <c r="AD96" s="635"/>
      <c r="AK96" s="601" t="s">
        <v>674</v>
      </c>
      <c r="AL96" s="602" t="s">
        <v>366</v>
      </c>
    </row>
    <row r="97" spans="20:38" ht="19.5" hidden="1" customHeight="1">
      <c r="T97" s="745"/>
      <c r="U97" s="745"/>
      <c r="V97" s="635"/>
      <c r="W97" s="635"/>
      <c r="X97" s="635"/>
      <c r="Y97" s="635"/>
      <c r="Z97" s="635"/>
      <c r="AA97" s="635"/>
      <c r="AB97" s="635"/>
      <c r="AC97" s="635"/>
      <c r="AD97" s="635"/>
      <c r="AK97" s="601" t="s">
        <v>1064</v>
      </c>
      <c r="AL97" s="602" t="s">
        <v>1069</v>
      </c>
    </row>
    <row r="98" spans="20:38" ht="38.25" hidden="1" customHeight="1">
      <c r="T98" s="745"/>
      <c r="U98" s="745"/>
      <c r="V98" s="635"/>
      <c r="W98" s="635"/>
      <c r="X98" s="635"/>
      <c r="Y98" s="635"/>
      <c r="Z98" s="635"/>
      <c r="AA98" s="635"/>
      <c r="AB98" s="635"/>
      <c r="AC98" s="635"/>
      <c r="AD98" s="635"/>
      <c r="AK98" s="601" t="s">
        <v>1082</v>
      </c>
      <c r="AL98" s="602" t="s">
        <v>1083</v>
      </c>
    </row>
    <row r="99" spans="20:38" ht="19.5" hidden="1" customHeight="1">
      <c r="T99" s="745"/>
      <c r="U99" s="745"/>
      <c r="V99" s="635"/>
      <c r="W99" s="635"/>
      <c r="X99" s="635"/>
      <c r="Y99" s="635"/>
      <c r="Z99" s="635"/>
      <c r="AA99" s="635"/>
      <c r="AB99" s="635"/>
      <c r="AC99" s="635"/>
      <c r="AD99" s="635"/>
      <c r="AK99" s="601" t="s">
        <v>680</v>
      </c>
      <c r="AL99" s="602" t="s">
        <v>368</v>
      </c>
    </row>
    <row r="100" spans="20:38" ht="19.5" hidden="1" customHeight="1">
      <c r="T100" s="745"/>
      <c r="U100" s="745"/>
      <c r="V100" s="635"/>
      <c r="W100" s="635"/>
      <c r="X100" s="635"/>
      <c r="Y100" s="635"/>
      <c r="Z100" s="635"/>
      <c r="AA100" s="635"/>
      <c r="AB100" s="635"/>
      <c r="AC100" s="635"/>
      <c r="AD100" s="635"/>
      <c r="AK100" s="601" t="s">
        <v>681</v>
      </c>
      <c r="AL100" s="602" t="s">
        <v>367</v>
      </c>
    </row>
    <row r="101" spans="20:38" ht="18" hidden="1" customHeight="1">
      <c r="T101" s="745"/>
      <c r="U101" s="745"/>
      <c r="V101" s="635"/>
      <c r="W101" s="635"/>
      <c r="X101" s="635"/>
      <c r="Y101" s="635"/>
      <c r="Z101" s="635"/>
      <c r="AA101" s="635"/>
      <c r="AB101" s="635"/>
      <c r="AC101" s="635"/>
      <c r="AD101" s="635"/>
      <c r="AK101" s="601" t="s">
        <v>1065</v>
      </c>
      <c r="AL101" s="602" t="s">
        <v>369</v>
      </c>
    </row>
    <row r="102" spans="20:38" ht="19.5" hidden="1" customHeight="1">
      <c r="T102" s="745"/>
      <c r="U102" s="745"/>
      <c r="V102" s="635"/>
      <c r="W102" s="635"/>
      <c r="X102" s="635"/>
      <c r="Y102" s="635"/>
      <c r="Z102" s="635"/>
      <c r="AA102" s="635"/>
      <c r="AB102" s="635"/>
      <c r="AC102" s="635"/>
      <c r="AD102" s="635"/>
      <c r="AK102" s="601" t="s">
        <v>1066</v>
      </c>
      <c r="AL102" s="602" t="s">
        <v>370</v>
      </c>
    </row>
    <row r="103" spans="20:38" ht="39" hidden="1" customHeight="1">
      <c r="T103" s="745"/>
      <c r="U103" s="745"/>
      <c r="V103" s="635"/>
      <c r="W103" s="635"/>
      <c r="X103" s="635"/>
      <c r="Y103" s="635"/>
      <c r="Z103" s="635"/>
      <c r="AA103" s="635"/>
      <c r="AB103" s="635"/>
      <c r="AC103" s="635"/>
      <c r="AD103" s="635"/>
      <c r="AK103" s="601" t="s">
        <v>1730</v>
      </c>
      <c r="AL103" s="602" t="s">
        <v>372</v>
      </c>
    </row>
    <row r="104" spans="20:38" ht="30" hidden="1" customHeight="1">
      <c r="T104" s="745"/>
      <c r="U104" s="745"/>
      <c r="V104" s="635"/>
      <c r="W104" s="635"/>
      <c r="X104" s="635"/>
      <c r="Y104" s="635"/>
      <c r="Z104" s="635"/>
      <c r="AA104" s="635"/>
      <c r="AB104" s="635"/>
      <c r="AC104" s="635"/>
      <c r="AD104" s="635"/>
      <c r="AK104" s="601" t="s">
        <v>1731</v>
      </c>
      <c r="AL104" s="602" t="s">
        <v>371</v>
      </c>
    </row>
    <row r="105" spans="20:38" ht="30" hidden="1" customHeight="1">
      <c r="T105" s="745"/>
      <c r="U105" s="745"/>
      <c r="V105" s="635"/>
      <c r="W105" s="635"/>
      <c r="X105" s="635"/>
      <c r="Y105" s="635"/>
      <c r="Z105" s="635"/>
      <c r="AA105" s="635"/>
      <c r="AB105" s="635"/>
      <c r="AC105" s="635"/>
      <c r="AD105" s="635"/>
      <c r="AK105" s="601" t="s">
        <v>1732</v>
      </c>
      <c r="AL105" s="602" t="s">
        <v>373</v>
      </c>
    </row>
    <row r="106" spans="20:38" ht="19.5" hidden="1" customHeight="1">
      <c r="T106" s="745"/>
      <c r="U106" s="745"/>
      <c r="V106" s="635"/>
      <c r="W106" s="635"/>
      <c r="X106" s="635"/>
      <c r="Y106" s="635"/>
      <c r="Z106" s="635"/>
      <c r="AA106" s="635"/>
      <c r="AB106" s="635"/>
      <c r="AC106" s="635"/>
      <c r="AD106" s="635"/>
      <c r="AK106" s="601" t="s">
        <v>1733</v>
      </c>
      <c r="AL106" s="602" t="s">
        <v>374</v>
      </c>
    </row>
    <row r="107" spans="20:38" ht="32.5" hidden="1" customHeight="1">
      <c r="T107" s="745"/>
      <c r="U107" s="745"/>
      <c r="V107" s="635"/>
      <c r="W107" s="635"/>
      <c r="X107" s="635"/>
      <c r="Y107" s="635"/>
      <c r="Z107" s="635"/>
      <c r="AA107" s="635"/>
      <c r="AB107" s="635"/>
      <c r="AC107" s="635"/>
      <c r="AD107" s="635"/>
      <c r="AK107" s="601" t="s">
        <v>1734</v>
      </c>
      <c r="AL107" s="602" t="s">
        <v>1555</v>
      </c>
    </row>
    <row r="108" spans="20:38" ht="19.5" hidden="1" customHeight="1">
      <c r="T108" s="745"/>
      <c r="U108" s="745"/>
      <c r="V108" s="635"/>
      <c r="W108" s="635"/>
      <c r="X108" s="635"/>
      <c r="Y108" s="635"/>
      <c r="Z108" s="635"/>
      <c r="AA108" s="635"/>
      <c r="AB108" s="635"/>
      <c r="AC108" s="635"/>
      <c r="AD108" s="635"/>
      <c r="AK108" s="601" t="s">
        <v>1067</v>
      </c>
      <c r="AL108" s="602" t="s">
        <v>375</v>
      </c>
    </row>
    <row r="109" spans="20:38" hidden="1">
      <c r="T109" s="745"/>
      <c r="U109" s="745"/>
      <c r="V109" s="635"/>
      <c r="W109" s="635"/>
      <c r="X109" s="635"/>
      <c r="Y109" s="635"/>
      <c r="Z109" s="635"/>
      <c r="AA109" s="635"/>
      <c r="AB109" s="635"/>
      <c r="AC109" s="635"/>
      <c r="AD109" s="635"/>
      <c r="AK109" s="601" t="s">
        <v>1729</v>
      </c>
      <c r="AL109" s="602" t="s">
        <v>1739</v>
      </c>
    </row>
    <row r="110" spans="20:38" ht="19.5" hidden="1" customHeight="1">
      <c r="T110" s="745"/>
      <c r="U110" s="745"/>
      <c r="V110" s="635"/>
      <c r="W110" s="635"/>
      <c r="X110" s="635"/>
      <c r="Y110" s="635"/>
      <c r="Z110" s="635"/>
      <c r="AA110" s="635"/>
      <c r="AB110" s="635"/>
      <c r="AC110" s="635"/>
      <c r="AD110" s="635"/>
      <c r="AK110" s="601" t="s">
        <v>1735</v>
      </c>
      <c r="AL110" s="602" t="s">
        <v>675</v>
      </c>
    </row>
    <row r="111" spans="20:38" ht="19.5" hidden="1" customHeight="1">
      <c r="T111" s="745"/>
      <c r="U111" s="745"/>
      <c r="V111" s="635"/>
      <c r="W111" s="635"/>
      <c r="X111" s="635"/>
      <c r="Y111" s="635"/>
      <c r="Z111" s="635"/>
      <c r="AA111" s="635"/>
      <c r="AB111" s="635"/>
      <c r="AC111" s="635"/>
      <c r="AD111" s="635"/>
      <c r="AK111" s="601" t="s">
        <v>1736</v>
      </c>
      <c r="AL111" s="602" t="s">
        <v>676</v>
      </c>
    </row>
    <row r="112" spans="20:38" ht="19.5" customHeight="1"/>
    <row r="113" ht="19.5" customHeight="1"/>
  </sheetData>
  <sheetProtection algorithmName="SHA-512" hashValue="UJTKrhtBhtggXTTaLUcPmsjreWGCNiEkVFKZCI0fQqeznMKtQ+5Hu/f4lvP6gd1PvvTDBSyz3FN8iW+BCb/Agg==" saltValue="91eVLXZGQYUAcBWMswQw8Q==" spinCount="100000" sheet="1" selectLockedCells="1"/>
  <dataConsolidate/>
  <mergeCells count="78">
    <mergeCell ref="AK84:AL84"/>
    <mergeCell ref="V106:AD106"/>
    <mergeCell ref="T106:U106"/>
    <mergeCell ref="T111:U111"/>
    <mergeCell ref="V111:AD111"/>
    <mergeCell ref="V104:AD104"/>
    <mergeCell ref="V105:AD105"/>
    <mergeCell ref="T109:U109"/>
    <mergeCell ref="V109:AD109"/>
    <mergeCell ref="T110:U110"/>
    <mergeCell ref="V110:AD110"/>
    <mergeCell ref="V99:AD99"/>
    <mergeCell ref="T107:U107"/>
    <mergeCell ref="V107:AD107"/>
    <mergeCell ref="T108:U108"/>
    <mergeCell ref="V108:AD108"/>
    <mergeCell ref="T103:U103"/>
    <mergeCell ref="V103:AD103"/>
    <mergeCell ref="V102:AD102"/>
    <mergeCell ref="T105:U105"/>
    <mergeCell ref="T99:U99"/>
    <mergeCell ref="T100:U100"/>
    <mergeCell ref="T101:U101"/>
    <mergeCell ref="T102:U102"/>
    <mergeCell ref="T104:U104"/>
    <mergeCell ref="V100:AD100"/>
    <mergeCell ref="V101:AD101"/>
    <mergeCell ref="V94:AD94"/>
    <mergeCell ref="T95:U95"/>
    <mergeCell ref="T96:U96"/>
    <mergeCell ref="T97:U97"/>
    <mergeCell ref="V96:AD96"/>
    <mergeCell ref="V97:AD97"/>
    <mergeCell ref="T94:U94"/>
    <mergeCell ref="V95:AD95"/>
    <mergeCell ref="T93:U93"/>
    <mergeCell ref="V93:AD93"/>
    <mergeCell ref="T88:U88"/>
    <mergeCell ref="V88:AD88"/>
    <mergeCell ref="T89:U89"/>
    <mergeCell ref="V89:AD89"/>
    <mergeCell ref="T90:U90"/>
    <mergeCell ref="V90:AD90"/>
    <mergeCell ref="T91:U91"/>
    <mergeCell ref="V91:AD91"/>
    <mergeCell ref="V92:AD92"/>
    <mergeCell ref="D3:I3"/>
    <mergeCell ref="D4:I4"/>
    <mergeCell ref="M3:O3"/>
    <mergeCell ref="L20:Q20"/>
    <mergeCell ref="B87:C87"/>
    <mergeCell ref="B80:C80"/>
    <mergeCell ref="B81:C81"/>
    <mergeCell ref="B82:C82"/>
    <mergeCell ref="B83:C83"/>
    <mergeCell ref="A85:C85"/>
    <mergeCell ref="B86:C86"/>
    <mergeCell ref="M4:O4"/>
    <mergeCell ref="M5:O5"/>
    <mergeCell ref="L8:Q8"/>
    <mergeCell ref="L9:Q9"/>
    <mergeCell ref="E60:K62"/>
    <mergeCell ref="D6:I6"/>
    <mergeCell ref="T98:U98"/>
    <mergeCell ref="V98:AD98"/>
    <mergeCell ref="B79:C79"/>
    <mergeCell ref="AF5:AG5"/>
    <mergeCell ref="D5:I5"/>
    <mergeCell ref="A78:C78"/>
    <mergeCell ref="E63:K65"/>
    <mergeCell ref="T84:AD84"/>
    <mergeCell ref="T86:U86"/>
    <mergeCell ref="V86:AD86"/>
    <mergeCell ref="B88:C88"/>
    <mergeCell ref="B89:C89"/>
    <mergeCell ref="T87:U87"/>
    <mergeCell ref="V87:AD87"/>
    <mergeCell ref="T92:U92"/>
  </mergeCells>
  <phoneticPr fontId="1"/>
  <conditionalFormatting sqref="D6:H6">
    <cfRule type="containsText" dxfId="96" priority="26" operator="containsText" text="ここに認可園名を記載してください。">
      <formula>NOT(ISERROR(SEARCH("ここに認可園名を記載してください。",D6)))</formula>
    </cfRule>
  </conditionalFormatting>
  <conditionalFormatting sqref="D3:I5">
    <cfRule type="containsBlanks" dxfId="95" priority="56">
      <formula>LEN(TRIM(D3))=0</formula>
    </cfRule>
  </conditionalFormatting>
  <conditionalFormatting sqref="D5:I5">
    <cfRule type="duplicateValues" dxfId="94" priority="9"/>
  </conditionalFormatting>
  <conditionalFormatting sqref="D6:I6">
    <cfRule type="cellIs" dxfId="93" priority="25" operator="equal">
      <formula>$D$5</formula>
    </cfRule>
  </conditionalFormatting>
  <conditionalFormatting sqref="E8 L8:P9 E10:H11 F13">
    <cfRule type="containsBlanks" dxfId="92" priority="61">
      <formula>LEN(TRIM(E8))=0</formula>
    </cfRule>
  </conditionalFormatting>
  <conditionalFormatting sqref="F35:F38 G39:Q41">
    <cfRule type="containsText" dxfId="91" priority="12" operator="containsText" text="要入力">
      <formula>NOT(ISERROR(SEARCH("要入力",F35)))</formula>
    </cfRule>
  </conditionalFormatting>
  <conditionalFormatting sqref="F38:F41">
    <cfRule type="containsBlanks" dxfId="90" priority="2">
      <formula>LEN(TRIM(F38))=0</formula>
    </cfRule>
  </conditionalFormatting>
  <conditionalFormatting sqref="F41">
    <cfRule type="containsText" dxfId="89" priority="1" operator="containsText" text="要入力">
      <formula>NOT(ISERROR(SEARCH("要入力",F41)))</formula>
    </cfRule>
  </conditionalFormatting>
  <conditionalFormatting sqref="F30:Q37">
    <cfRule type="containsBlanks" dxfId="88" priority="7">
      <formula>LEN(TRIM(F30))=0</formula>
    </cfRule>
  </conditionalFormatting>
  <conditionalFormatting sqref="F42:Q42">
    <cfRule type="containsText" dxfId="87" priority="14" operator="containsText" text="要入力">
      <formula>NOT(ISERROR(SEARCH("要入力",F42)))</formula>
    </cfRule>
    <cfRule type="containsBlanks" dxfId="86" priority="15">
      <formula>LEN(TRIM(F42))=0</formula>
    </cfRule>
  </conditionalFormatting>
  <conditionalFormatting sqref="F23:R23">
    <cfRule type="containsBlanks" dxfId="85" priority="33">
      <formula>LEN(TRIM(F23))=0</formula>
    </cfRule>
  </conditionalFormatting>
  <conditionalFormatting sqref="F25:R27">
    <cfRule type="containsBlanks" dxfId="84" priority="35">
      <formula>LEN(TRIM(F25))=0</formula>
    </cfRule>
  </conditionalFormatting>
  <conditionalFormatting sqref="G35:Q41">
    <cfRule type="containsBlanks" dxfId="83" priority="8">
      <formula>LEN(TRIM(G35))=0</formula>
    </cfRule>
  </conditionalFormatting>
  <conditionalFormatting sqref="M4">
    <cfRule type="containsBlanks" dxfId="82" priority="10">
      <formula>LEN(TRIM(M4))=0</formula>
    </cfRule>
  </conditionalFormatting>
  <conditionalFormatting sqref="R30:R42">
    <cfRule type="containsBlanks" dxfId="81" priority="45">
      <formula>LEN(TRIM(R30))=0</formula>
    </cfRule>
  </conditionalFormatting>
  <conditionalFormatting sqref="R34:R42">
    <cfRule type="containsText" dxfId="80" priority="44" operator="containsText" text="要入力">
      <formula>NOT(ISERROR(SEARCH("要入力",R34)))</formula>
    </cfRule>
  </conditionalFormatting>
  <dataValidations count="10">
    <dataValidation type="list" allowBlank="1" showInputMessage="1" showErrorMessage="1" sqref="F79:R83 F86:R89" xr:uid="{136A7458-AC5C-44A9-88B8-AFF87D443206}">
      <formula1>$T$55:$T$56</formula1>
    </dataValidation>
    <dataValidation type="list" allowBlank="1" showInputMessage="1" showErrorMessage="1" sqref="G23:Q23 F33 F39:F40" xr:uid="{8A613A1D-6FB0-43A8-859C-BCF1F74FABC7}">
      <formula1>$T$22:$T$23</formula1>
    </dataValidation>
    <dataValidation type="list" allowBlank="1" showInputMessage="1" showErrorMessage="1" sqref="D3:I3" xr:uid="{4DF6469E-EF9B-4FA6-98BF-4A83ABA581A5}">
      <formula1>"中央区,花見川区,稲毛区,若葉区,緑区,美浜区"</formula1>
    </dataValidation>
    <dataValidation type="list" allowBlank="1" showInputMessage="1" showErrorMessage="1" sqref="D4:I4" xr:uid="{9AE91C2E-B53B-4502-92E1-01E73D00C046}">
      <formula1>INDIRECT($D3)</formula1>
    </dataValidation>
    <dataValidation type="list" allowBlank="1" showInputMessage="1" showErrorMessage="1" sqref="D5:I5" xr:uid="{BA695FBC-3BF9-49FD-AE56-F846EDF269A3}">
      <formula1>INDIRECT(TEXT($D3&amp;$D4,"@"))</formula1>
    </dataValidation>
    <dataValidation type="whole" operator="greaterThanOrEqual" allowBlank="1" showInputMessage="1" showErrorMessage="1" sqref="F42:R42" xr:uid="{2EEC5067-C9AB-4045-B6A8-930C92086E17}">
      <formula1>0</formula1>
    </dataValidation>
    <dataValidation type="list" allowBlank="1" showInputMessage="1" showErrorMessage="1" sqref="L20:Q20" xr:uid="{65A486F8-0026-4CAC-87C5-AA2C6C0E573F}">
      <formula1>$T$16:$T$17</formula1>
    </dataValidation>
    <dataValidation type="list" allowBlank="1" showInputMessage="1" showErrorMessage="1" sqref="G27:Q27" xr:uid="{3DA4ECD5-C088-40E1-9C18-8F83AFAFE3D0}">
      <formula1>$T$22:$T$24</formula1>
    </dataValidation>
    <dataValidation type="list" allowBlank="1" showInputMessage="1" showErrorMessage="1" sqref="G26:Q26" xr:uid="{CC8222E9-833F-440E-BE4E-019E3EE7ABBE}">
      <formula1>$U$22:$U$24</formula1>
    </dataValidation>
    <dataValidation type="list" operator="greaterThanOrEqual" allowBlank="1" showInputMessage="1" showErrorMessage="1" sqref="F41" xr:uid="{E596BBD5-3246-4310-B6A0-90D67E8C45BB}">
      <formula1>$T$43:$T$46</formula1>
    </dataValidation>
  </dataValidations>
  <printOptions horizontalCentered="1"/>
  <pageMargins left="0.59055118110236227" right="0.59055118110236227" top="0.98425196850393704" bottom="0.98425196850393704" header="0.51181102362204722" footer="0.51181102362204722"/>
  <pageSetup paperSize="9" scale="70" orientation="portrait" r:id="rId1"/>
  <headerFooter alignWithMargins="0"/>
  <rowBreaks count="1" manualBreakCount="1">
    <brk id="10"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E25D-3FB3-446C-97B6-51C8D1BAF10A}">
  <sheetPr codeName="Sheet6">
    <tabColor rgb="FF00B050"/>
  </sheetPr>
  <dimension ref="A1:BL164"/>
  <sheetViews>
    <sheetView showZeros="0" view="pageBreakPreview" zoomScale="85" zoomScaleNormal="85" zoomScaleSheetLayoutView="85" workbookViewId="0">
      <pane ySplit="6" topLeftCell="A7" activePane="bottomLeft" state="frozen"/>
      <selection activeCell="L9" sqref="L9:Q9"/>
      <selection pane="bottomLeft" activeCell="S15" sqref="S15"/>
    </sheetView>
  </sheetViews>
  <sheetFormatPr defaultColWidth="8" defaultRowHeight="18"/>
  <cols>
    <col min="1" max="1" width="3.33203125" customWidth="1"/>
    <col min="2" max="2" width="8.33203125" customWidth="1"/>
    <col min="3" max="3" width="7" customWidth="1"/>
    <col min="4" max="4" width="5" customWidth="1"/>
    <col min="5" max="5" width="12.83203125" customWidth="1"/>
    <col min="6" max="6" width="3.5" hidden="1" customWidth="1"/>
    <col min="7" max="7" width="3.33203125" customWidth="1"/>
    <col min="8" max="8" width="3.08203125" customWidth="1"/>
    <col min="9" max="9" width="3.08203125" hidden="1" customWidth="1"/>
    <col min="10" max="16" width="3.08203125" customWidth="1"/>
    <col min="17" max="17" width="7.5" customWidth="1"/>
    <col min="18" max="18" width="9" customWidth="1"/>
    <col min="19" max="22" width="9.5" customWidth="1"/>
    <col min="23" max="23" width="10.5" customWidth="1"/>
    <col min="24" max="24" width="8.75" customWidth="1"/>
    <col min="25" max="25" width="10.83203125" style="89" bestFit="1" customWidth="1"/>
    <col min="61" max="61" width="9.5" bestFit="1" customWidth="1"/>
    <col min="63" max="63" width="11.33203125" customWidth="1"/>
    <col min="64" max="64" width="86" customWidth="1"/>
  </cols>
  <sheetData>
    <row r="1" spans="1:61" s="84" customFormat="1" ht="24.75" customHeight="1">
      <c r="A1" s="760" t="s">
        <v>45</v>
      </c>
      <c r="B1" s="760"/>
      <c r="C1" s="760"/>
      <c r="D1" s="760"/>
      <c r="E1" s="760"/>
      <c r="F1" s="760"/>
      <c r="G1" s="760"/>
      <c r="H1" s="760"/>
      <c r="I1" s="760"/>
      <c r="J1" s="760"/>
      <c r="K1" s="760"/>
      <c r="L1" s="760"/>
      <c r="M1" s="760"/>
      <c r="N1" s="760"/>
      <c r="O1" s="760"/>
      <c r="P1" s="760"/>
      <c r="Q1" s="760"/>
      <c r="R1" s="760"/>
      <c r="S1" s="760"/>
      <c r="T1" s="760"/>
      <c r="U1" s="760"/>
      <c r="V1" s="760"/>
      <c r="W1" s="760"/>
      <c r="X1" s="760"/>
      <c r="Y1" s="83"/>
    </row>
    <row r="2" spans="1:61" ht="18" customHeight="1">
      <c r="A2" s="85" t="str">
        <f>CONCATENATE("（1）R",①基本情報!E8,"年度職員在籍名簿")</f>
        <v>（1）R7年度職員在籍名簿</v>
      </c>
      <c r="B2" s="85"/>
      <c r="C2" s="85"/>
      <c r="D2" s="85"/>
      <c r="E2" s="86"/>
      <c r="F2" s="87"/>
      <c r="G2" s="87"/>
      <c r="H2" s="86"/>
      <c r="I2" s="87"/>
      <c r="J2" s="87"/>
      <c r="K2" s="87"/>
      <c r="L2" s="87"/>
      <c r="M2" s="87"/>
      <c r="N2" s="87"/>
      <c r="O2" s="87"/>
      <c r="P2" s="86"/>
      <c r="Q2" s="86"/>
      <c r="R2" s="86"/>
      <c r="S2" s="88"/>
      <c r="T2" s="88"/>
      <c r="U2" s="88"/>
      <c r="V2" s="88"/>
      <c r="W2" s="88"/>
      <c r="X2" s="88"/>
    </row>
    <row r="3" spans="1:61" ht="18" customHeight="1">
      <c r="A3" s="85"/>
      <c r="C3" s="85"/>
      <c r="D3" s="85"/>
      <c r="E3" s="86"/>
      <c r="F3" s="87"/>
      <c r="G3" s="86"/>
      <c r="H3" s="86"/>
      <c r="I3" s="86"/>
      <c r="J3" s="86"/>
      <c r="K3" s="86"/>
      <c r="L3" s="86"/>
      <c r="M3" s="86"/>
      <c r="N3" s="86"/>
      <c r="O3" s="86"/>
      <c r="P3" s="86"/>
      <c r="Q3" s="86"/>
      <c r="R3" s="86"/>
      <c r="T3" s="90" t="s">
        <v>46</v>
      </c>
      <c r="U3" s="761">
        <f>①基本情報!D6</f>
        <v>0</v>
      </c>
      <c r="V3" s="761"/>
      <c r="W3" s="761"/>
      <c r="X3" s="762"/>
    </row>
    <row r="4" spans="1:61" ht="7.5" customHeight="1" thickBot="1">
      <c r="A4" s="85"/>
      <c r="B4" s="85"/>
      <c r="C4" s="85"/>
      <c r="D4" s="85"/>
      <c r="E4" s="86"/>
      <c r="F4" s="87"/>
      <c r="G4" s="86"/>
      <c r="H4" s="86"/>
      <c r="I4" s="86"/>
      <c r="J4" s="86"/>
      <c r="K4" s="86"/>
      <c r="L4" s="86"/>
      <c r="M4" s="86"/>
      <c r="N4" s="86"/>
      <c r="O4" s="86"/>
      <c r="P4" s="86"/>
      <c r="Q4" s="86"/>
      <c r="R4" s="86"/>
      <c r="S4" s="86"/>
      <c r="T4" s="86"/>
      <c r="U4" s="86"/>
      <c r="V4" s="86"/>
      <c r="W4" s="86"/>
      <c r="X4" s="86"/>
    </row>
    <row r="5" spans="1:61" s="91" customFormat="1" ht="20.25" customHeight="1">
      <c r="A5" s="763"/>
      <c r="B5" s="765" t="s">
        <v>1143</v>
      </c>
      <c r="C5" s="765" t="s">
        <v>1144</v>
      </c>
      <c r="D5" s="765"/>
      <c r="E5" s="765" t="s">
        <v>1145</v>
      </c>
      <c r="F5" s="767"/>
      <c r="G5" s="767" t="s">
        <v>48</v>
      </c>
      <c r="H5" s="769" t="s">
        <v>49</v>
      </c>
      <c r="I5" s="770"/>
      <c r="J5" s="770"/>
      <c r="K5" s="770"/>
      <c r="L5" s="770"/>
      <c r="M5" s="770"/>
      <c r="N5" s="770"/>
      <c r="O5" s="770"/>
      <c r="P5" s="770"/>
      <c r="Q5" s="771"/>
      <c r="R5" s="772" t="s">
        <v>1147</v>
      </c>
      <c r="S5" s="776" t="s">
        <v>50</v>
      </c>
      <c r="T5" s="777"/>
      <c r="U5" s="776" t="s">
        <v>51</v>
      </c>
      <c r="V5" s="777"/>
      <c r="W5" s="765" t="s">
        <v>52</v>
      </c>
      <c r="X5" s="778" t="s">
        <v>1148</v>
      </c>
      <c r="Y5" s="765" t="s">
        <v>47</v>
      </c>
      <c r="BE5" s="782" t="s">
        <v>53</v>
      </c>
      <c r="BF5" s="781" t="s">
        <v>54</v>
      </c>
      <c r="BG5" s="781"/>
      <c r="BH5" s="781"/>
      <c r="BI5" s="92">
        <v>43922</v>
      </c>
    </row>
    <row r="6" spans="1:61" s="91" customFormat="1" ht="67.5" customHeight="1">
      <c r="A6" s="764"/>
      <c r="B6" s="766"/>
      <c r="C6" s="766"/>
      <c r="D6" s="766"/>
      <c r="E6" s="766"/>
      <c r="F6" s="768"/>
      <c r="G6" s="768"/>
      <c r="H6" s="93" t="s">
        <v>1089</v>
      </c>
      <c r="I6" s="94" t="s">
        <v>55</v>
      </c>
      <c r="J6" s="94" t="s">
        <v>56</v>
      </c>
      <c r="K6" s="94" t="s">
        <v>57</v>
      </c>
      <c r="L6" s="93" t="s">
        <v>58</v>
      </c>
      <c r="M6" s="93" t="s">
        <v>59</v>
      </c>
      <c r="N6" s="94" t="s">
        <v>60</v>
      </c>
      <c r="O6" s="94" t="s">
        <v>61</v>
      </c>
      <c r="P6" s="95" t="s">
        <v>62</v>
      </c>
      <c r="Q6" s="356" t="s">
        <v>1146</v>
      </c>
      <c r="R6" s="773"/>
      <c r="S6" s="96" t="s">
        <v>63</v>
      </c>
      <c r="T6" s="96" t="s">
        <v>64</v>
      </c>
      <c r="U6" s="96" t="s">
        <v>63</v>
      </c>
      <c r="V6" s="96" t="s">
        <v>64</v>
      </c>
      <c r="W6" s="766"/>
      <c r="X6" s="779"/>
      <c r="Y6" s="766"/>
      <c r="AC6" s="2">
        <f>DATE(①基本情報!$AI$5,4,1)</f>
        <v>45748</v>
      </c>
      <c r="AD6" s="2">
        <f>DATE(①基本情報!$AI$5,5,1)</f>
        <v>45778</v>
      </c>
      <c r="AE6" s="2">
        <f>DATE(①基本情報!$AI$5,6,1)</f>
        <v>45809</v>
      </c>
      <c r="AF6" s="2">
        <f>DATE(①基本情報!$AI$5,7,1)</f>
        <v>45839</v>
      </c>
      <c r="AG6" s="2">
        <f>DATE(①基本情報!$AI$5,8,1)</f>
        <v>45870</v>
      </c>
      <c r="AH6" s="2">
        <f>DATE(①基本情報!$AI$5,9,1)</f>
        <v>45901</v>
      </c>
      <c r="AI6" s="2">
        <f>DATE(①基本情報!$AI$5,10,1)</f>
        <v>45931</v>
      </c>
      <c r="AJ6" s="2">
        <f>DATE(①基本情報!$AI$5,11,1)</f>
        <v>45962</v>
      </c>
      <c r="AK6" s="2">
        <f>DATE(①基本情報!$AI$5,12,1)</f>
        <v>45992</v>
      </c>
      <c r="AL6" s="2">
        <f>DATE(①基本情報!$AI$5+1,1,1)</f>
        <v>46023</v>
      </c>
      <c r="AM6" s="2">
        <f>DATE(①基本情報!$AI$5+1,2,1)</f>
        <v>46054</v>
      </c>
      <c r="AN6" s="2">
        <f>DATE(①基本情報!$AI$5+1,3,1)</f>
        <v>46082</v>
      </c>
      <c r="AP6" s="2">
        <f>DATE(①基本情報!$AI$5,4,1)</f>
        <v>45748</v>
      </c>
      <c r="AQ6" s="2">
        <f>DATE(①基本情報!$AI$5,5,1)</f>
        <v>45778</v>
      </c>
      <c r="AR6" s="2">
        <f>DATE(①基本情報!$AI$5,6,1)</f>
        <v>45809</v>
      </c>
      <c r="AS6" s="2">
        <f>DATE(①基本情報!$AI$5,7,1)</f>
        <v>45839</v>
      </c>
      <c r="AT6" s="2">
        <f>DATE(①基本情報!$AI$5,8,1)</f>
        <v>45870</v>
      </c>
      <c r="AU6" s="2">
        <f>DATE(①基本情報!$AI$5,9,1)</f>
        <v>45901</v>
      </c>
      <c r="AV6" s="2">
        <f>DATE(①基本情報!$AI$5,10,1)</f>
        <v>45931</v>
      </c>
      <c r="AW6" s="2">
        <f>DATE(①基本情報!$AI$5,11,1)</f>
        <v>45962</v>
      </c>
      <c r="AX6" s="2">
        <f>DATE(①基本情報!$AI$5,12,1)</f>
        <v>45992</v>
      </c>
      <c r="AY6" s="2">
        <f>DATE(①基本情報!$AI$5+1,1,1)</f>
        <v>46023</v>
      </c>
      <c r="AZ6" s="2">
        <f>DATE(①基本情報!$AI$5+1,2,1)</f>
        <v>46054</v>
      </c>
      <c r="BA6" s="2">
        <f>DATE(①基本情報!$AI$5+1,3,1)</f>
        <v>46082</v>
      </c>
      <c r="BE6" s="782"/>
      <c r="BF6" s="97" t="s">
        <v>65</v>
      </c>
      <c r="BG6" s="97" t="s">
        <v>66</v>
      </c>
      <c r="BH6" s="97" t="s">
        <v>67</v>
      </c>
      <c r="BI6" s="97" t="s">
        <v>68</v>
      </c>
    </row>
    <row r="7" spans="1:61" s="103" customFormat="1" ht="23.15" customHeight="1">
      <c r="A7" s="3">
        <v>1</v>
      </c>
      <c r="B7" s="4"/>
      <c r="C7" s="5"/>
      <c r="D7" s="6"/>
      <c r="E7" s="4"/>
      <c r="F7" s="7"/>
      <c r="G7" s="8"/>
      <c r="H7" s="9"/>
      <c r="I7" s="9"/>
      <c r="J7" s="9"/>
      <c r="K7" s="9"/>
      <c r="L7" s="9"/>
      <c r="M7" s="9"/>
      <c r="N7" s="9"/>
      <c r="O7" s="9"/>
      <c r="P7" s="9"/>
      <c r="Q7" s="10"/>
      <c r="R7" s="11"/>
      <c r="S7" s="11"/>
      <c r="T7" s="13"/>
      <c r="U7" s="12"/>
      <c r="V7" s="10"/>
      <c r="W7" s="13"/>
      <c r="X7" s="14"/>
      <c r="Y7" s="102" t="str">
        <f>IF(E7="","",CONCATENATE(E7,Z7," (",AA7,")"))</f>
        <v/>
      </c>
      <c r="Z7" s="99">
        <f>IF(COUNTIF($E$7:E7,E7)=1,"",COUNTIF($E$7:E7,E7))</f>
        <v>0</v>
      </c>
      <c r="AA7" s="99" t="str">
        <f t="shared" ref="AA7:AA38" si="0">IFERROR(IF(OR(W7=$S$119,W7=$S$122),W7,INDEX($B$144:$C$149,MATCH(BB7,$B$144:$B$149,0),2)),"")</f>
        <v/>
      </c>
      <c r="AC7" s="99" t="str">
        <f>IF(OR($W7=$S$137,$W7=$S$130,$W7=$S$134,$W7=$S$135,$W7=$S$136,$W7=$S$138),"",IF($S7="","",IF($U7="",IF($R7="",IF($S7&lt;=AC$6,"○",""),IF(AND($R7&lt;=AC$6,$S7&lt;=AC$6),"●",IF($S7&lt;=AC$6,"○",""))),IF($U7&gt;=AC$6,IF($R7="",IF($S7&lt;=AC$6,"○",""),IF(AND($R7&lt;=AC$6,$S7&lt;=AC$6),"●",IF($S7&lt;=AC$6,"○",""))),""))))</f>
        <v/>
      </c>
      <c r="AD7" s="99" t="str">
        <f t="shared" ref="AD7:AN22" si="1">IF(OR($W7=$S$137,$W7=$S$130,$W7=$S$134,$W7=$S$135,$W7=$S$136,$W7=$S$138),"",IF($S7="","",IF($U7="",IF($R7="",IF($S7&lt;=AD$6,"○",""),IF(AND($R7&lt;=AD$6,$S7&lt;=AD$6),"●",IF($S7&lt;=AD$6,"○",""))),IF($U7&gt;=AD$6,IF($R7="",IF($S7&lt;=AD$6,"○",""),IF(AND($R7&lt;=AD$6,$S7&lt;=AD$6),"●",IF($S7&lt;=AD$6,"○",""))),""))))</f>
        <v/>
      </c>
      <c r="AE7" s="99" t="str">
        <f t="shared" si="1"/>
        <v/>
      </c>
      <c r="AF7" s="99" t="str">
        <f t="shared" si="1"/>
        <v/>
      </c>
      <c r="AG7" s="99" t="str">
        <f t="shared" si="1"/>
        <v/>
      </c>
      <c r="AH7" s="99" t="str">
        <f t="shared" si="1"/>
        <v/>
      </c>
      <c r="AI7" s="99" t="str">
        <f t="shared" si="1"/>
        <v/>
      </c>
      <c r="AJ7" s="99" t="str">
        <f t="shared" si="1"/>
        <v/>
      </c>
      <c r="AK7" s="99" t="str">
        <f t="shared" si="1"/>
        <v/>
      </c>
      <c r="AL7" s="99" t="str">
        <f t="shared" si="1"/>
        <v/>
      </c>
      <c r="AM7" s="99" t="str">
        <f t="shared" si="1"/>
        <v/>
      </c>
      <c r="AN7" s="99" t="str">
        <f t="shared" si="1"/>
        <v/>
      </c>
      <c r="AP7" s="99" t="str">
        <f t="shared" ref="AP7:AP38" si="2">IF(AND($H7="有",AC7="○"),"A",IF(AC7="●","B",IF(AND(AC7="○",OR($L7="有",$M7="有",$N7="有")),"C",IF(AND(AC7="○",$O7="有"),"D",IF(OR(AND(AC7="○",$P7="有"),AND(AC7="○",$W7=$S$129,$O7="")),"E",IF(AND(AC7="○",OR($W7=$S$132,$W7=$S$133,$W7=$S$131,$W7=$S$139)),"F",""))))))</f>
        <v/>
      </c>
      <c r="AQ7" s="99" t="str">
        <f t="shared" ref="AQ7:AQ38" si="3">IF(AND($H7="有",AD7="○"),"A",IF(AD7="●","B",IF(AND(AD7="○",OR($L7="有",$M7="有",$N7="有")),"C",IF(AND(AD7="○",$O7="有"),"D",IF(OR(AND(AD7="○",$P7="有"),AND(AD7="○",$W7=$S$129,$O7="")),"E",IF(AND(AD7="○",OR($W7=$S$132,$W7=$S$133,$W7=$S$131,$W7=$S$139)),"F",""))))))</f>
        <v/>
      </c>
      <c r="AR7" s="99" t="str">
        <f t="shared" ref="AR7:AR38" si="4">IF(AND($H7="有",AE7="○"),"A",IF(AE7="●","B",IF(AND(AE7="○",OR($L7="有",$M7="有",$N7="有")),"C",IF(AND(AE7="○",$O7="有"),"D",IF(OR(AND(AE7="○",$P7="有"),AND(AE7="○",$W7=$S$129,$O7="")),"E",IF(AND(AE7="○",OR($W7=$S$132,$W7=$S$133,$W7=$S$131,$W7=$S$139)),"F",""))))))</f>
        <v/>
      </c>
      <c r="AS7" s="99" t="str">
        <f t="shared" ref="AS7:AS38" si="5">IF(AND($H7="有",AF7="○"),"A",IF(AF7="●","B",IF(AND(AF7="○",OR($L7="有",$M7="有",$N7="有")),"C",IF(AND(AF7="○",$O7="有"),"D",IF(OR(AND(AF7="○",$P7="有"),AND(AF7="○",$W7=$S$129,$O7="")),"E",IF(AND(AF7="○",OR($W7=$S$132,$W7=$S$133,$W7=$S$131,$W7=$S$139)),"F",""))))))</f>
        <v/>
      </c>
      <c r="AT7" s="99" t="str">
        <f t="shared" ref="AT7:AT38" si="6">IF(AND($H7="有",AG7="○"),"A",IF(AG7="●","B",IF(AND(AG7="○",OR($L7="有",$M7="有",$N7="有")),"C",IF(AND(AG7="○",$O7="有"),"D",IF(OR(AND(AG7="○",$P7="有"),AND(AG7="○",$W7=$S$129,$O7="")),"E",IF(AND(AG7="○",OR($W7=$S$132,$W7=$S$133,$W7=$S$131,$W7=$S$139)),"F",""))))))</f>
        <v/>
      </c>
      <c r="AU7" s="99" t="str">
        <f t="shared" ref="AU7:AU38" si="7">IF(AND($H7="有",AH7="○"),"A",IF(AH7="●","B",IF(AND(AH7="○",OR($L7="有",$M7="有",$N7="有")),"C",IF(AND(AH7="○",$O7="有"),"D",IF(OR(AND(AH7="○",$P7="有"),AND(AH7="○",$W7=$S$129,$O7="")),"E",IF(AND(AH7="○",OR($W7=$S$132,$W7=$S$133,$W7=$S$131,$W7=$S$139)),"F",""))))))</f>
        <v/>
      </c>
      <c r="AV7" s="99" t="str">
        <f t="shared" ref="AV7:AV38" si="8">IF(AND($H7="有",AI7="○"),"A",IF(AI7="●","B",IF(AND(AI7="○",OR($L7="有",$M7="有",$N7="有")),"C",IF(AND(AI7="○",$O7="有"),"D",IF(OR(AND(AI7="○",$P7="有"),AND(AI7="○",$W7=$S$129,$O7="")),"E",IF(AND(AI7="○",OR($W7=$S$132,$W7=$S$133,$W7=$S$131,$W7=$S$139)),"F",""))))))</f>
        <v/>
      </c>
      <c r="AW7" s="99" t="str">
        <f t="shared" ref="AW7:AW38" si="9">IF(AND($H7="有",AJ7="○"),"A",IF(AJ7="●","B",IF(AND(AJ7="○",OR($L7="有",$M7="有",$N7="有")),"C",IF(AND(AJ7="○",$O7="有"),"D",IF(OR(AND(AJ7="○",$P7="有"),AND(AJ7="○",$W7=$S$129,$O7="")),"E",IF(AND(AJ7="○",OR($W7=$S$132,$W7=$S$133,$W7=$S$131,$W7=$S$139)),"F",""))))))</f>
        <v/>
      </c>
      <c r="AX7" s="99" t="str">
        <f t="shared" ref="AX7:AX38" si="10">IF(AND($H7="有",AK7="○"),"A",IF(AK7="●","B",IF(AND(AK7="○",OR($L7="有",$M7="有",$N7="有")),"C",IF(AND(AK7="○",$O7="有"),"D",IF(OR(AND(AK7="○",$P7="有"),AND(AK7="○",$W7=$S$129,$O7="")),"E",IF(AND(AK7="○",OR($W7=$S$132,$W7=$S$133,$W7=$S$131,$W7=$S$139)),"F",""))))))</f>
        <v/>
      </c>
      <c r="AY7" s="99" t="str">
        <f t="shared" ref="AY7:AY38" si="11">IF(AND($H7="有",AL7="○"),"A",IF(AL7="●","B",IF(AND(AL7="○",OR($L7="有",$M7="有",$N7="有")),"C",IF(AND(AL7="○",$O7="有"),"D",IF(OR(AND(AL7="○",$P7="有"),AND(AL7="○",$W7=$S$129,$O7="")),"E",IF(AND(AL7="○",OR($W7=$S$132,$W7=$S$133,$W7=$S$131,$W7=$S$139)),"F",""))))))</f>
        <v/>
      </c>
      <c r="AZ7" s="99" t="str">
        <f t="shared" ref="AZ7:AZ38" si="12">IF(AND($H7="有",AM7="○"),"A",IF(AM7="●","B",IF(AND(AM7="○",OR($L7="有",$M7="有",$N7="有")),"C",IF(AND(AM7="○",$O7="有"),"D",IF(OR(AND(AM7="○",$P7="有"),AND(AM7="○",$W7=$S$129,$O7="")),"E",IF(AND(AM7="○",OR($W7=$S$132,$W7=$S$133,$W7=$S$131,$W7=$S$139)),"F",""))))))</f>
        <v/>
      </c>
      <c r="BA7" s="99" t="str">
        <f t="shared" ref="BA7:BA38" si="13">IF(AND($H7="有",AN7="○"),"A",IF(AN7="●","B",IF(AND(AN7="○",OR($L7="有",$M7="有",$N7="有")),"C",IF(AND(AN7="○",$O7="有"),"D",IF(OR(AND(AN7="○",$P7="有"),AND(AN7="○",$W7=$S$129,$O7="")),"E",IF(AND(AN7="○",OR($W7=$S$132,$W7=$S$133,$W7=$S$131,$W7=$S$139)),"F",""))))))</f>
        <v/>
      </c>
      <c r="BB7" s="103" t="str">
        <f>IF(BA7="",IF(AZ7="",IF(AY7="",IF(AX7="",IF(AW7="",IF(AV7="",IF(AU7="",IF(AT7="",IF(AS7="",IF(AR7="",IF(AQ7="",AP7,AQ7),AR7),AS7),AT7),AU7),AV7),AW7),AX7),AY7),AZ7),BA7)</f>
        <v/>
      </c>
      <c r="BE7" s="99" t="str">
        <f>IF(B7="園長","園長",IF(C7="正","正規職員",IF(AND(C7="パート",D7="常"),"常勤的非常勤",IF(AND(C7="パート",D7="非"),"短時間非常勤",IF(AND(C7="嘱託等",D7="常"),"嘱託常勤",IF(AND(C7="嘱託等",D7="非"),"嘱託非常勤",""))))))</f>
        <v/>
      </c>
      <c r="BF7" s="104" t="str">
        <f t="shared" ref="BF7:BF38" si="14">IF(AND(OR(I7="有",J7="有",K7="有"),R7&lt;&gt;""),"○","")</f>
        <v/>
      </c>
      <c r="BG7" s="104" t="str">
        <f t="shared" ref="BG7:BG38" si="15">IF(AND(BF7="",R7&lt;&gt;""),"○","")</f>
        <v/>
      </c>
      <c r="BH7" s="99" t="str">
        <f>IF(OR(BF7="○",BG7="○"),"○","")</f>
        <v/>
      </c>
      <c r="BI7" s="99" t="str">
        <f t="shared" ref="BI7:BI38" si="16">IF($S7="","",IF($R7&lt;&gt;"",IF($S7&gt;=$BI$5,"○",""),""))</f>
        <v/>
      </c>
    </row>
    <row r="8" spans="1:61" s="103" customFormat="1" ht="23.15" customHeight="1">
      <c r="A8" s="3">
        <v>2</v>
      </c>
      <c r="B8" s="15"/>
      <c r="C8" s="5"/>
      <c r="D8" s="6"/>
      <c r="E8" s="4"/>
      <c r="F8" s="7"/>
      <c r="G8" s="8"/>
      <c r="H8" s="9"/>
      <c r="I8" s="9"/>
      <c r="J8" s="9"/>
      <c r="K8" s="9"/>
      <c r="L8" s="9"/>
      <c r="M8" s="9"/>
      <c r="N8" s="9"/>
      <c r="O8" s="9"/>
      <c r="P8" s="9"/>
      <c r="Q8" s="10"/>
      <c r="R8" s="11"/>
      <c r="S8" s="11"/>
      <c r="T8" s="13"/>
      <c r="U8" s="12"/>
      <c r="V8" s="10"/>
      <c r="W8" s="13"/>
      <c r="X8" s="14"/>
      <c r="Y8" s="102" t="str">
        <f t="shared" ref="Y8:Y71" si="17">IF(E8="","",CONCATENATE(E8,Z8," (",AA8,")"))</f>
        <v/>
      </c>
      <c r="Z8" s="99">
        <f>IF(COUNTIF($E$7:E8,E8)=1,"",COUNTIF($E$7:E8,E8))</f>
        <v>0</v>
      </c>
      <c r="AA8" s="99" t="str">
        <f t="shared" si="0"/>
        <v/>
      </c>
      <c r="AC8" s="99" t="str">
        <f t="shared" ref="AC8:AN39" si="18">IF(OR($W8=$S$137,$W8=$S$130,$W8=$S$134,$W8=$S$135,$W8=$S$136,$W8=$S$138),"",IF($S8="","",IF($U8="",IF($R8="",IF($S8&lt;=AC$6,"○",""),IF(AND($R8&lt;=AC$6,$S8&lt;=AC$6),"●",IF($S8&lt;=AC$6,"○",""))),IF($U8&gt;=AC$6,IF($R8="",IF($S8&lt;=AC$6,"○",""),IF(AND($R8&lt;=AC$6,$S8&lt;=AC$6),"●",IF($S8&lt;=AC$6,"○",""))),""))))</f>
        <v/>
      </c>
      <c r="AD8" s="99" t="str">
        <f t="shared" si="1"/>
        <v/>
      </c>
      <c r="AE8" s="99" t="str">
        <f t="shared" si="1"/>
        <v/>
      </c>
      <c r="AF8" s="99" t="str">
        <f t="shared" si="1"/>
        <v/>
      </c>
      <c r="AG8" s="99" t="str">
        <f t="shared" si="1"/>
        <v/>
      </c>
      <c r="AH8" s="99" t="str">
        <f t="shared" si="1"/>
        <v/>
      </c>
      <c r="AI8" s="99" t="str">
        <f t="shared" si="1"/>
        <v/>
      </c>
      <c r="AJ8" s="99" t="str">
        <f t="shared" si="1"/>
        <v/>
      </c>
      <c r="AK8" s="99" t="str">
        <f t="shared" si="1"/>
        <v/>
      </c>
      <c r="AL8" s="99" t="str">
        <f t="shared" si="1"/>
        <v/>
      </c>
      <c r="AM8" s="99" t="str">
        <f t="shared" si="1"/>
        <v/>
      </c>
      <c r="AN8" s="99" t="str">
        <f t="shared" si="1"/>
        <v/>
      </c>
      <c r="AP8" s="99" t="str">
        <f t="shared" si="2"/>
        <v/>
      </c>
      <c r="AQ8" s="99" t="str">
        <f t="shared" si="3"/>
        <v/>
      </c>
      <c r="AR8" s="99" t="str">
        <f t="shared" si="4"/>
        <v/>
      </c>
      <c r="AS8" s="99" t="str">
        <f t="shared" si="5"/>
        <v/>
      </c>
      <c r="AT8" s="99" t="str">
        <f t="shared" si="6"/>
        <v/>
      </c>
      <c r="AU8" s="99" t="str">
        <f t="shared" si="7"/>
        <v/>
      </c>
      <c r="AV8" s="99" t="str">
        <f t="shared" si="8"/>
        <v/>
      </c>
      <c r="AW8" s="99" t="str">
        <f t="shared" si="9"/>
        <v/>
      </c>
      <c r="AX8" s="99" t="str">
        <f t="shared" si="10"/>
        <v/>
      </c>
      <c r="AY8" s="99" t="str">
        <f t="shared" si="11"/>
        <v/>
      </c>
      <c r="AZ8" s="99" t="str">
        <f t="shared" si="12"/>
        <v/>
      </c>
      <c r="BA8" s="99" t="str">
        <f t="shared" si="13"/>
        <v/>
      </c>
      <c r="BB8" s="103" t="str">
        <f t="shared" ref="BB8:BB71" si="19">IF(BA8="",IF(AZ8="",IF(AY8="",IF(AX8="",IF(AW8="",IF(AV8="",IF(AU8="",IF(AT8="",IF(AS8="",IF(AR8="",IF(AQ8="",AP8,AQ8),AR8),AS8),AT8),AU8),AV8),AW8),AX8),AY8),AZ8),BA8)</f>
        <v/>
      </c>
      <c r="BE8" s="99" t="str">
        <f>IF(B8="園長","園長",IF(C8="正","正規職員",IF(AND(C8="パート",D8="常"),"常勤的非常勤",IF(AND(C8="パート",D8="非"),"短時間非常勤",IF(AND(C8="嘱託等",D8="常"),"嘱託常勤",IF(AND(C8="嘱託等",D8="非"),"嘱託非常勤",""))))))</f>
        <v/>
      </c>
      <c r="BF8" s="99" t="str">
        <f t="shared" si="14"/>
        <v/>
      </c>
      <c r="BG8" s="99" t="str">
        <f t="shared" si="15"/>
        <v/>
      </c>
      <c r="BH8" s="99" t="str">
        <f t="shared" ref="BH8:BH71" si="20">IF(OR(BF8="○",BG8="○"),"○","")</f>
        <v/>
      </c>
      <c r="BI8" s="99" t="str">
        <f>IF($S8="","",IF($R8&lt;&gt;"",IF($S8&gt;=$BI$5,"○",""),""))</f>
        <v/>
      </c>
    </row>
    <row r="9" spans="1:61" s="103" customFormat="1" ht="23.15" customHeight="1">
      <c r="A9" s="3">
        <v>3</v>
      </c>
      <c r="B9" s="15"/>
      <c r="C9" s="5"/>
      <c r="D9" s="6"/>
      <c r="E9" s="4"/>
      <c r="F9" s="7"/>
      <c r="G9" s="8"/>
      <c r="H9" s="9"/>
      <c r="I9" s="9"/>
      <c r="J9" s="9"/>
      <c r="K9" s="9"/>
      <c r="L9" s="9"/>
      <c r="M9" s="9"/>
      <c r="N9" s="9"/>
      <c r="O9" s="9"/>
      <c r="P9" s="9"/>
      <c r="Q9" s="10"/>
      <c r="R9" s="11"/>
      <c r="S9" s="11"/>
      <c r="T9" s="13"/>
      <c r="U9" s="12"/>
      <c r="V9" s="10"/>
      <c r="W9" s="13"/>
      <c r="X9" s="14"/>
      <c r="Y9" s="102" t="str">
        <f t="shared" si="17"/>
        <v/>
      </c>
      <c r="Z9" s="99">
        <f>IF(COUNTIF($E$7:E9,E9)=1,"",COUNTIF($E$7:E9,E9))</f>
        <v>0</v>
      </c>
      <c r="AA9" s="99" t="str">
        <f t="shared" si="0"/>
        <v/>
      </c>
      <c r="AC9" s="99" t="str">
        <f t="shared" si="18"/>
        <v/>
      </c>
      <c r="AD9" s="99" t="str">
        <f t="shared" si="1"/>
        <v/>
      </c>
      <c r="AE9" s="99" t="str">
        <f t="shared" si="1"/>
        <v/>
      </c>
      <c r="AF9" s="99" t="str">
        <f t="shared" si="1"/>
        <v/>
      </c>
      <c r="AG9" s="99" t="str">
        <f t="shared" si="1"/>
        <v/>
      </c>
      <c r="AH9" s="99" t="str">
        <f t="shared" si="1"/>
        <v/>
      </c>
      <c r="AI9" s="99" t="str">
        <f t="shared" si="1"/>
        <v/>
      </c>
      <c r="AJ9" s="99" t="str">
        <f t="shared" si="1"/>
        <v/>
      </c>
      <c r="AK9" s="99" t="str">
        <f t="shared" si="1"/>
        <v/>
      </c>
      <c r="AL9" s="99" t="str">
        <f t="shared" si="1"/>
        <v/>
      </c>
      <c r="AM9" s="99" t="str">
        <f t="shared" si="1"/>
        <v/>
      </c>
      <c r="AN9" s="99" t="str">
        <f t="shared" si="1"/>
        <v/>
      </c>
      <c r="AP9" s="99" t="str">
        <f t="shared" si="2"/>
        <v/>
      </c>
      <c r="AQ9" s="99" t="str">
        <f t="shared" si="3"/>
        <v/>
      </c>
      <c r="AR9" s="99" t="str">
        <f t="shared" si="4"/>
        <v/>
      </c>
      <c r="AS9" s="99" t="str">
        <f t="shared" si="5"/>
        <v/>
      </c>
      <c r="AT9" s="99" t="str">
        <f t="shared" si="6"/>
        <v/>
      </c>
      <c r="AU9" s="99" t="str">
        <f t="shared" si="7"/>
        <v/>
      </c>
      <c r="AV9" s="99" t="str">
        <f t="shared" si="8"/>
        <v/>
      </c>
      <c r="AW9" s="99" t="str">
        <f t="shared" si="9"/>
        <v/>
      </c>
      <c r="AX9" s="99" t="str">
        <f t="shared" si="10"/>
        <v/>
      </c>
      <c r="AY9" s="99" t="str">
        <f t="shared" si="11"/>
        <v/>
      </c>
      <c r="AZ9" s="99" t="str">
        <f t="shared" si="12"/>
        <v/>
      </c>
      <c r="BA9" s="99" t="str">
        <f t="shared" si="13"/>
        <v/>
      </c>
      <c r="BB9" s="103" t="str">
        <f t="shared" si="19"/>
        <v/>
      </c>
      <c r="BE9" s="99" t="str">
        <f t="shared" ref="BE9:BE38" si="21">IF(B9="園長","園長",IF(C9="正","正規職員",IF(AND(C9="パート",D9="常"),"常勤的非常勤",IF(AND(C9="パート",D9="非"),"短時間非常勤",IF(AND(C9="嘱託等",D9="常"),"嘱託常勤",IF(AND(C9="嘱託等",D9="非"),"嘱託非常勤",""))))))</f>
        <v/>
      </c>
      <c r="BF9" s="99" t="str">
        <f t="shared" si="14"/>
        <v/>
      </c>
      <c r="BG9" s="99" t="str">
        <f t="shared" si="15"/>
        <v/>
      </c>
      <c r="BH9" s="99" t="str">
        <f t="shared" si="20"/>
        <v/>
      </c>
      <c r="BI9" s="99" t="str">
        <f t="shared" si="16"/>
        <v/>
      </c>
    </row>
    <row r="10" spans="1:61" s="103" customFormat="1" ht="23.15" customHeight="1">
      <c r="A10" s="3">
        <v>4</v>
      </c>
      <c r="B10" s="15"/>
      <c r="C10" s="5"/>
      <c r="D10" s="6"/>
      <c r="E10" s="4"/>
      <c r="F10" s="7"/>
      <c r="G10" s="8"/>
      <c r="H10" s="9"/>
      <c r="I10" s="9"/>
      <c r="J10" s="9"/>
      <c r="K10" s="9"/>
      <c r="L10" s="9"/>
      <c r="M10" s="9"/>
      <c r="N10" s="9"/>
      <c r="O10" s="9"/>
      <c r="P10" s="9"/>
      <c r="Q10" s="10"/>
      <c r="R10" s="11"/>
      <c r="S10" s="11"/>
      <c r="T10" s="13"/>
      <c r="U10" s="12"/>
      <c r="V10" s="10"/>
      <c r="W10" s="13"/>
      <c r="X10" s="14"/>
      <c r="Y10" s="102" t="str">
        <f t="shared" si="17"/>
        <v/>
      </c>
      <c r="Z10" s="99">
        <f>IF(COUNTIF($E$7:E10,E10)=1,"",COUNTIF($E$7:E10,E10))</f>
        <v>0</v>
      </c>
      <c r="AA10" s="99" t="str">
        <f t="shared" si="0"/>
        <v/>
      </c>
      <c r="AC10" s="99" t="str">
        <f t="shared" si="18"/>
        <v/>
      </c>
      <c r="AD10" s="99" t="str">
        <f t="shared" si="1"/>
        <v/>
      </c>
      <c r="AE10" s="99" t="str">
        <f t="shared" si="1"/>
        <v/>
      </c>
      <c r="AF10" s="99" t="str">
        <f t="shared" si="1"/>
        <v/>
      </c>
      <c r="AG10" s="99" t="str">
        <f t="shared" si="1"/>
        <v/>
      </c>
      <c r="AH10" s="99" t="str">
        <f t="shared" si="1"/>
        <v/>
      </c>
      <c r="AI10" s="99" t="str">
        <f t="shared" si="1"/>
        <v/>
      </c>
      <c r="AJ10" s="99" t="str">
        <f t="shared" si="1"/>
        <v/>
      </c>
      <c r="AK10" s="99" t="str">
        <f t="shared" si="1"/>
        <v/>
      </c>
      <c r="AL10" s="99" t="str">
        <f t="shared" si="1"/>
        <v/>
      </c>
      <c r="AM10" s="99" t="str">
        <f t="shared" si="1"/>
        <v/>
      </c>
      <c r="AN10" s="99" t="str">
        <f t="shared" si="1"/>
        <v/>
      </c>
      <c r="AP10" s="99" t="str">
        <f t="shared" si="2"/>
        <v/>
      </c>
      <c r="AQ10" s="99" t="str">
        <f t="shared" si="3"/>
        <v/>
      </c>
      <c r="AR10" s="99" t="str">
        <f t="shared" si="4"/>
        <v/>
      </c>
      <c r="AS10" s="99" t="str">
        <f t="shared" si="5"/>
        <v/>
      </c>
      <c r="AT10" s="99" t="str">
        <f t="shared" si="6"/>
        <v/>
      </c>
      <c r="AU10" s="99" t="str">
        <f t="shared" si="7"/>
        <v/>
      </c>
      <c r="AV10" s="99" t="str">
        <f t="shared" si="8"/>
        <v/>
      </c>
      <c r="AW10" s="99" t="str">
        <f t="shared" si="9"/>
        <v/>
      </c>
      <c r="AX10" s="99" t="str">
        <f t="shared" si="10"/>
        <v/>
      </c>
      <c r="AY10" s="99" t="str">
        <f t="shared" si="11"/>
        <v/>
      </c>
      <c r="AZ10" s="99" t="str">
        <f t="shared" si="12"/>
        <v/>
      </c>
      <c r="BA10" s="99" t="str">
        <f t="shared" si="13"/>
        <v/>
      </c>
      <c r="BB10" s="103" t="str">
        <f t="shared" si="19"/>
        <v/>
      </c>
      <c r="BE10" s="99" t="str">
        <f t="shared" si="21"/>
        <v/>
      </c>
      <c r="BF10" s="99" t="str">
        <f t="shared" si="14"/>
        <v/>
      </c>
      <c r="BG10" s="99" t="str">
        <f t="shared" si="15"/>
        <v/>
      </c>
      <c r="BH10" s="99" t="str">
        <f t="shared" si="20"/>
        <v/>
      </c>
      <c r="BI10" s="99" t="str">
        <f t="shared" si="16"/>
        <v/>
      </c>
    </row>
    <row r="11" spans="1:61" s="103" customFormat="1" ht="23.15" customHeight="1">
      <c r="A11" s="3">
        <v>5</v>
      </c>
      <c r="B11" s="15"/>
      <c r="C11" s="5"/>
      <c r="D11" s="6"/>
      <c r="E11" s="4"/>
      <c r="F11" s="7"/>
      <c r="G11" s="8"/>
      <c r="H11" s="9"/>
      <c r="I11" s="9"/>
      <c r="J11" s="9"/>
      <c r="K11" s="9"/>
      <c r="L11" s="9"/>
      <c r="M11" s="9"/>
      <c r="N11" s="9"/>
      <c r="O11" s="9"/>
      <c r="P11" s="9"/>
      <c r="Q11" s="10"/>
      <c r="R11" s="11"/>
      <c r="S11" s="11"/>
      <c r="T11" s="13"/>
      <c r="U11" s="12"/>
      <c r="V11" s="10"/>
      <c r="W11" s="13"/>
      <c r="X11" s="14"/>
      <c r="Y11" s="102" t="str">
        <f t="shared" si="17"/>
        <v/>
      </c>
      <c r="Z11" s="99">
        <f>IF(COUNTIF($E$7:E11,E11)=1,"",COUNTIF($E$7:E11,E11))</f>
        <v>0</v>
      </c>
      <c r="AA11" s="99" t="str">
        <f t="shared" si="0"/>
        <v/>
      </c>
      <c r="AC11" s="99" t="str">
        <f t="shared" si="18"/>
        <v/>
      </c>
      <c r="AD11" s="99" t="str">
        <f t="shared" si="1"/>
        <v/>
      </c>
      <c r="AE11" s="99" t="str">
        <f t="shared" si="1"/>
        <v/>
      </c>
      <c r="AF11" s="99" t="str">
        <f t="shared" si="1"/>
        <v/>
      </c>
      <c r="AG11" s="99" t="str">
        <f t="shared" si="1"/>
        <v/>
      </c>
      <c r="AH11" s="99" t="str">
        <f t="shared" si="1"/>
        <v/>
      </c>
      <c r="AI11" s="99" t="str">
        <f t="shared" si="1"/>
        <v/>
      </c>
      <c r="AJ11" s="99" t="str">
        <f t="shared" si="1"/>
        <v/>
      </c>
      <c r="AK11" s="99" t="str">
        <f t="shared" si="1"/>
        <v/>
      </c>
      <c r="AL11" s="99" t="str">
        <f t="shared" si="1"/>
        <v/>
      </c>
      <c r="AM11" s="99" t="str">
        <f t="shared" si="1"/>
        <v/>
      </c>
      <c r="AN11" s="99" t="str">
        <f t="shared" si="1"/>
        <v/>
      </c>
      <c r="AP11" s="99" t="str">
        <f t="shared" si="2"/>
        <v/>
      </c>
      <c r="AQ11" s="99" t="str">
        <f t="shared" si="3"/>
        <v/>
      </c>
      <c r="AR11" s="99" t="str">
        <f t="shared" si="4"/>
        <v/>
      </c>
      <c r="AS11" s="99" t="str">
        <f t="shared" si="5"/>
        <v/>
      </c>
      <c r="AT11" s="99" t="str">
        <f t="shared" si="6"/>
        <v/>
      </c>
      <c r="AU11" s="99" t="str">
        <f t="shared" si="7"/>
        <v/>
      </c>
      <c r="AV11" s="99" t="str">
        <f t="shared" si="8"/>
        <v/>
      </c>
      <c r="AW11" s="99" t="str">
        <f t="shared" si="9"/>
        <v/>
      </c>
      <c r="AX11" s="99" t="str">
        <f t="shared" si="10"/>
        <v/>
      </c>
      <c r="AY11" s="99" t="str">
        <f t="shared" si="11"/>
        <v/>
      </c>
      <c r="AZ11" s="99" t="str">
        <f t="shared" si="12"/>
        <v/>
      </c>
      <c r="BA11" s="99" t="str">
        <f t="shared" si="13"/>
        <v/>
      </c>
      <c r="BB11" s="103" t="str">
        <f t="shared" si="19"/>
        <v/>
      </c>
      <c r="BE11" s="99" t="str">
        <f t="shared" si="21"/>
        <v/>
      </c>
      <c r="BF11" s="99" t="str">
        <f t="shared" si="14"/>
        <v/>
      </c>
      <c r="BG11" s="99" t="str">
        <f t="shared" si="15"/>
        <v/>
      </c>
      <c r="BH11" s="99" t="str">
        <f t="shared" si="20"/>
        <v/>
      </c>
      <c r="BI11" s="99" t="str">
        <f>IF($S11="","",IF($R11&lt;&gt;"",IF($S11&gt;=$BI$5,"○",""),""))</f>
        <v/>
      </c>
    </row>
    <row r="12" spans="1:61" s="103" customFormat="1" ht="23.15" customHeight="1">
      <c r="A12" s="3">
        <v>6</v>
      </c>
      <c r="B12" s="15"/>
      <c r="C12" s="5"/>
      <c r="D12" s="6"/>
      <c r="E12" s="4"/>
      <c r="F12" s="7"/>
      <c r="G12" s="8"/>
      <c r="H12" s="9"/>
      <c r="I12" s="9"/>
      <c r="J12" s="9"/>
      <c r="K12" s="9"/>
      <c r="L12" s="9"/>
      <c r="M12" s="9"/>
      <c r="N12" s="9"/>
      <c r="O12" s="9"/>
      <c r="P12" s="9"/>
      <c r="Q12" s="10"/>
      <c r="R12" s="11"/>
      <c r="S12" s="11"/>
      <c r="T12" s="13"/>
      <c r="U12" s="12"/>
      <c r="V12" s="10"/>
      <c r="W12" s="13"/>
      <c r="X12" s="14"/>
      <c r="Y12" s="102" t="str">
        <f t="shared" si="17"/>
        <v/>
      </c>
      <c r="Z12" s="99">
        <f>IF(COUNTIF($E$7:E12,E12)=1,"",COUNTIF($E$7:E12,E12))</f>
        <v>0</v>
      </c>
      <c r="AA12" s="99" t="str">
        <f t="shared" si="0"/>
        <v/>
      </c>
      <c r="AC12" s="99" t="str">
        <f t="shared" si="18"/>
        <v/>
      </c>
      <c r="AD12" s="99" t="str">
        <f t="shared" si="1"/>
        <v/>
      </c>
      <c r="AE12" s="99" t="str">
        <f t="shared" si="1"/>
        <v/>
      </c>
      <c r="AF12" s="99" t="str">
        <f t="shared" si="1"/>
        <v/>
      </c>
      <c r="AG12" s="99" t="str">
        <f t="shared" si="1"/>
        <v/>
      </c>
      <c r="AH12" s="99" t="str">
        <f t="shared" si="1"/>
        <v/>
      </c>
      <c r="AI12" s="99" t="str">
        <f t="shared" si="1"/>
        <v/>
      </c>
      <c r="AJ12" s="99" t="str">
        <f t="shared" si="1"/>
        <v/>
      </c>
      <c r="AK12" s="99" t="str">
        <f t="shared" si="1"/>
        <v/>
      </c>
      <c r="AL12" s="99" t="str">
        <f t="shared" si="1"/>
        <v/>
      </c>
      <c r="AM12" s="99" t="str">
        <f t="shared" si="1"/>
        <v/>
      </c>
      <c r="AN12" s="99" t="str">
        <f t="shared" si="1"/>
        <v/>
      </c>
      <c r="AP12" s="99" t="str">
        <f t="shared" si="2"/>
        <v/>
      </c>
      <c r="AQ12" s="99" t="str">
        <f t="shared" si="3"/>
        <v/>
      </c>
      <c r="AR12" s="99" t="str">
        <f t="shared" si="4"/>
        <v/>
      </c>
      <c r="AS12" s="99" t="str">
        <f t="shared" si="5"/>
        <v/>
      </c>
      <c r="AT12" s="99" t="str">
        <f t="shared" si="6"/>
        <v/>
      </c>
      <c r="AU12" s="99" t="str">
        <f t="shared" si="7"/>
        <v/>
      </c>
      <c r="AV12" s="99" t="str">
        <f t="shared" si="8"/>
        <v/>
      </c>
      <c r="AW12" s="99" t="str">
        <f t="shared" si="9"/>
        <v/>
      </c>
      <c r="AX12" s="99" t="str">
        <f t="shared" si="10"/>
        <v/>
      </c>
      <c r="AY12" s="99" t="str">
        <f t="shared" si="11"/>
        <v/>
      </c>
      <c r="AZ12" s="99" t="str">
        <f t="shared" si="12"/>
        <v/>
      </c>
      <c r="BA12" s="99" t="str">
        <f t="shared" si="13"/>
        <v/>
      </c>
      <c r="BB12" s="103" t="str">
        <f t="shared" si="19"/>
        <v/>
      </c>
      <c r="BE12" s="99" t="str">
        <f t="shared" si="21"/>
        <v/>
      </c>
      <c r="BF12" s="99" t="str">
        <f t="shared" si="14"/>
        <v/>
      </c>
      <c r="BG12" s="99" t="str">
        <f t="shared" si="15"/>
        <v/>
      </c>
      <c r="BH12" s="99" t="str">
        <f t="shared" si="20"/>
        <v/>
      </c>
      <c r="BI12" s="99" t="str">
        <f t="shared" si="16"/>
        <v/>
      </c>
    </row>
    <row r="13" spans="1:61" s="103" customFormat="1" ht="23.15" customHeight="1">
      <c r="A13" s="3">
        <v>7</v>
      </c>
      <c r="B13" s="15"/>
      <c r="C13" s="5"/>
      <c r="D13" s="6"/>
      <c r="E13" s="4"/>
      <c r="F13" s="7"/>
      <c r="G13" s="8"/>
      <c r="H13" s="9"/>
      <c r="I13" s="9"/>
      <c r="J13" s="9"/>
      <c r="K13" s="9"/>
      <c r="L13" s="9"/>
      <c r="M13" s="9"/>
      <c r="N13" s="9"/>
      <c r="O13" s="9"/>
      <c r="P13" s="9"/>
      <c r="Q13" s="10"/>
      <c r="R13" s="11"/>
      <c r="S13" s="11"/>
      <c r="T13" s="13"/>
      <c r="U13" s="12"/>
      <c r="V13" s="10"/>
      <c r="W13" s="13"/>
      <c r="X13" s="14"/>
      <c r="Y13" s="102" t="str">
        <f t="shared" si="17"/>
        <v/>
      </c>
      <c r="Z13" s="99">
        <f>IF(COUNTIF($E$7:E13,E13)=1,"",COUNTIF($E$7:E13,E13))</f>
        <v>0</v>
      </c>
      <c r="AA13" s="99" t="str">
        <f t="shared" si="0"/>
        <v/>
      </c>
      <c r="AC13" s="99" t="str">
        <f t="shared" si="18"/>
        <v/>
      </c>
      <c r="AD13" s="99" t="str">
        <f t="shared" si="1"/>
        <v/>
      </c>
      <c r="AE13" s="99" t="str">
        <f t="shared" si="1"/>
        <v/>
      </c>
      <c r="AF13" s="99" t="str">
        <f t="shared" si="1"/>
        <v/>
      </c>
      <c r="AG13" s="99" t="str">
        <f t="shared" si="1"/>
        <v/>
      </c>
      <c r="AH13" s="99" t="str">
        <f t="shared" si="1"/>
        <v/>
      </c>
      <c r="AI13" s="99" t="str">
        <f t="shared" si="1"/>
        <v/>
      </c>
      <c r="AJ13" s="99" t="str">
        <f t="shared" si="1"/>
        <v/>
      </c>
      <c r="AK13" s="99" t="str">
        <f t="shared" si="1"/>
        <v/>
      </c>
      <c r="AL13" s="99" t="str">
        <f t="shared" si="1"/>
        <v/>
      </c>
      <c r="AM13" s="99" t="str">
        <f t="shared" si="1"/>
        <v/>
      </c>
      <c r="AN13" s="99" t="str">
        <f t="shared" si="1"/>
        <v/>
      </c>
      <c r="AP13" s="99" t="str">
        <f t="shared" si="2"/>
        <v/>
      </c>
      <c r="AQ13" s="99" t="str">
        <f t="shared" si="3"/>
        <v/>
      </c>
      <c r="AR13" s="99" t="str">
        <f t="shared" si="4"/>
        <v/>
      </c>
      <c r="AS13" s="99" t="str">
        <f t="shared" si="5"/>
        <v/>
      </c>
      <c r="AT13" s="99" t="str">
        <f t="shared" si="6"/>
        <v/>
      </c>
      <c r="AU13" s="99" t="str">
        <f t="shared" si="7"/>
        <v/>
      </c>
      <c r="AV13" s="99" t="str">
        <f t="shared" si="8"/>
        <v/>
      </c>
      <c r="AW13" s="99" t="str">
        <f t="shared" si="9"/>
        <v/>
      </c>
      <c r="AX13" s="99" t="str">
        <f t="shared" si="10"/>
        <v/>
      </c>
      <c r="AY13" s="99" t="str">
        <f t="shared" si="11"/>
        <v/>
      </c>
      <c r="AZ13" s="99" t="str">
        <f t="shared" si="12"/>
        <v/>
      </c>
      <c r="BA13" s="99" t="str">
        <f t="shared" si="13"/>
        <v/>
      </c>
      <c r="BB13" s="103" t="str">
        <f t="shared" si="19"/>
        <v/>
      </c>
      <c r="BE13" s="99" t="str">
        <f t="shared" si="21"/>
        <v/>
      </c>
      <c r="BF13" s="99" t="str">
        <f t="shared" si="14"/>
        <v/>
      </c>
      <c r="BG13" s="99" t="str">
        <f t="shared" si="15"/>
        <v/>
      </c>
      <c r="BH13" s="99" t="str">
        <f t="shared" si="20"/>
        <v/>
      </c>
      <c r="BI13" s="99" t="str">
        <f t="shared" si="16"/>
        <v/>
      </c>
    </row>
    <row r="14" spans="1:61" s="103" customFormat="1" ht="23.15" customHeight="1">
      <c r="A14" s="3">
        <v>8</v>
      </c>
      <c r="B14" s="15"/>
      <c r="C14" s="5"/>
      <c r="D14" s="6"/>
      <c r="E14" s="4"/>
      <c r="F14" s="7"/>
      <c r="G14" s="8"/>
      <c r="H14" s="9"/>
      <c r="I14" s="9"/>
      <c r="J14" s="9"/>
      <c r="K14" s="9"/>
      <c r="L14" s="9"/>
      <c r="M14" s="9"/>
      <c r="N14" s="9"/>
      <c r="O14" s="9"/>
      <c r="P14" s="9"/>
      <c r="Q14" s="10"/>
      <c r="R14" s="11"/>
      <c r="S14" s="11"/>
      <c r="T14" s="13"/>
      <c r="U14" s="12"/>
      <c r="V14" s="10"/>
      <c r="W14" s="13"/>
      <c r="X14" s="14"/>
      <c r="Y14" s="102" t="str">
        <f t="shared" si="17"/>
        <v/>
      </c>
      <c r="Z14" s="99">
        <f>IF(COUNTIF($E$7:E14,E14)=1,"",COUNTIF($E$7:E14,E14))</f>
        <v>0</v>
      </c>
      <c r="AA14" s="99" t="str">
        <f t="shared" si="0"/>
        <v/>
      </c>
      <c r="AC14" s="99" t="str">
        <f t="shared" si="18"/>
        <v/>
      </c>
      <c r="AD14" s="99" t="str">
        <f t="shared" si="1"/>
        <v/>
      </c>
      <c r="AE14" s="99" t="str">
        <f t="shared" si="1"/>
        <v/>
      </c>
      <c r="AF14" s="99" t="str">
        <f t="shared" si="1"/>
        <v/>
      </c>
      <c r="AG14" s="99" t="str">
        <f t="shared" si="1"/>
        <v/>
      </c>
      <c r="AH14" s="99" t="str">
        <f t="shared" si="1"/>
        <v/>
      </c>
      <c r="AI14" s="99" t="str">
        <f t="shared" si="1"/>
        <v/>
      </c>
      <c r="AJ14" s="99" t="str">
        <f t="shared" si="1"/>
        <v/>
      </c>
      <c r="AK14" s="99" t="str">
        <f t="shared" si="1"/>
        <v/>
      </c>
      <c r="AL14" s="99" t="str">
        <f t="shared" si="1"/>
        <v/>
      </c>
      <c r="AM14" s="99" t="str">
        <f t="shared" si="1"/>
        <v/>
      </c>
      <c r="AN14" s="99" t="str">
        <f t="shared" si="1"/>
        <v/>
      </c>
      <c r="AP14" s="99" t="str">
        <f t="shared" si="2"/>
        <v/>
      </c>
      <c r="AQ14" s="99" t="str">
        <f t="shared" si="3"/>
        <v/>
      </c>
      <c r="AR14" s="99" t="str">
        <f t="shared" si="4"/>
        <v/>
      </c>
      <c r="AS14" s="99" t="str">
        <f t="shared" si="5"/>
        <v/>
      </c>
      <c r="AT14" s="99" t="str">
        <f t="shared" si="6"/>
        <v/>
      </c>
      <c r="AU14" s="99" t="str">
        <f t="shared" si="7"/>
        <v/>
      </c>
      <c r="AV14" s="99" t="str">
        <f t="shared" si="8"/>
        <v/>
      </c>
      <c r="AW14" s="99" t="str">
        <f t="shared" si="9"/>
        <v/>
      </c>
      <c r="AX14" s="99" t="str">
        <f t="shared" si="10"/>
        <v/>
      </c>
      <c r="AY14" s="99" t="str">
        <f t="shared" si="11"/>
        <v/>
      </c>
      <c r="AZ14" s="99" t="str">
        <f t="shared" si="12"/>
        <v/>
      </c>
      <c r="BA14" s="99" t="str">
        <f t="shared" si="13"/>
        <v/>
      </c>
      <c r="BB14" s="103" t="str">
        <f t="shared" si="19"/>
        <v/>
      </c>
      <c r="BE14" s="99" t="str">
        <f t="shared" si="21"/>
        <v/>
      </c>
      <c r="BF14" s="99" t="str">
        <f t="shared" si="14"/>
        <v/>
      </c>
      <c r="BG14" s="99" t="str">
        <f t="shared" si="15"/>
        <v/>
      </c>
      <c r="BH14" s="99" t="str">
        <f t="shared" si="20"/>
        <v/>
      </c>
      <c r="BI14" s="99" t="str">
        <f t="shared" si="16"/>
        <v/>
      </c>
    </row>
    <row r="15" spans="1:61" s="103" customFormat="1" ht="23.15" customHeight="1">
      <c r="A15" s="3">
        <v>9</v>
      </c>
      <c r="B15" s="15"/>
      <c r="C15" s="5"/>
      <c r="D15" s="6"/>
      <c r="E15" s="4"/>
      <c r="F15" s="7"/>
      <c r="G15" s="8"/>
      <c r="H15" s="9"/>
      <c r="I15" s="9"/>
      <c r="J15" s="9"/>
      <c r="K15" s="9"/>
      <c r="L15" s="9"/>
      <c r="M15" s="9"/>
      <c r="N15" s="9"/>
      <c r="O15" s="9"/>
      <c r="P15" s="9"/>
      <c r="Q15" s="10"/>
      <c r="R15" s="11"/>
      <c r="S15" s="11"/>
      <c r="T15" s="13"/>
      <c r="U15" s="12"/>
      <c r="V15" s="10"/>
      <c r="W15" s="13"/>
      <c r="X15" s="14"/>
      <c r="Y15" s="102" t="str">
        <f t="shared" si="17"/>
        <v/>
      </c>
      <c r="Z15" s="99">
        <f>IF(COUNTIF($E$7:E15,E15)=1,"",COUNTIF($E$7:E15,E15))</f>
        <v>0</v>
      </c>
      <c r="AA15" s="99" t="str">
        <f t="shared" si="0"/>
        <v/>
      </c>
      <c r="AC15" s="99" t="str">
        <f t="shared" si="18"/>
        <v/>
      </c>
      <c r="AD15" s="99" t="str">
        <f t="shared" si="1"/>
        <v/>
      </c>
      <c r="AE15" s="99" t="str">
        <f t="shared" si="1"/>
        <v/>
      </c>
      <c r="AF15" s="99" t="str">
        <f t="shared" si="1"/>
        <v/>
      </c>
      <c r="AG15" s="99" t="str">
        <f t="shared" si="1"/>
        <v/>
      </c>
      <c r="AH15" s="99" t="str">
        <f t="shared" si="1"/>
        <v/>
      </c>
      <c r="AI15" s="99" t="str">
        <f t="shared" si="1"/>
        <v/>
      </c>
      <c r="AJ15" s="99" t="str">
        <f t="shared" si="1"/>
        <v/>
      </c>
      <c r="AK15" s="99" t="str">
        <f t="shared" si="1"/>
        <v/>
      </c>
      <c r="AL15" s="99" t="str">
        <f t="shared" si="1"/>
        <v/>
      </c>
      <c r="AM15" s="99" t="str">
        <f t="shared" si="1"/>
        <v/>
      </c>
      <c r="AN15" s="99" t="str">
        <f t="shared" si="1"/>
        <v/>
      </c>
      <c r="AP15" s="99" t="str">
        <f t="shared" si="2"/>
        <v/>
      </c>
      <c r="AQ15" s="99" t="str">
        <f t="shared" si="3"/>
        <v/>
      </c>
      <c r="AR15" s="99" t="str">
        <f t="shared" si="4"/>
        <v/>
      </c>
      <c r="AS15" s="99" t="str">
        <f t="shared" si="5"/>
        <v/>
      </c>
      <c r="AT15" s="99" t="str">
        <f t="shared" si="6"/>
        <v/>
      </c>
      <c r="AU15" s="99" t="str">
        <f t="shared" si="7"/>
        <v/>
      </c>
      <c r="AV15" s="99" t="str">
        <f t="shared" si="8"/>
        <v/>
      </c>
      <c r="AW15" s="99" t="str">
        <f t="shared" si="9"/>
        <v/>
      </c>
      <c r="AX15" s="99" t="str">
        <f t="shared" si="10"/>
        <v/>
      </c>
      <c r="AY15" s="99" t="str">
        <f t="shared" si="11"/>
        <v/>
      </c>
      <c r="AZ15" s="99" t="str">
        <f t="shared" si="12"/>
        <v/>
      </c>
      <c r="BA15" s="99" t="str">
        <f t="shared" si="13"/>
        <v/>
      </c>
      <c r="BB15" s="103" t="str">
        <f t="shared" si="19"/>
        <v/>
      </c>
      <c r="BE15" s="99" t="str">
        <f t="shared" si="21"/>
        <v/>
      </c>
      <c r="BF15" s="99" t="str">
        <f t="shared" si="14"/>
        <v/>
      </c>
      <c r="BG15" s="99" t="str">
        <f t="shared" si="15"/>
        <v/>
      </c>
      <c r="BH15" s="99" t="str">
        <f t="shared" si="20"/>
        <v/>
      </c>
      <c r="BI15" s="99" t="str">
        <f t="shared" si="16"/>
        <v/>
      </c>
    </row>
    <row r="16" spans="1:61" s="103" customFormat="1" ht="23.15" customHeight="1">
      <c r="A16" s="3">
        <v>10</v>
      </c>
      <c r="B16" s="15"/>
      <c r="C16" s="5"/>
      <c r="D16" s="6"/>
      <c r="E16" s="4"/>
      <c r="F16" s="7"/>
      <c r="G16" s="8"/>
      <c r="H16" s="9"/>
      <c r="I16" s="9"/>
      <c r="J16" s="9"/>
      <c r="K16" s="9"/>
      <c r="L16" s="9"/>
      <c r="M16" s="9"/>
      <c r="N16" s="9"/>
      <c r="O16" s="9"/>
      <c r="P16" s="9"/>
      <c r="Q16" s="10"/>
      <c r="R16" s="11"/>
      <c r="S16" s="11"/>
      <c r="T16" s="13"/>
      <c r="U16" s="12"/>
      <c r="V16" s="10"/>
      <c r="W16" s="13"/>
      <c r="X16" s="14"/>
      <c r="Y16" s="102" t="str">
        <f t="shared" si="17"/>
        <v/>
      </c>
      <c r="Z16" s="99">
        <f>IF(COUNTIF($E$7:E16,E16)=1,"",COUNTIF($E$7:E16,E16))</f>
        <v>0</v>
      </c>
      <c r="AA16" s="99" t="str">
        <f t="shared" si="0"/>
        <v/>
      </c>
      <c r="AC16" s="99" t="str">
        <f t="shared" si="18"/>
        <v/>
      </c>
      <c r="AD16" s="99" t="str">
        <f t="shared" si="1"/>
        <v/>
      </c>
      <c r="AE16" s="99" t="str">
        <f t="shared" si="1"/>
        <v/>
      </c>
      <c r="AF16" s="99" t="str">
        <f t="shared" si="1"/>
        <v/>
      </c>
      <c r="AG16" s="99" t="str">
        <f t="shared" si="1"/>
        <v/>
      </c>
      <c r="AH16" s="99" t="str">
        <f t="shared" si="1"/>
        <v/>
      </c>
      <c r="AI16" s="99" t="str">
        <f t="shared" si="1"/>
        <v/>
      </c>
      <c r="AJ16" s="99" t="str">
        <f t="shared" si="1"/>
        <v/>
      </c>
      <c r="AK16" s="99" t="str">
        <f t="shared" si="1"/>
        <v/>
      </c>
      <c r="AL16" s="99" t="str">
        <f t="shared" si="1"/>
        <v/>
      </c>
      <c r="AM16" s="99" t="str">
        <f t="shared" si="1"/>
        <v/>
      </c>
      <c r="AN16" s="99" t="str">
        <f t="shared" si="1"/>
        <v/>
      </c>
      <c r="AP16" s="99" t="str">
        <f t="shared" si="2"/>
        <v/>
      </c>
      <c r="AQ16" s="99" t="str">
        <f t="shared" si="3"/>
        <v/>
      </c>
      <c r="AR16" s="99" t="str">
        <f t="shared" si="4"/>
        <v/>
      </c>
      <c r="AS16" s="99" t="str">
        <f t="shared" si="5"/>
        <v/>
      </c>
      <c r="AT16" s="99" t="str">
        <f t="shared" si="6"/>
        <v/>
      </c>
      <c r="AU16" s="99" t="str">
        <f t="shared" si="7"/>
        <v/>
      </c>
      <c r="AV16" s="99" t="str">
        <f t="shared" si="8"/>
        <v/>
      </c>
      <c r="AW16" s="99" t="str">
        <f t="shared" si="9"/>
        <v/>
      </c>
      <c r="AX16" s="99" t="str">
        <f t="shared" si="10"/>
        <v/>
      </c>
      <c r="AY16" s="99" t="str">
        <f t="shared" si="11"/>
        <v/>
      </c>
      <c r="AZ16" s="99" t="str">
        <f t="shared" si="12"/>
        <v/>
      </c>
      <c r="BA16" s="99" t="str">
        <f t="shared" si="13"/>
        <v/>
      </c>
      <c r="BB16" s="103" t="str">
        <f t="shared" si="19"/>
        <v/>
      </c>
      <c r="BE16" s="99" t="str">
        <f t="shared" si="21"/>
        <v/>
      </c>
      <c r="BF16" s="99" t="str">
        <f t="shared" si="14"/>
        <v/>
      </c>
      <c r="BG16" s="99" t="str">
        <f t="shared" si="15"/>
        <v/>
      </c>
      <c r="BH16" s="99" t="str">
        <f t="shared" si="20"/>
        <v/>
      </c>
      <c r="BI16" s="99" t="str">
        <f t="shared" si="16"/>
        <v/>
      </c>
    </row>
    <row r="17" spans="1:61" s="103" customFormat="1" ht="23.15" customHeight="1">
      <c r="A17" s="3">
        <v>11</v>
      </c>
      <c r="B17" s="15"/>
      <c r="C17" s="5"/>
      <c r="D17" s="6"/>
      <c r="E17" s="4"/>
      <c r="F17" s="7"/>
      <c r="G17" s="8"/>
      <c r="H17" s="9"/>
      <c r="I17" s="9"/>
      <c r="J17" s="9"/>
      <c r="K17" s="9"/>
      <c r="L17" s="9"/>
      <c r="M17" s="9"/>
      <c r="N17" s="9"/>
      <c r="O17" s="9"/>
      <c r="P17" s="9"/>
      <c r="Q17" s="10"/>
      <c r="R17" s="11"/>
      <c r="S17" s="11"/>
      <c r="T17" s="13"/>
      <c r="U17" s="12"/>
      <c r="V17" s="10"/>
      <c r="W17" s="13"/>
      <c r="X17" s="14"/>
      <c r="Y17" s="102" t="str">
        <f t="shared" si="17"/>
        <v/>
      </c>
      <c r="Z17" s="99">
        <f>IF(COUNTIF($E$7:E17,E17)=1,"",COUNTIF($E$7:E17,E17))</f>
        <v>0</v>
      </c>
      <c r="AA17" s="99" t="str">
        <f t="shared" si="0"/>
        <v/>
      </c>
      <c r="AC17" s="99" t="str">
        <f t="shared" si="18"/>
        <v/>
      </c>
      <c r="AD17" s="99" t="str">
        <f t="shared" si="1"/>
        <v/>
      </c>
      <c r="AE17" s="99" t="str">
        <f t="shared" si="1"/>
        <v/>
      </c>
      <c r="AF17" s="99" t="str">
        <f t="shared" si="1"/>
        <v/>
      </c>
      <c r="AG17" s="99" t="str">
        <f t="shared" si="1"/>
        <v/>
      </c>
      <c r="AH17" s="99" t="str">
        <f t="shared" si="1"/>
        <v/>
      </c>
      <c r="AI17" s="99" t="str">
        <f t="shared" si="1"/>
        <v/>
      </c>
      <c r="AJ17" s="99" t="str">
        <f t="shared" si="1"/>
        <v/>
      </c>
      <c r="AK17" s="99" t="str">
        <f t="shared" si="1"/>
        <v/>
      </c>
      <c r="AL17" s="99" t="str">
        <f t="shared" si="1"/>
        <v/>
      </c>
      <c r="AM17" s="99" t="str">
        <f t="shared" si="1"/>
        <v/>
      </c>
      <c r="AN17" s="99" t="str">
        <f t="shared" si="1"/>
        <v/>
      </c>
      <c r="AP17" s="99" t="str">
        <f t="shared" si="2"/>
        <v/>
      </c>
      <c r="AQ17" s="99" t="str">
        <f t="shared" si="3"/>
        <v/>
      </c>
      <c r="AR17" s="99" t="str">
        <f t="shared" si="4"/>
        <v/>
      </c>
      <c r="AS17" s="99" t="str">
        <f t="shared" si="5"/>
        <v/>
      </c>
      <c r="AT17" s="99" t="str">
        <f t="shared" si="6"/>
        <v/>
      </c>
      <c r="AU17" s="99" t="str">
        <f t="shared" si="7"/>
        <v/>
      </c>
      <c r="AV17" s="99" t="str">
        <f t="shared" si="8"/>
        <v/>
      </c>
      <c r="AW17" s="99" t="str">
        <f t="shared" si="9"/>
        <v/>
      </c>
      <c r="AX17" s="99" t="str">
        <f t="shared" si="10"/>
        <v/>
      </c>
      <c r="AY17" s="99" t="str">
        <f t="shared" si="11"/>
        <v/>
      </c>
      <c r="AZ17" s="99" t="str">
        <f t="shared" si="12"/>
        <v/>
      </c>
      <c r="BA17" s="99" t="str">
        <f t="shared" si="13"/>
        <v/>
      </c>
      <c r="BB17" s="103" t="str">
        <f t="shared" si="19"/>
        <v/>
      </c>
      <c r="BE17" s="99" t="str">
        <f t="shared" si="21"/>
        <v/>
      </c>
      <c r="BF17" s="99" t="str">
        <f t="shared" si="14"/>
        <v/>
      </c>
      <c r="BG17" s="99" t="str">
        <f t="shared" si="15"/>
        <v/>
      </c>
      <c r="BH17" s="99" t="str">
        <f t="shared" si="20"/>
        <v/>
      </c>
      <c r="BI17" s="99" t="str">
        <f t="shared" si="16"/>
        <v/>
      </c>
    </row>
    <row r="18" spans="1:61" s="103" customFormat="1" ht="23.15" customHeight="1">
      <c r="A18" s="3">
        <v>12</v>
      </c>
      <c r="B18" s="15"/>
      <c r="C18" s="5"/>
      <c r="D18" s="6"/>
      <c r="E18" s="4"/>
      <c r="F18" s="7"/>
      <c r="G18" s="8"/>
      <c r="H18" s="9"/>
      <c r="I18" s="9"/>
      <c r="J18" s="9"/>
      <c r="K18" s="9"/>
      <c r="L18" s="9"/>
      <c r="M18" s="9"/>
      <c r="N18" s="9"/>
      <c r="O18" s="9"/>
      <c r="P18" s="9"/>
      <c r="Q18" s="10"/>
      <c r="R18" s="11"/>
      <c r="S18" s="11"/>
      <c r="T18" s="13"/>
      <c r="U18" s="12"/>
      <c r="V18" s="10"/>
      <c r="W18" s="13"/>
      <c r="X18" s="14"/>
      <c r="Y18" s="102" t="str">
        <f t="shared" si="17"/>
        <v/>
      </c>
      <c r="Z18" s="99">
        <f>IF(COUNTIF($E$7:E18,E18)=1,"",COUNTIF($E$7:E18,E18))</f>
        <v>0</v>
      </c>
      <c r="AA18" s="99" t="str">
        <f t="shared" si="0"/>
        <v/>
      </c>
      <c r="AC18" s="99" t="str">
        <f t="shared" si="18"/>
        <v/>
      </c>
      <c r="AD18" s="99" t="str">
        <f t="shared" si="1"/>
        <v/>
      </c>
      <c r="AE18" s="99" t="str">
        <f t="shared" si="1"/>
        <v/>
      </c>
      <c r="AF18" s="99" t="str">
        <f t="shared" si="1"/>
        <v/>
      </c>
      <c r="AG18" s="99" t="str">
        <f t="shared" si="1"/>
        <v/>
      </c>
      <c r="AH18" s="99" t="str">
        <f t="shared" si="1"/>
        <v/>
      </c>
      <c r="AI18" s="99" t="str">
        <f t="shared" si="1"/>
        <v/>
      </c>
      <c r="AJ18" s="99" t="str">
        <f t="shared" si="1"/>
        <v/>
      </c>
      <c r="AK18" s="99" t="str">
        <f t="shared" si="1"/>
        <v/>
      </c>
      <c r="AL18" s="99" t="str">
        <f t="shared" si="1"/>
        <v/>
      </c>
      <c r="AM18" s="99" t="str">
        <f t="shared" si="1"/>
        <v/>
      </c>
      <c r="AN18" s="99" t="str">
        <f t="shared" si="1"/>
        <v/>
      </c>
      <c r="AP18" s="99" t="str">
        <f t="shared" si="2"/>
        <v/>
      </c>
      <c r="AQ18" s="99" t="str">
        <f t="shared" si="3"/>
        <v/>
      </c>
      <c r="AR18" s="99" t="str">
        <f t="shared" si="4"/>
        <v/>
      </c>
      <c r="AS18" s="99" t="str">
        <f t="shared" si="5"/>
        <v/>
      </c>
      <c r="AT18" s="99" t="str">
        <f t="shared" si="6"/>
        <v/>
      </c>
      <c r="AU18" s="99" t="str">
        <f t="shared" si="7"/>
        <v/>
      </c>
      <c r="AV18" s="99" t="str">
        <f t="shared" si="8"/>
        <v/>
      </c>
      <c r="AW18" s="99" t="str">
        <f t="shared" si="9"/>
        <v/>
      </c>
      <c r="AX18" s="99" t="str">
        <f t="shared" si="10"/>
        <v/>
      </c>
      <c r="AY18" s="99" t="str">
        <f t="shared" si="11"/>
        <v/>
      </c>
      <c r="AZ18" s="99" t="str">
        <f t="shared" si="12"/>
        <v/>
      </c>
      <c r="BA18" s="99" t="str">
        <f t="shared" si="13"/>
        <v/>
      </c>
      <c r="BB18" s="103" t="str">
        <f t="shared" si="19"/>
        <v/>
      </c>
      <c r="BE18" s="99" t="str">
        <f t="shared" si="21"/>
        <v/>
      </c>
      <c r="BF18" s="99" t="str">
        <f t="shared" si="14"/>
        <v/>
      </c>
      <c r="BG18" s="99" t="str">
        <f t="shared" si="15"/>
        <v/>
      </c>
      <c r="BH18" s="99" t="str">
        <f t="shared" si="20"/>
        <v/>
      </c>
      <c r="BI18" s="99" t="str">
        <f t="shared" si="16"/>
        <v/>
      </c>
    </row>
    <row r="19" spans="1:61" s="103" customFormat="1" ht="23.15" customHeight="1">
      <c r="A19" s="3">
        <v>13</v>
      </c>
      <c r="B19" s="15"/>
      <c r="C19" s="5"/>
      <c r="D19" s="6"/>
      <c r="E19" s="4"/>
      <c r="F19" s="7"/>
      <c r="G19" s="8"/>
      <c r="H19" s="9"/>
      <c r="I19" s="9"/>
      <c r="J19" s="9"/>
      <c r="K19" s="9"/>
      <c r="L19" s="9"/>
      <c r="M19" s="9"/>
      <c r="N19" s="9"/>
      <c r="O19" s="9"/>
      <c r="P19" s="9"/>
      <c r="Q19" s="10"/>
      <c r="R19" s="11"/>
      <c r="S19" s="12"/>
      <c r="T19" s="13"/>
      <c r="U19" s="12"/>
      <c r="V19" s="10"/>
      <c r="W19" s="13"/>
      <c r="X19" s="14"/>
      <c r="Y19" s="102" t="str">
        <f t="shared" si="17"/>
        <v/>
      </c>
      <c r="Z19" s="99">
        <f>IF(COUNTIF($E$7:E19,E19)=1,"",COUNTIF($E$7:E19,E19))</f>
        <v>0</v>
      </c>
      <c r="AA19" s="99" t="str">
        <f t="shared" si="0"/>
        <v/>
      </c>
      <c r="AC19" s="99" t="str">
        <f t="shared" si="18"/>
        <v/>
      </c>
      <c r="AD19" s="99" t="str">
        <f t="shared" si="1"/>
        <v/>
      </c>
      <c r="AE19" s="99" t="str">
        <f t="shared" si="1"/>
        <v/>
      </c>
      <c r="AF19" s="99" t="str">
        <f t="shared" si="1"/>
        <v/>
      </c>
      <c r="AG19" s="99" t="str">
        <f t="shared" si="1"/>
        <v/>
      </c>
      <c r="AH19" s="99" t="str">
        <f t="shared" si="1"/>
        <v/>
      </c>
      <c r="AI19" s="99" t="str">
        <f t="shared" si="1"/>
        <v/>
      </c>
      <c r="AJ19" s="99" t="str">
        <f t="shared" si="1"/>
        <v/>
      </c>
      <c r="AK19" s="99" t="str">
        <f t="shared" si="1"/>
        <v/>
      </c>
      <c r="AL19" s="99" t="str">
        <f t="shared" si="1"/>
        <v/>
      </c>
      <c r="AM19" s="99" t="str">
        <f t="shared" si="1"/>
        <v/>
      </c>
      <c r="AN19" s="99" t="str">
        <f t="shared" si="1"/>
        <v/>
      </c>
      <c r="AP19" s="99" t="str">
        <f t="shared" si="2"/>
        <v/>
      </c>
      <c r="AQ19" s="99" t="str">
        <f t="shared" si="3"/>
        <v/>
      </c>
      <c r="AR19" s="99" t="str">
        <f t="shared" si="4"/>
        <v/>
      </c>
      <c r="AS19" s="99" t="str">
        <f t="shared" si="5"/>
        <v/>
      </c>
      <c r="AT19" s="99" t="str">
        <f t="shared" si="6"/>
        <v/>
      </c>
      <c r="AU19" s="99" t="str">
        <f t="shared" si="7"/>
        <v/>
      </c>
      <c r="AV19" s="99" t="str">
        <f t="shared" si="8"/>
        <v/>
      </c>
      <c r="AW19" s="99" t="str">
        <f t="shared" si="9"/>
        <v/>
      </c>
      <c r="AX19" s="99" t="str">
        <f t="shared" si="10"/>
        <v/>
      </c>
      <c r="AY19" s="99" t="str">
        <f t="shared" si="11"/>
        <v/>
      </c>
      <c r="AZ19" s="99" t="str">
        <f t="shared" si="12"/>
        <v/>
      </c>
      <c r="BA19" s="99" t="str">
        <f t="shared" si="13"/>
        <v/>
      </c>
      <c r="BB19" s="103" t="str">
        <f t="shared" si="19"/>
        <v/>
      </c>
      <c r="BE19" s="99" t="str">
        <f t="shared" si="21"/>
        <v/>
      </c>
      <c r="BF19" s="99" t="str">
        <f t="shared" si="14"/>
        <v/>
      </c>
      <c r="BG19" s="99" t="str">
        <f t="shared" si="15"/>
        <v/>
      </c>
      <c r="BH19" s="99" t="str">
        <f t="shared" si="20"/>
        <v/>
      </c>
      <c r="BI19" s="99" t="str">
        <f t="shared" si="16"/>
        <v/>
      </c>
    </row>
    <row r="20" spans="1:61" s="103" customFormat="1" ht="23.15" customHeight="1">
      <c r="A20" s="3">
        <v>14</v>
      </c>
      <c r="B20" s="15"/>
      <c r="C20" s="5"/>
      <c r="D20" s="6"/>
      <c r="E20" s="4"/>
      <c r="F20" s="7"/>
      <c r="G20" s="8"/>
      <c r="H20" s="9"/>
      <c r="I20" s="9"/>
      <c r="J20" s="9"/>
      <c r="K20" s="9"/>
      <c r="L20" s="9"/>
      <c r="M20" s="9"/>
      <c r="N20" s="9"/>
      <c r="O20" s="9"/>
      <c r="P20" s="9"/>
      <c r="Q20" s="10"/>
      <c r="R20" s="11"/>
      <c r="S20" s="11"/>
      <c r="T20" s="13"/>
      <c r="U20" s="12"/>
      <c r="V20" s="10"/>
      <c r="W20" s="13"/>
      <c r="X20" s="14"/>
      <c r="Y20" s="102" t="str">
        <f t="shared" si="17"/>
        <v/>
      </c>
      <c r="Z20" s="99">
        <f>IF(COUNTIF($E$7:E20,E20)=1,"",COUNTIF($E$7:E20,E20))</f>
        <v>0</v>
      </c>
      <c r="AA20" s="99" t="str">
        <f t="shared" si="0"/>
        <v/>
      </c>
      <c r="AC20" s="99" t="str">
        <f t="shared" si="18"/>
        <v/>
      </c>
      <c r="AD20" s="99" t="str">
        <f t="shared" si="1"/>
        <v/>
      </c>
      <c r="AE20" s="99" t="str">
        <f t="shared" si="1"/>
        <v/>
      </c>
      <c r="AF20" s="99" t="str">
        <f t="shared" si="1"/>
        <v/>
      </c>
      <c r="AG20" s="99" t="str">
        <f t="shared" si="1"/>
        <v/>
      </c>
      <c r="AH20" s="99" t="str">
        <f t="shared" si="1"/>
        <v/>
      </c>
      <c r="AI20" s="99" t="str">
        <f t="shared" si="1"/>
        <v/>
      </c>
      <c r="AJ20" s="99" t="str">
        <f t="shared" si="1"/>
        <v/>
      </c>
      <c r="AK20" s="99" t="str">
        <f t="shared" si="1"/>
        <v/>
      </c>
      <c r="AL20" s="99" t="str">
        <f t="shared" si="1"/>
        <v/>
      </c>
      <c r="AM20" s="99" t="str">
        <f t="shared" si="1"/>
        <v/>
      </c>
      <c r="AN20" s="99" t="str">
        <f t="shared" si="1"/>
        <v/>
      </c>
      <c r="AP20" s="99" t="str">
        <f t="shared" si="2"/>
        <v/>
      </c>
      <c r="AQ20" s="99" t="str">
        <f t="shared" si="3"/>
        <v/>
      </c>
      <c r="AR20" s="99" t="str">
        <f t="shared" si="4"/>
        <v/>
      </c>
      <c r="AS20" s="99" t="str">
        <f t="shared" si="5"/>
        <v/>
      </c>
      <c r="AT20" s="99" t="str">
        <f t="shared" si="6"/>
        <v/>
      </c>
      <c r="AU20" s="99" t="str">
        <f t="shared" si="7"/>
        <v/>
      </c>
      <c r="AV20" s="99" t="str">
        <f t="shared" si="8"/>
        <v/>
      </c>
      <c r="AW20" s="99" t="str">
        <f t="shared" si="9"/>
        <v/>
      </c>
      <c r="AX20" s="99" t="str">
        <f t="shared" si="10"/>
        <v/>
      </c>
      <c r="AY20" s="99" t="str">
        <f t="shared" si="11"/>
        <v/>
      </c>
      <c r="AZ20" s="99" t="str">
        <f t="shared" si="12"/>
        <v/>
      </c>
      <c r="BA20" s="99" t="str">
        <f t="shared" si="13"/>
        <v/>
      </c>
      <c r="BB20" s="103" t="str">
        <f t="shared" si="19"/>
        <v/>
      </c>
      <c r="BE20" s="99" t="str">
        <f t="shared" si="21"/>
        <v/>
      </c>
      <c r="BF20" s="99" t="str">
        <f t="shared" si="14"/>
        <v/>
      </c>
      <c r="BG20" s="99" t="str">
        <f t="shared" si="15"/>
        <v/>
      </c>
      <c r="BH20" s="99" t="str">
        <f t="shared" si="20"/>
        <v/>
      </c>
      <c r="BI20" s="99" t="str">
        <f t="shared" si="16"/>
        <v/>
      </c>
    </row>
    <row r="21" spans="1:61" s="103" customFormat="1" ht="23.15" customHeight="1">
      <c r="A21" s="3">
        <v>15</v>
      </c>
      <c r="B21" s="15"/>
      <c r="C21" s="5"/>
      <c r="D21" s="6"/>
      <c r="E21" s="4"/>
      <c r="F21" s="7"/>
      <c r="G21" s="8"/>
      <c r="H21" s="9"/>
      <c r="I21" s="9"/>
      <c r="J21" s="9"/>
      <c r="K21" s="9"/>
      <c r="L21" s="9"/>
      <c r="M21" s="9"/>
      <c r="N21" s="9"/>
      <c r="O21" s="9"/>
      <c r="P21" s="9"/>
      <c r="Q21" s="10"/>
      <c r="R21" s="11"/>
      <c r="S21" s="11"/>
      <c r="T21" s="13"/>
      <c r="U21" s="12"/>
      <c r="V21" s="10"/>
      <c r="W21" s="13"/>
      <c r="X21" s="14"/>
      <c r="Y21" s="102" t="str">
        <f t="shared" si="17"/>
        <v/>
      </c>
      <c r="Z21" s="99">
        <f>IF(COUNTIF($E$7:E21,E21)=1,"",COUNTIF($E$7:E21,E21))</f>
        <v>0</v>
      </c>
      <c r="AA21" s="99" t="str">
        <f t="shared" si="0"/>
        <v/>
      </c>
      <c r="AC21" s="99" t="str">
        <f t="shared" si="18"/>
        <v/>
      </c>
      <c r="AD21" s="99" t="str">
        <f t="shared" si="1"/>
        <v/>
      </c>
      <c r="AE21" s="99" t="str">
        <f t="shared" si="1"/>
        <v/>
      </c>
      <c r="AF21" s="99" t="str">
        <f t="shared" si="1"/>
        <v/>
      </c>
      <c r="AG21" s="99" t="str">
        <f t="shared" si="1"/>
        <v/>
      </c>
      <c r="AH21" s="99" t="str">
        <f t="shared" si="1"/>
        <v/>
      </c>
      <c r="AI21" s="99" t="str">
        <f t="shared" si="1"/>
        <v/>
      </c>
      <c r="AJ21" s="99" t="str">
        <f t="shared" si="1"/>
        <v/>
      </c>
      <c r="AK21" s="99" t="str">
        <f t="shared" si="1"/>
        <v/>
      </c>
      <c r="AL21" s="99" t="str">
        <f t="shared" si="1"/>
        <v/>
      </c>
      <c r="AM21" s="99" t="str">
        <f t="shared" si="1"/>
        <v/>
      </c>
      <c r="AN21" s="99" t="str">
        <f t="shared" si="1"/>
        <v/>
      </c>
      <c r="AP21" s="99" t="str">
        <f t="shared" si="2"/>
        <v/>
      </c>
      <c r="AQ21" s="99" t="str">
        <f t="shared" si="3"/>
        <v/>
      </c>
      <c r="AR21" s="99" t="str">
        <f t="shared" si="4"/>
        <v/>
      </c>
      <c r="AS21" s="99" t="str">
        <f t="shared" si="5"/>
        <v/>
      </c>
      <c r="AT21" s="99" t="str">
        <f t="shared" si="6"/>
        <v/>
      </c>
      <c r="AU21" s="99" t="str">
        <f t="shared" si="7"/>
        <v/>
      </c>
      <c r="AV21" s="99" t="str">
        <f t="shared" si="8"/>
        <v/>
      </c>
      <c r="AW21" s="99" t="str">
        <f t="shared" si="9"/>
        <v/>
      </c>
      <c r="AX21" s="99" t="str">
        <f t="shared" si="10"/>
        <v/>
      </c>
      <c r="AY21" s="99" t="str">
        <f t="shared" si="11"/>
        <v/>
      </c>
      <c r="AZ21" s="99" t="str">
        <f t="shared" si="12"/>
        <v/>
      </c>
      <c r="BA21" s="99" t="str">
        <f t="shared" si="13"/>
        <v/>
      </c>
      <c r="BB21" s="103" t="str">
        <f t="shared" si="19"/>
        <v/>
      </c>
      <c r="BE21" s="99" t="str">
        <f t="shared" si="21"/>
        <v/>
      </c>
      <c r="BF21" s="99" t="str">
        <f t="shared" si="14"/>
        <v/>
      </c>
      <c r="BG21" s="99" t="str">
        <f t="shared" si="15"/>
        <v/>
      </c>
      <c r="BH21" s="99" t="str">
        <f t="shared" si="20"/>
        <v/>
      </c>
      <c r="BI21" s="99" t="str">
        <f t="shared" si="16"/>
        <v/>
      </c>
    </row>
    <row r="22" spans="1:61" s="103" customFormat="1" ht="23.15" customHeight="1">
      <c r="A22" s="3">
        <v>16</v>
      </c>
      <c r="B22" s="15"/>
      <c r="C22" s="5"/>
      <c r="D22" s="6"/>
      <c r="E22" s="4"/>
      <c r="F22" s="7"/>
      <c r="G22" s="8"/>
      <c r="H22" s="9"/>
      <c r="I22" s="9"/>
      <c r="J22" s="9"/>
      <c r="K22" s="9"/>
      <c r="L22" s="9"/>
      <c r="M22" s="9"/>
      <c r="N22" s="9"/>
      <c r="O22" s="9"/>
      <c r="P22" s="9"/>
      <c r="Q22" s="10"/>
      <c r="R22" s="11"/>
      <c r="S22" s="11"/>
      <c r="T22" s="13"/>
      <c r="U22" s="12"/>
      <c r="V22" s="10"/>
      <c r="W22" s="13"/>
      <c r="X22" s="14"/>
      <c r="Y22" s="102" t="str">
        <f t="shared" si="17"/>
        <v/>
      </c>
      <c r="Z22" s="99">
        <f>IF(COUNTIF($E$7:E22,E22)=1,"",COUNTIF($E$7:E22,E22))</f>
        <v>0</v>
      </c>
      <c r="AA22" s="99" t="str">
        <f t="shared" si="0"/>
        <v/>
      </c>
      <c r="AC22" s="99" t="str">
        <f t="shared" si="18"/>
        <v/>
      </c>
      <c r="AD22" s="99" t="str">
        <f t="shared" si="1"/>
        <v/>
      </c>
      <c r="AE22" s="99" t="str">
        <f t="shared" si="1"/>
        <v/>
      </c>
      <c r="AF22" s="99" t="str">
        <f t="shared" si="1"/>
        <v/>
      </c>
      <c r="AG22" s="99" t="str">
        <f t="shared" si="1"/>
        <v/>
      </c>
      <c r="AH22" s="99" t="str">
        <f t="shared" si="1"/>
        <v/>
      </c>
      <c r="AI22" s="99" t="str">
        <f t="shared" si="1"/>
        <v/>
      </c>
      <c r="AJ22" s="99" t="str">
        <f t="shared" si="1"/>
        <v/>
      </c>
      <c r="AK22" s="99" t="str">
        <f t="shared" si="1"/>
        <v/>
      </c>
      <c r="AL22" s="99" t="str">
        <f t="shared" si="1"/>
        <v/>
      </c>
      <c r="AM22" s="99" t="str">
        <f t="shared" si="1"/>
        <v/>
      </c>
      <c r="AN22" s="99" t="str">
        <f t="shared" si="1"/>
        <v/>
      </c>
      <c r="AP22" s="99" t="str">
        <f t="shared" si="2"/>
        <v/>
      </c>
      <c r="AQ22" s="99" t="str">
        <f t="shared" si="3"/>
        <v/>
      </c>
      <c r="AR22" s="99" t="str">
        <f t="shared" si="4"/>
        <v/>
      </c>
      <c r="AS22" s="99" t="str">
        <f t="shared" si="5"/>
        <v/>
      </c>
      <c r="AT22" s="99" t="str">
        <f t="shared" si="6"/>
        <v/>
      </c>
      <c r="AU22" s="99" t="str">
        <f t="shared" si="7"/>
        <v/>
      </c>
      <c r="AV22" s="99" t="str">
        <f t="shared" si="8"/>
        <v/>
      </c>
      <c r="AW22" s="99" t="str">
        <f t="shared" si="9"/>
        <v/>
      </c>
      <c r="AX22" s="99" t="str">
        <f t="shared" si="10"/>
        <v/>
      </c>
      <c r="AY22" s="99" t="str">
        <f t="shared" si="11"/>
        <v/>
      </c>
      <c r="AZ22" s="99" t="str">
        <f t="shared" si="12"/>
        <v/>
      </c>
      <c r="BA22" s="99" t="str">
        <f t="shared" si="13"/>
        <v/>
      </c>
      <c r="BB22" s="103" t="str">
        <f t="shared" si="19"/>
        <v/>
      </c>
      <c r="BE22" s="99" t="str">
        <f t="shared" si="21"/>
        <v/>
      </c>
      <c r="BF22" s="99" t="str">
        <f t="shared" si="14"/>
        <v/>
      </c>
      <c r="BG22" s="99" t="str">
        <f t="shared" si="15"/>
        <v/>
      </c>
      <c r="BH22" s="99" t="str">
        <f t="shared" si="20"/>
        <v/>
      </c>
      <c r="BI22" s="99" t="str">
        <f t="shared" si="16"/>
        <v/>
      </c>
    </row>
    <row r="23" spans="1:61" s="103" customFormat="1" ht="23.15" customHeight="1">
      <c r="A23" s="3">
        <v>17</v>
      </c>
      <c r="B23" s="15"/>
      <c r="C23" s="5"/>
      <c r="D23" s="6"/>
      <c r="E23" s="4"/>
      <c r="F23" s="7"/>
      <c r="G23" s="8"/>
      <c r="H23" s="9"/>
      <c r="I23" s="9"/>
      <c r="J23" s="9"/>
      <c r="K23" s="9"/>
      <c r="L23" s="9"/>
      <c r="M23" s="9"/>
      <c r="N23" s="9"/>
      <c r="O23" s="9"/>
      <c r="P23" s="9"/>
      <c r="Q23" s="10"/>
      <c r="R23" s="11"/>
      <c r="S23" s="11"/>
      <c r="T23" s="13"/>
      <c r="U23" s="12"/>
      <c r="V23" s="10"/>
      <c r="W23" s="13"/>
      <c r="X23" s="14"/>
      <c r="Y23" s="102" t="str">
        <f t="shared" si="17"/>
        <v/>
      </c>
      <c r="Z23" s="99">
        <f>IF(COUNTIF($E$7:E23,E23)=1,"",COUNTIF($E$7:E23,E23))</f>
        <v>0</v>
      </c>
      <c r="AA23" s="99" t="str">
        <f t="shared" si="0"/>
        <v/>
      </c>
      <c r="AC23" s="99" t="str">
        <f t="shared" si="18"/>
        <v/>
      </c>
      <c r="AD23" s="99" t="str">
        <f t="shared" si="18"/>
        <v/>
      </c>
      <c r="AE23" s="99" t="str">
        <f t="shared" si="18"/>
        <v/>
      </c>
      <c r="AF23" s="99" t="str">
        <f t="shared" si="18"/>
        <v/>
      </c>
      <c r="AG23" s="99" t="str">
        <f t="shared" si="18"/>
        <v/>
      </c>
      <c r="AH23" s="99" t="str">
        <f t="shared" si="18"/>
        <v/>
      </c>
      <c r="AI23" s="99" t="str">
        <f t="shared" si="18"/>
        <v/>
      </c>
      <c r="AJ23" s="99" t="str">
        <f t="shared" si="18"/>
        <v/>
      </c>
      <c r="AK23" s="99" t="str">
        <f t="shared" si="18"/>
        <v/>
      </c>
      <c r="AL23" s="99" t="str">
        <f t="shared" si="18"/>
        <v/>
      </c>
      <c r="AM23" s="99" t="str">
        <f t="shared" si="18"/>
        <v/>
      </c>
      <c r="AN23" s="99" t="str">
        <f t="shared" si="18"/>
        <v/>
      </c>
      <c r="AP23" s="99" t="str">
        <f t="shared" si="2"/>
        <v/>
      </c>
      <c r="AQ23" s="99" t="str">
        <f t="shared" si="3"/>
        <v/>
      </c>
      <c r="AR23" s="99" t="str">
        <f t="shared" si="4"/>
        <v/>
      </c>
      <c r="AS23" s="99" t="str">
        <f t="shared" si="5"/>
        <v/>
      </c>
      <c r="AT23" s="99" t="str">
        <f t="shared" si="6"/>
        <v/>
      </c>
      <c r="AU23" s="99" t="str">
        <f t="shared" si="7"/>
        <v/>
      </c>
      <c r="AV23" s="99" t="str">
        <f t="shared" si="8"/>
        <v/>
      </c>
      <c r="AW23" s="99" t="str">
        <f t="shared" si="9"/>
        <v/>
      </c>
      <c r="AX23" s="99" t="str">
        <f t="shared" si="10"/>
        <v/>
      </c>
      <c r="AY23" s="99" t="str">
        <f t="shared" si="11"/>
        <v/>
      </c>
      <c r="AZ23" s="99" t="str">
        <f t="shared" si="12"/>
        <v/>
      </c>
      <c r="BA23" s="99" t="str">
        <f t="shared" si="13"/>
        <v/>
      </c>
      <c r="BB23" s="103" t="str">
        <f t="shared" si="19"/>
        <v/>
      </c>
      <c r="BE23" s="99" t="str">
        <f t="shared" si="21"/>
        <v/>
      </c>
      <c r="BF23" s="99" t="str">
        <f t="shared" si="14"/>
        <v/>
      </c>
      <c r="BG23" s="99" t="str">
        <f t="shared" si="15"/>
        <v/>
      </c>
      <c r="BH23" s="99" t="str">
        <f t="shared" si="20"/>
        <v/>
      </c>
      <c r="BI23" s="99" t="str">
        <f t="shared" si="16"/>
        <v/>
      </c>
    </row>
    <row r="24" spans="1:61" s="103" customFormat="1" ht="23.15" customHeight="1">
      <c r="A24" s="3">
        <v>18</v>
      </c>
      <c r="B24" s="15"/>
      <c r="C24" s="5"/>
      <c r="D24" s="6"/>
      <c r="E24" s="4"/>
      <c r="F24" s="7"/>
      <c r="G24" s="8"/>
      <c r="H24" s="9"/>
      <c r="I24" s="9"/>
      <c r="J24" s="9"/>
      <c r="K24" s="9"/>
      <c r="L24" s="9"/>
      <c r="M24" s="9"/>
      <c r="N24" s="9"/>
      <c r="O24" s="9"/>
      <c r="P24" s="9"/>
      <c r="Q24" s="10"/>
      <c r="R24" s="11"/>
      <c r="S24" s="11"/>
      <c r="T24" s="13"/>
      <c r="U24" s="12"/>
      <c r="V24" s="10"/>
      <c r="W24" s="13"/>
      <c r="X24" s="14"/>
      <c r="Y24" s="102" t="str">
        <f t="shared" si="17"/>
        <v/>
      </c>
      <c r="Z24" s="99">
        <f>IF(COUNTIF($E$7:E24,E24)=1,"",COUNTIF($E$7:E24,E24))</f>
        <v>0</v>
      </c>
      <c r="AA24" s="99" t="str">
        <f t="shared" si="0"/>
        <v/>
      </c>
      <c r="AC24" s="99" t="str">
        <f t="shared" si="18"/>
        <v/>
      </c>
      <c r="AD24" s="99" t="str">
        <f t="shared" si="18"/>
        <v/>
      </c>
      <c r="AE24" s="99" t="str">
        <f t="shared" si="18"/>
        <v/>
      </c>
      <c r="AF24" s="99" t="str">
        <f t="shared" si="18"/>
        <v/>
      </c>
      <c r="AG24" s="99" t="str">
        <f t="shared" si="18"/>
        <v/>
      </c>
      <c r="AH24" s="99" t="str">
        <f t="shared" si="18"/>
        <v/>
      </c>
      <c r="AI24" s="99" t="str">
        <f t="shared" si="18"/>
        <v/>
      </c>
      <c r="AJ24" s="99" t="str">
        <f t="shared" si="18"/>
        <v/>
      </c>
      <c r="AK24" s="99" t="str">
        <f t="shared" si="18"/>
        <v/>
      </c>
      <c r="AL24" s="99" t="str">
        <f t="shared" si="18"/>
        <v/>
      </c>
      <c r="AM24" s="99" t="str">
        <f t="shared" si="18"/>
        <v/>
      </c>
      <c r="AN24" s="99" t="str">
        <f t="shared" si="18"/>
        <v/>
      </c>
      <c r="AP24" s="99" t="str">
        <f t="shared" si="2"/>
        <v/>
      </c>
      <c r="AQ24" s="99" t="str">
        <f t="shared" si="3"/>
        <v/>
      </c>
      <c r="AR24" s="99" t="str">
        <f t="shared" si="4"/>
        <v/>
      </c>
      <c r="AS24" s="99" t="str">
        <f t="shared" si="5"/>
        <v/>
      </c>
      <c r="AT24" s="99" t="str">
        <f t="shared" si="6"/>
        <v/>
      </c>
      <c r="AU24" s="99" t="str">
        <f t="shared" si="7"/>
        <v/>
      </c>
      <c r="AV24" s="99" t="str">
        <f t="shared" si="8"/>
        <v/>
      </c>
      <c r="AW24" s="99" t="str">
        <f t="shared" si="9"/>
        <v/>
      </c>
      <c r="AX24" s="99" t="str">
        <f t="shared" si="10"/>
        <v/>
      </c>
      <c r="AY24" s="99" t="str">
        <f t="shared" si="11"/>
        <v/>
      </c>
      <c r="AZ24" s="99" t="str">
        <f t="shared" si="12"/>
        <v/>
      </c>
      <c r="BA24" s="99" t="str">
        <f t="shared" si="13"/>
        <v/>
      </c>
      <c r="BB24" s="103" t="str">
        <f t="shared" si="19"/>
        <v/>
      </c>
      <c r="BE24" s="99" t="str">
        <f t="shared" si="21"/>
        <v/>
      </c>
      <c r="BF24" s="99" t="str">
        <f t="shared" si="14"/>
        <v/>
      </c>
      <c r="BG24" s="99" t="str">
        <f t="shared" si="15"/>
        <v/>
      </c>
      <c r="BH24" s="99" t="str">
        <f t="shared" si="20"/>
        <v/>
      </c>
      <c r="BI24" s="99" t="str">
        <f t="shared" si="16"/>
        <v/>
      </c>
    </row>
    <row r="25" spans="1:61" s="103" customFormat="1" ht="23.15" customHeight="1">
      <c r="A25" s="3">
        <v>19</v>
      </c>
      <c r="B25" s="15"/>
      <c r="C25" s="5"/>
      <c r="D25" s="6"/>
      <c r="E25" s="4"/>
      <c r="F25" s="7"/>
      <c r="G25" s="8"/>
      <c r="H25" s="9"/>
      <c r="I25" s="9"/>
      <c r="J25" s="9"/>
      <c r="K25" s="9"/>
      <c r="L25" s="9"/>
      <c r="M25" s="9"/>
      <c r="N25" s="9"/>
      <c r="O25" s="9"/>
      <c r="P25" s="9"/>
      <c r="Q25" s="10"/>
      <c r="R25" s="11"/>
      <c r="S25" s="11"/>
      <c r="T25" s="13"/>
      <c r="U25" s="12"/>
      <c r="V25" s="10"/>
      <c r="W25" s="13"/>
      <c r="X25" s="14"/>
      <c r="Y25" s="102" t="str">
        <f t="shared" si="17"/>
        <v/>
      </c>
      <c r="Z25" s="99">
        <f>IF(COUNTIF($E$7:E25,E25)=1,"",COUNTIF($E$7:E25,E25))</f>
        <v>0</v>
      </c>
      <c r="AA25" s="99" t="str">
        <f t="shared" si="0"/>
        <v/>
      </c>
      <c r="AC25" s="99" t="str">
        <f t="shared" si="18"/>
        <v/>
      </c>
      <c r="AD25" s="99" t="str">
        <f t="shared" si="18"/>
        <v/>
      </c>
      <c r="AE25" s="99" t="str">
        <f t="shared" si="18"/>
        <v/>
      </c>
      <c r="AF25" s="99" t="str">
        <f t="shared" si="18"/>
        <v/>
      </c>
      <c r="AG25" s="99" t="str">
        <f t="shared" si="18"/>
        <v/>
      </c>
      <c r="AH25" s="99" t="str">
        <f t="shared" si="18"/>
        <v/>
      </c>
      <c r="AI25" s="99" t="str">
        <f t="shared" si="18"/>
        <v/>
      </c>
      <c r="AJ25" s="99" t="str">
        <f t="shared" si="18"/>
        <v/>
      </c>
      <c r="AK25" s="99" t="str">
        <f t="shared" si="18"/>
        <v/>
      </c>
      <c r="AL25" s="99" t="str">
        <f t="shared" si="18"/>
        <v/>
      </c>
      <c r="AM25" s="99" t="str">
        <f t="shared" si="18"/>
        <v/>
      </c>
      <c r="AN25" s="99" t="str">
        <f t="shared" si="18"/>
        <v/>
      </c>
      <c r="AP25" s="99" t="str">
        <f t="shared" si="2"/>
        <v/>
      </c>
      <c r="AQ25" s="99" t="str">
        <f t="shared" si="3"/>
        <v/>
      </c>
      <c r="AR25" s="99" t="str">
        <f t="shared" si="4"/>
        <v/>
      </c>
      <c r="AS25" s="99" t="str">
        <f t="shared" si="5"/>
        <v/>
      </c>
      <c r="AT25" s="99" t="str">
        <f t="shared" si="6"/>
        <v/>
      </c>
      <c r="AU25" s="99" t="str">
        <f t="shared" si="7"/>
        <v/>
      </c>
      <c r="AV25" s="99" t="str">
        <f t="shared" si="8"/>
        <v/>
      </c>
      <c r="AW25" s="99" t="str">
        <f t="shared" si="9"/>
        <v/>
      </c>
      <c r="AX25" s="99" t="str">
        <f t="shared" si="10"/>
        <v/>
      </c>
      <c r="AY25" s="99" t="str">
        <f t="shared" si="11"/>
        <v/>
      </c>
      <c r="AZ25" s="99" t="str">
        <f t="shared" si="12"/>
        <v/>
      </c>
      <c r="BA25" s="99" t="str">
        <f t="shared" si="13"/>
        <v/>
      </c>
      <c r="BB25" s="103" t="str">
        <f t="shared" si="19"/>
        <v/>
      </c>
      <c r="BE25" s="99" t="str">
        <f t="shared" si="21"/>
        <v/>
      </c>
      <c r="BF25" s="99" t="str">
        <f t="shared" si="14"/>
        <v/>
      </c>
      <c r="BG25" s="99" t="str">
        <f t="shared" si="15"/>
        <v/>
      </c>
      <c r="BH25" s="99" t="str">
        <f t="shared" si="20"/>
        <v/>
      </c>
      <c r="BI25" s="99" t="str">
        <f t="shared" si="16"/>
        <v/>
      </c>
    </row>
    <row r="26" spans="1:61" s="103" customFormat="1" ht="23.15" customHeight="1">
      <c r="A26" s="3">
        <v>20</v>
      </c>
      <c r="B26" s="15"/>
      <c r="C26" s="5"/>
      <c r="D26" s="6"/>
      <c r="E26" s="4"/>
      <c r="F26" s="7"/>
      <c r="G26" s="8"/>
      <c r="H26" s="9"/>
      <c r="I26" s="9"/>
      <c r="J26" s="9"/>
      <c r="K26" s="9"/>
      <c r="L26" s="9"/>
      <c r="M26" s="9"/>
      <c r="N26" s="9"/>
      <c r="O26" s="9"/>
      <c r="P26" s="9"/>
      <c r="Q26" s="10"/>
      <c r="R26" s="11"/>
      <c r="S26" s="12"/>
      <c r="T26" s="13"/>
      <c r="U26" s="12"/>
      <c r="V26" s="10"/>
      <c r="W26" s="13"/>
      <c r="X26" s="14"/>
      <c r="Y26" s="102" t="str">
        <f t="shared" si="17"/>
        <v/>
      </c>
      <c r="Z26" s="99">
        <f>IF(COUNTIF($E$7:E26,E26)=1,"",COUNTIF($E$7:E26,E26))</f>
        <v>0</v>
      </c>
      <c r="AA26" s="99" t="str">
        <f t="shared" si="0"/>
        <v/>
      </c>
      <c r="AC26" s="99" t="str">
        <f t="shared" si="18"/>
        <v/>
      </c>
      <c r="AD26" s="99" t="str">
        <f t="shared" si="18"/>
        <v/>
      </c>
      <c r="AE26" s="99" t="str">
        <f t="shared" si="18"/>
        <v/>
      </c>
      <c r="AF26" s="99" t="str">
        <f t="shared" si="18"/>
        <v/>
      </c>
      <c r="AG26" s="99" t="str">
        <f t="shared" si="18"/>
        <v/>
      </c>
      <c r="AH26" s="99" t="str">
        <f t="shared" si="18"/>
        <v/>
      </c>
      <c r="AI26" s="99" t="str">
        <f t="shared" si="18"/>
        <v/>
      </c>
      <c r="AJ26" s="99" t="str">
        <f t="shared" si="18"/>
        <v/>
      </c>
      <c r="AK26" s="99" t="str">
        <f t="shared" si="18"/>
        <v/>
      </c>
      <c r="AL26" s="99" t="str">
        <f t="shared" si="18"/>
        <v/>
      </c>
      <c r="AM26" s="99" t="str">
        <f t="shared" si="18"/>
        <v/>
      </c>
      <c r="AN26" s="99" t="str">
        <f t="shared" si="18"/>
        <v/>
      </c>
      <c r="AP26" s="99" t="str">
        <f t="shared" si="2"/>
        <v/>
      </c>
      <c r="AQ26" s="99" t="str">
        <f t="shared" si="3"/>
        <v/>
      </c>
      <c r="AR26" s="99" t="str">
        <f t="shared" si="4"/>
        <v/>
      </c>
      <c r="AS26" s="99" t="str">
        <f t="shared" si="5"/>
        <v/>
      </c>
      <c r="AT26" s="99" t="str">
        <f t="shared" si="6"/>
        <v/>
      </c>
      <c r="AU26" s="99" t="str">
        <f t="shared" si="7"/>
        <v/>
      </c>
      <c r="AV26" s="99" t="str">
        <f t="shared" si="8"/>
        <v/>
      </c>
      <c r="AW26" s="99" t="str">
        <f t="shared" si="9"/>
        <v/>
      </c>
      <c r="AX26" s="99" t="str">
        <f t="shared" si="10"/>
        <v/>
      </c>
      <c r="AY26" s="99" t="str">
        <f t="shared" si="11"/>
        <v/>
      </c>
      <c r="AZ26" s="99" t="str">
        <f t="shared" si="12"/>
        <v/>
      </c>
      <c r="BA26" s="99" t="str">
        <f t="shared" si="13"/>
        <v/>
      </c>
      <c r="BB26" s="103" t="str">
        <f t="shared" si="19"/>
        <v/>
      </c>
      <c r="BE26" s="99" t="str">
        <f t="shared" si="21"/>
        <v/>
      </c>
      <c r="BF26" s="99" t="str">
        <f t="shared" si="14"/>
        <v/>
      </c>
      <c r="BG26" s="99" t="str">
        <f t="shared" si="15"/>
        <v/>
      </c>
      <c r="BH26" s="99" t="str">
        <f t="shared" si="20"/>
        <v/>
      </c>
      <c r="BI26" s="99" t="str">
        <f t="shared" si="16"/>
        <v/>
      </c>
    </row>
    <row r="27" spans="1:61" s="103" customFormat="1" ht="23.15" customHeight="1">
      <c r="A27" s="3">
        <v>21</v>
      </c>
      <c r="B27" s="15"/>
      <c r="C27" s="5"/>
      <c r="D27" s="6"/>
      <c r="E27" s="4"/>
      <c r="F27" s="7"/>
      <c r="G27" s="8"/>
      <c r="H27" s="9"/>
      <c r="I27" s="9"/>
      <c r="J27" s="9"/>
      <c r="K27" s="9"/>
      <c r="L27" s="9"/>
      <c r="M27" s="9"/>
      <c r="N27" s="9"/>
      <c r="O27" s="9"/>
      <c r="P27" s="9"/>
      <c r="Q27" s="10"/>
      <c r="R27" s="11"/>
      <c r="S27" s="12"/>
      <c r="T27" s="13"/>
      <c r="U27" s="12"/>
      <c r="V27" s="10"/>
      <c r="W27" s="13"/>
      <c r="X27" s="14"/>
      <c r="Y27" s="102" t="str">
        <f t="shared" si="17"/>
        <v/>
      </c>
      <c r="Z27" s="99">
        <f>IF(COUNTIF($E$7:E27,E27)=1,"",COUNTIF($E$7:E27,E27))</f>
        <v>0</v>
      </c>
      <c r="AA27" s="99" t="str">
        <f t="shared" si="0"/>
        <v/>
      </c>
      <c r="AC27" s="99" t="str">
        <f t="shared" si="18"/>
        <v/>
      </c>
      <c r="AD27" s="99" t="str">
        <f t="shared" si="18"/>
        <v/>
      </c>
      <c r="AE27" s="99" t="str">
        <f t="shared" si="18"/>
        <v/>
      </c>
      <c r="AF27" s="99" t="str">
        <f t="shared" si="18"/>
        <v/>
      </c>
      <c r="AG27" s="99" t="str">
        <f t="shared" si="18"/>
        <v/>
      </c>
      <c r="AH27" s="99" t="str">
        <f t="shared" si="18"/>
        <v/>
      </c>
      <c r="AI27" s="99" t="str">
        <f t="shared" si="18"/>
        <v/>
      </c>
      <c r="AJ27" s="99" t="str">
        <f t="shared" si="18"/>
        <v/>
      </c>
      <c r="AK27" s="99" t="str">
        <f t="shared" si="18"/>
        <v/>
      </c>
      <c r="AL27" s="99" t="str">
        <f t="shared" si="18"/>
        <v/>
      </c>
      <c r="AM27" s="99" t="str">
        <f t="shared" si="18"/>
        <v/>
      </c>
      <c r="AN27" s="99" t="str">
        <f t="shared" si="18"/>
        <v/>
      </c>
      <c r="AP27" s="99" t="str">
        <f t="shared" si="2"/>
        <v/>
      </c>
      <c r="AQ27" s="99" t="str">
        <f t="shared" si="3"/>
        <v/>
      </c>
      <c r="AR27" s="99" t="str">
        <f t="shared" si="4"/>
        <v/>
      </c>
      <c r="AS27" s="99" t="str">
        <f t="shared" si="5"/>
        <v/>
      </c>
      <c r="AT27" s="99" t="str">
        <f t="shared" si="6"/>
        <v/>
      </c>
      <c r="AU27" s="99" t="str">
        <f t="shared" si="7"/>
        <v/>
      </c>
      <c r="AV27" s="99" t="str">
        <f t="shared" si="8"/>
        <v/>
      </c>
      <c r="AW27" s="99" t="str">
        <f t="shared" si="9"/>
        <v/>
      </c>
      <c r="AX27" s="99" t="str">
        <f t="shared" si="10"/>
        <v/>
      </c>
      <c r="AY27" s="99" t="str">
        <f t="shared" si="11"/>
        <v/>
      </c>
      <c r="AZ27" s="99" t="str">
        <f t="shared" si="12"/>
        <v/>
      </c>
      <c r="BA27" s="99" t="str">
        <f t="shared" si="13"/>
        <v/>
      </c>
      <c r="BB27" s="103" t="str">
        <f t="shared" si="19"/>
        <v/>
      </c>
      <c r="BE27" s="99" t="str">
        <f t="shared" si="21"/>
        <v/>
      </c>
      <c r="BF27" s="99" t="str">
        <f t="shared" si="14"/>
        <v/>
      </c>
      <c r="BG27" s="99" t="str">
        <f t="shared" si="15"/>
        <v/>
      </c>
      <c r="BH27" s="99" t="str">
        <f t="shared" si="20"/>
        <v/>
      </c>
      <c r="BI27" s="99" t="str">
        <f t="shared" si="16"/>
        <v/>
      </c>
    </row>
    <row r="28" spans="1:61" s="103" customFormat="1" ht="23.15" customHeight="1">
      <c r="A28" s="3">
        <v>22</v>
      </c>
      <c r="B28" s="15"/>
      <c r="C28" s="5"/>
      <c r="D28" s="6"/>
      <c r="E28" s="4"/>
      <c r="F28" s="7"/>
      <c r="G28" s="8"/>
      <c r="H28" s="9"/>
      <c r="I28" s="9"/>
      <c r="J28" s="9"/>
      <c r="K28" s="9"/>
      <c r="L28" s="9"/>
      <c r="M28" s="9"/>
      <c r="N28" s="9"/>
      <c r="O28" s="9"/>
      <c r="P28" s="9"/>
      <c r="Q28" s="10"/>
      <c r="R28" s="11"/>
      <c r="S28" s="12"/>
      <c r="T28" s="13"/>
      <c r="U28" s="12"/>
      <c r="V28" s="10"/>
      <c r="W28" s="13"/>
      <c r="X28" s="14"/>
      <c r="Y28" s="102" t="str">
        <f t="shared" si="17"/>
        <v/>
      </c>
      <c r="Z28" s="99">
        <f>IF(COUNTIF($E$7:E28,E28)=1,"",COUNTIF($E$7:E28,E28))</f>
        <v>0</v>
      </c>
      <c r="AA28" s="99" t="str">
        <f t="shared" si="0"/>
        <v/>
      </c>
      <c r="AC28" s="99" t="str">
        <f t="shared" si="18"/>
        <v/>
      </c>
      <c r="AD28" s="99" t="str">
        <f t="shared" si="18"/>
        <v/>
      </c>
      <c r="AE28" s="99" t="str">
        <f t="shared" si="18"/>
        <v/>
      </c>
      <c r="AF28" s="99" t="str">
        <f t="shared" si="18"/>
        <v/>
      </c>
      <c r="AG28" s="99" t="str">
        <f t="shared" si="18"/>
        <v/>
      </c>
      <c r="AH28" s="99" t="str">
        <f t="shared" si="18"/>
        <v/>
      </c>
      <c r="AI28" s="99" t="str">
        <f t="shared" si="18"/>
        <v/>
      </c>
      <c r="AJ28" s="99" t="str">
        <f t="shared" si="18"/>
        <v/>
      </c>
      <c r="AK28" s="99" t="str">
        <f t="shared" si="18"/>
        <v/>
      </c>
      <c r="AL28" s="99" t="str">
        <f t="shared" si="18"/>
        <v/>
      </c>
      <c r="AM28" s="99" t="str">
        <f t="shared" si="18"/>
        <v/>
      </c>
      <c r="AN28" s="99" t="str">
        <f t="shared" si="18"/>
        <v/>
      </c>
      <c r="AP28" s="99" t="str">
        <f t="shared" si="2"/>
        <v/>
      </c>
      <c r="AQ28" s="99" t="str">
        <f t="shared" si="3"/>
        <v/>
      </c>
      <c r="AR28" s="99" t="str">
        <f t="shared" si="4"/>
        <v/>
      </c>
      <c r="AS28" s="99" t="str">
        <f t="shared" si="5"/>
        <v/>
      </c>
      <c r="AT28" s="99" t="str">
        <f t="shared" si="6"/>
        <v/>
      </c>
      <c r="AU28" s="99" t="str">
        <f t="shared" si="7"/>
        <v/>
      </c>
      <c r="AV28" s="99" t="str">
        <f t="shared" si="8"/>
        <v/>
      </c>
      <c r="AW28" s="99" t="str">
        <f t="shared" si="9"/>
        <v/>
      </c>
      <c r="AX28" s="99" t="str">
        <f t="shared" si="10"/>
        <v/>
      </c>
      <c r="AY28" s="99" t="str">
        <f t="shared" si="11"/>
        <v/>
      </c>
      <c r="AZ28" s="99" t="str">
        <f t="shared" si="12"/>
        <v/>
      </c>
      <c r="BA28" s="99" t="str">
        <f t="shared" si="13"/>
        <v/>
      </c>
      <c r="BB28" s="103" t="str">
        <f t="shared" si="19"/>
        <v/>
      </c>
      <c r="BE28" s="99" t="str">
        <f t="shared" si="21"/>
        <v/>
      </c>
      <c r="BF28" s="99" t="str">
        <f t="shared" si="14"/>
        <v/>
      </c>
      <c r="BG28" s="99" t="str">
        <f t="shared" si="15"/>
        <v/>
      </c>
      <c r="BH28" s="99" t="str">
        <f t="shared" si="20"/>
        <v/>
      </c>
      <c r="BI28" s="99" t="str">
        <f t="shared" si="16"/>
        <v/>
      </c>
    </row>
    <row r="29" spans="1:61" s="103" customFormat="1" ht="23.15" customHeight="1">
      <c r="A29" s="3">
        <v>23</v>
      </c>
      <c r="B29" s="15"/>
      <c r="C29" s="5"/>
      <c r="D29" s="6"/>
      <c r="E29" s="4"/>
      <c r="F29" s="7"/>
      <c r="G29" s="8"/>
      <c r="H29" s="9"/>
      <c r="I29" s="9"/>
      <c r="J29" s="9"/>
      <c r="K29" s="9"/>
      <c r="L29" s="9"/>
      <c r="M29" s="9"/>
      <c r="N29" s="9"/>
      <c r="O29" s="9"/>
      <c r="P29" s="9"/>
      <c r="Q29" s="10"/>
      <c r="R29" s="11"/>
      <c r="S29" s="12"/>
      <c r="T29" s="13"/>
      <c r="U29" s="12"/>
      <c r="V29" s="10"/>
      <c r="W29" s="13"/>
      <c r="X29" s="14"/>
      <c r="Y29" s="102" t="str">
        <f t="shared" si="17"/>
        <v/>
      </c>
      <c r="Z29" s="99">
        <f>IF(COUNTIF($E$7:E29,E29)=1,"",COUNTIF($E$7:E29,E29))</f>
        <v>0</v>
      </c>
      <c r="AA29" s="99" t="str">
        <f t="shared" si="0"/>
        <v/>
      </c>
      <c r="AC29" s="99" t="str">
        <f t="shared" si="18"/>
        <v/>
      </c>
      <c r="AD29" s="99" t="str">
        <f t="shared" si="18"/>
        <v/>
      </c>
      <c r="AE29" s="99" t="str">
        <f t="shared" si="18"/>
        <v/>
      </c>
      <c r="AF29" s="99" t="str">
        <f t="shared" si="18"/>
        <v/>
      </c>
      <c r="AG29" s="99" t="str">
        <f t="shared" si="18"/>
        <v/>
      </c>
      <c r="AH29" s="99" t="str">
        <f t="shared" si="18"/>
        <v/>
      </c>
      <c r="AI29" s="99" t="str">
        <f t="shared" si="18"/>
        <v/>
      </c>
      <c r="AJ29" s="99" t="str">
        <f t="shared" si="18"/>
        <v/>
      </c>
      <c r="AK29" s="99" t="str">
        <f t="shared" si="18"/>
        <v/>
      </c>
      <c r="AL29" s="99" t="str">
        <f t="shared" si="18"/>
        <v/>
      </c>
      <c r="AM29" s="99" t="str">
        <f t="shared" si="18"/>
        <v/>
      </c>
      <c r="AN29" s="99" t="str">
        <f t="shared" si="18"/>
        <v/>
      </c>
      <c r="AP29" s="99" t="str">
        <f t="shared" si="2"/>
        <v/>
      </c>
      <c r="AQ29" s="99" t="str">
        <f t="shared" si="3"/>
        <v/>
      </c>
      <c r="AR29" s="99" t="str">
        <f t="shared" si="4"/>
        <v/>
      </c>
      <c r="AS29" s="99" t="str">
        <f t="shared" si="5"/>
        <v/>
      </c>
      <c r="AT29" s="99" t="str">
        <f t="shared" si="6"/>
        <v/>
      </c>
      <c r="AU29" s="99" t="str">
        <f t="shared" si="7"/>
        <v/>
      </c>
      <c r="AV29" s="99" t="str">
        <f t="shared" si="8"/>
        <v/>
      </c>
      <c r="AW29" s="99" t="str">
        <f t="shared" si="9"/>
        <v/>
      </c>
      <c r="AX29" s="99" t="str">
        <f t="shared" si="10"/>
        <v/>
      </c>
      <c r="AY29" s="99" t="str">
        <f t="shared" si="11"/>
        <v/>
      </c>
      <c r="AZ29" s="99" t="str">
        <f t="shared" si="12"/>
        <v/>
      </c>
      <c r="BA29" s="99" t="str">
        <f t="shared" si="13"/>
        <v/>
      </c>
      <c r="BB29" s="103" t="str">
        <f t="shared" si="19"/>
        <v/>
      </c>
      <c r="BE29" s="99" t="str">
        <f t="shared" si="21"/>
        <v/>
      </c>
      <c r="BF29" s="99" t="str">
        <f t="shared" si="14"/>
        <v/>
      </c>
      <c r="BG29" s="99" t="str">
        <f t="shared" si="15"/>
        <v/>
      </c>
      <c r="BH29" s="99" t="str">
        <f t="shared" si="20"/>
        <v/>
      </c>
      <c r="BI29" s="99" t="str">
        <f t="shared" si="16"/>
        <v/>
      </c>
    </row>
    <row r="30" spans="1:61" s="103" customFormat="1" ht="23.15" customHeight="1">
      <c r="A30" s="3">
        <v>24</v>
      </c>
      <c r="B30" s="15"/>
      <c r="C30" s="5"/>
      <c r="D30" s="6"/>
      <c r="E30" s="4"/>
      <c r="F30" s="7"/>
      <c r="G30" s="8"/>
      <c r="H30" s="9"/>
      <c r="I30" s="9"/>
      <c r="J30" s="9"/>
      <c r="K30" s="9"/>
      <c r="L30" s="9"/>
      <c r="M30" s="9"/>
      <c r="N30" s="9"/>
      <c r="O30" s="9"/>
      <c r="P30" s="9"/>
      <c r="Q30" s="10"/>
      <c r="R30" s="11"/>
      <c r="S30" s="12"/>
      <c r="T30" s="13"/>
      <c r="U30" s="12"/>
      <c r="V30" s="10"/>
      <c r="W30" s="13"/>
      <c r="X30" s="14"/>
      <c r="Y30" s="102" t="str">
        <f t="shared" si="17"/>
        <v/>
      </c>
      <c r="Z30" s="99">
        <f>IF(COUNTIF($E$7:E30,E30)=1,"",COUNTIF($E$7:E30,E30))</f>
        <v>0</v>
      </c>
      <c r="AA30" s="99" t="str">
        <f t="shared" si="0"/>
        <v/>
      </c>
      <c r="AC30" s="99" t="str">
        <f t="shared" si="18"/>
        <v/>
      </c>
      <c r="AD30" s="99" t="str">
        <f t="shared" si="18"/>
        <v/>
      </c>
      <c r="AE30" s="99" t="str">
        <f t="shared" si="18"/>
        <v/>
      </c>
      <c r="AF30" s="99" t="str">
        <f t="shared" si="18"/>
        <v/>
      </c>
      <c r="AG30" s="99" t="str">
        <f t="shared" si="18"/>
        <v/>
      </c>
      <c r="AH30" s="99" t="str">
        <f t="shared" si="18"/>
        <v/>
      </c>
      <c r="AI30" s="99" t="str">
        <f t="shared" si="18"/>
        <v/>
      </c>
      <c r="AJ30" s="99" t="str">
        <f t="shared" si="18"/>
        <v/>
      </c>
      <c r="AK30" s="99" t="str">
        <f t="shared" si="18"/>
        <v/>
      </c>
      <c r="AL30" s="99" t="str">
        <f t="shared" si="18"/>
        <v/>
      </c>
      <c r="AM30" s="99" t="str">
        <f t="shared" si="18"/>
        <v/>
      </c>
      <c r="AN30" s="99" t="str">
        <f t="shared" si="18"/>
        <v/>
      </c>
      <c r="AP30" s="99" t="str">
        <f t="shared" si="2"/>
        <v/>
      </c>
      <c r="AQ30" s="99" t="str">
        <f t="shared" si="3"/>
        <v/>
      </c>
      <c r="AR30" s="99" t="str">
        <f t="shared" si="4"/>
        <v/>
      </c>
      <c r="AS30" s="99" t="str">
        <f t="shared" si="5"/>
        <v/>
      </c>
      <c r="AT30" s="99" t="str">
        <f t="shared" si="6"/>
        <v/>
      </c>
      <c r="AU30" s="99" t="str">
        <f t="shared" si="7"/>
        <v/>
      </c>
      <c r="AV30" s="99" t="str">
        <f t="shared" si="8"/>
        <v/>
      </c>
      <c r="AW30" s="99" t="str">
        <f t="shared" si="9"/>
        <v/>
      </c>
      <c r="AX30" s="99" t="str">
        <f t="shared" si="10"/>
        <v/>
      </c>
      <c r="AY30" s="99" t="str">
        <f t="shared" si="11"/>
        <v/>
      </c>
      <c r="AZ30" s="99" t="str">
        <f t="shared" si="12"/>
        <v/>
      </c>
      <c r="BA30" s="99" t="str">
        <f t="shared" si="13"/>
        <v/>
      </c>
      <c r="BB30" s="103" t="str">
        <f t="shared" si="19"/>
        <v/>
      </c>
      <c r="BE30" s="99" t="str">
        <f t="shared" si="21"/>
        <v/>
      </c>
      <c r="BF30" s="99" t="str">
        <f t="shared" si="14"/>
        <v/>
      </c>
      <c r="BG30" s="99" t="str">
        <f t="shared" si="15"/>
        <v/>
      </c>
      <c r="BH30" s="99" t="str">
        <f t="shared" si="20"/>
        <v/>
      </c>
      <c r="BI30" s="99" t="str">
        <f t="shared" si="16"/>
        <v/>
      </c>
    </row>
    <row r="31" spans="1:61" s="103" customFormat="1" ht="23.15" customHeight="1">
      <c r="A31" s="3">
        <v>25</v>
      </c>
      <c r="B31" s="15"/>
      <c r="C31" s="5"/>
      <c r="D31" s="6"/>
      <c r="E31" s="4"/>
      <c r="F31" s="7"/>
      <c r="G31" s="8"/>
      <c r="H31" s="9"/>
      <c r="I31" s="9"/>
      <c r="J31" s="9"/>
      <c r="K31" s="9"/>
      <c r="L31" s="9"/>
      <c r="M31" s="9"/>
      <c r="N31" s="9"/>
      <c r="O31" s="9"/>
      <c r="P31" s="9"/>
      <c r="Q31" s="10"/>
      <c r="R31" s="11"/>
      <c r="S31" s="12"/>
      <c r="T31" s="13"/>
      <c r="U31" s="12"/>
      <c r="V31" s="10"/>
      <c r="W31" s="13"/>
      <c r="X31" s="14"/>
      <c r="Y31" s="102" t="str">
        <f t="shared" si="17"/>
        <v/>
      </c>
      <c r="Z31" s="99">
        <f>IF(COUNTIF($E$7:E31,E31)=1,"",COUNTIF($E$7:E31,E31))</f>
        <v>0</v>
      </c>
      <c r="AA31" s="99" t="str">
        <f t="shared" si="0"/>
        <v/>
      </c>
      <c r="AC31" s="99" t="str">
        <f t="shared" si="18"/>
        <v/>
      </c>
      <c r="AD31" s="99" t="str">
        <f t="shared" si="18"/>
        <v/>
      </c>
      <c r="AE31" s="99" t="str">
        <f t="shared" si="18"/>
        <v/>
      </c>
      <c r="AF31" s="99" t="str">
        <f t="shared" si="18"/>
        <v/>
      </c>
      <c r="AG31" s="99" t="str">
        <f t="shared" si="18"/>
        <v/>
      </c>
      <c r="AH31" s="99" t="str">
        <f t="shared" si="18"/>
        <v/>
      </c>
      <c r="AI31" s="99" t="str">
        <f t="shared" si="18"/>
        <v/>
      </c>
      <c r="AJ31" s="99" t="str">
        <f t="shared" si="18"/>
        <v/>
      </c>
      <c r="AK31" s="99" t="str">
        <f t="shared" si="18"/>
        <v/>
      </c>
      <c r="AL31" s="99" t="str">
        <f t="shared" si="18"/>
        <v/>
      </c>
      <c r="AM31" s="99" t="str">
        <f t="shared" si="18"/>
        <v/>
      </c>
      <c r="AN31" s="99" t="str">
        <f t="shared" si="18"/>
        <v/>
      </c>
      <c r="AP31" s="99" t="str">
        <f t="shared" si="2"/>
        <v/>
      </c>
      <c r="AQ31" s="99" t="str">
        <f t="shared" si="3"/>
        <v/>
      </c>
      <c r="AR31" s="99" t="str">
        <f t="shared" si="4"/>
        <v/>
      </c>
      <c r="AS31" s="99" t="str">
        <f t="shared" si="5"/>
        <v/>
      </c>
      <c r="AT31" s="99" t="str">
        <f t="shared" si="6"/>
        <v/>
      </c>
      <c r="AU31" s="99" t="str">
        <f t="shared" si="7"/>
        <v/>
      </c>
      <c r="AV31" s="99" t="str">
        <f t="shared" si="8"/>
        <v/>
      </c>
      <c r="AW31" s="99" t="str">
        <f t="shared" si="9"/>
        <v/>
      </c>
      <c r="AX31" s="99" t="str">
        <f t="shared" si="10"/>
        <v/>
      </c>
      <c r="AY31" s="99" t="str">
        <f t="shared" si="11"/>
        <v/>
      </c>
      <c r="AZ31" s="99" t="str">
        <f t="shared" si="12"/>
        <v/>
      </c>
      <c r="BA31" s="99" t="str">
        <f t="shared" si="13"/>
        <v/>
      </c>
      <c r="BB31" s="103" t="str">
        <f t="shared" si="19"/>
        <v/>
      </c>
      <c r="BE31" s="99" t="str">
        <f t="shared" si="21"/>
        <v/>
      </c>
      <c r="BF31" s="99" t="str">
        <f t="shared" si="14"/>
        <v/>
      </c>
      <c r="BG31" s="99" t="str">
        <f t="shared" si="15"/>
        <v/>
      </c>
      <c r="BH31" s="99" t="str">
        <f t="shared" si="20"/>
        <v/>
      </c>
      <c r="BI31" s="99" t="str">
        <f t="shared" si="16"/>
        <v/>
      </c>
    </row>
    <row r="32" spans="1:61" s="103" customFormat="1" ht="23.15" customHeight="1">
      <c r="A32" s="3">
        <v>26</v>
      </c>
      <c r="B32" s="15"/>
      <c r="C32" s="5"/>
      <c r="D32" s="6"/>
      <c r="E32" s="4"/>
      <c r="F32" s="7"/>
      <c r="G32" s="8"/>
      <c r="H32" s="9"/>
      <c r="I32" s="9"/>
      <c r="J32" s="9"/>
      <c r="K32" s="9"/>
      <c r="L32" s="9"/>
      <c r="M32" s="9"/>
      <c r="N32" s="9"/>
      <c r="O32" s="9"/>
      <c r="P32" s="9"/>
      <c r="Q32" s="10"/>
      <c r="R32" s="11"/>
      <c r="S32" s="12"/>
      <c r="T32" s="10"/>
      <c r="U32" s="17"/>
      <c r="V32" s="10"/>
      <c r="W32" s="13"/>
      <c r="X32" s="14"/>
      <c r="Y32" s="102" t="str">
        <f t="shared" si="17"/>
        <v/>
      </c>
      <c r="Z32" s="99">
        <f>IF(COUNTIF($E$7:E32,E32)=1,"",COUNTIF($E$7:E32,E32))</f>
        <v>0</v>
      </c>
      <c r="AA32" s="99" t="str">
        <f t="shared" si="0"/>
        <v/>
      </c>
      <c r="AC32" s="99" t="str">
        <f t="shared" si="18"/>
        <v/>
      </c>
      <c r="AD32" s="99" t="str">
        <f t="shared" si="18"/>
        <v/>
      </c>
      <c r="AE32" s="99" t="str">
        <f t="shared" si="18"/>
        <v/>
      </c>
      <c r="AF32" s="99" t="str">
        <f t="shared" si="18"/>
        <v/>
      </c>
      <c r="AG32" s="99" t="str">
        <f t="shared" si="18"/>
        <v/>
      </c>
      <c r="AH32" s="99" t="str">
        <f t="shared" si="18"/>
        <v/>
      </c>
      <c r="AI32" s="99" t="str">
        <f t="shared" si="18"/>
        <v/>
      </c>
      <c r="AJ32" s="99" t="str">
        <f t="shared" si="18"/>
        <v/>
      </c>
      <c r="AK32" s="99" t="str">
        <f t="shared" si="18"/>
        <v/>
      </c>
      <c r="AL32" s="99" t="str">
        <f t="shared" si="18"/>
        <v/>
      </c>
      <c r="AM32" s="99" t="str">
        <f t="shared" si="18"/>
        <v/>
      </c>
      <c r="AN32" s="99" t="str">
        <f t="shared" si="18"/>
        <v/>
      </c>
      <c r="AP32" s="99" t="str">
        <f t="shared" si="2"/>
        <v/>
      </c>
      <c r="AQ32" s="99" t="str">
        <f t="shared" si="3"/>
        <v/>
      </c>
      <c r="AR32" s="99" t="str">
        <f t="shared" si="4"/>
        <v/>
      </c>
      <c r="AS32" s="99" t="str">
        <f t="shared" si="5"/>
        <v/>
      </c>
      <c r="AT32" s="99" t="str">
        <f t="shared" si="6"/>
        <v/>
      </c>
      <c r="AU32" s="99" t="str">
        <f t="shared" si="7"/>
        <v/>
      </c>
      <c r="AV32" s="99" t="str">
        <f t="shared" si="8"/>
        <v/>
      </c>
      <c r="AW32" s="99" t="str">
        <f t="shared" si="9"/>
        <v/>
      </c>
      <c r="AX32" s="99" t="str">
        <f t="shared" si="10"/>
        <v/>
      </c>
      <c r="AY32" s="99" t="str">
        <f t="shared" si="11"/>
        <v/>
      </c>
      <c r="AZ32" s="99" t="str">
        <f t="shared" si="12"/>
        <v/>
      </c>
      <c r="BA32" s="99" t="str">
        <f t="shared" si="13"/>
        <v/>
      </c>
      <c r="BB32" s="103" t="str">
        <f t="shared" si="19"/>
        <v/>
      </c>
      <c r="BE32" s="99" t="str">
        <f t="shared" si="21"/>
        <v/>
      </c>
      <c r="BF32" s="99" t="str">
        <f t="shared" si="14"/>
        <v/>
      </c>
      <c r="BG32" s="99" t="str">
        <f t="shared" si="15"/>
        <v/>
      </c>
      <c r="BH32" s="99" t="str">
        <f t="shared" si="20"/>
        <v/>
      </c>
      <c r="BI32" s="99" t="str">
        <f t="shared" si="16"/>
        <v/>
      </c>
    </row>
    <row r="33" spans="1:61" s="103" customFormat="1" ht="23.15" customHeight="1">
      <c r="A33" s="3">
        <v>27</v>
      </c>
      <c r="B33" s="15"/>
      <c r="C33" s="5"/>
      <c r="D33" s="6"/>
      <c r="E33" s="4"/>
      <c r="F33" s="7"/>
      <c r="G33" s="8"/>
      <c r="H33" s="9"/>
      <c r="I33" s="9"/>
      <c r="J33" s="9"/>
      <c r="K33" s="9"/>
      <c r="L33" s="9"/>
      <c r="M33" s="9"/>
      <c r="N33" s="9"/>
      <c r="O33" s="9"/>
      <c r="P33" s="9"/>
      <c r="Q33" s="10"/>
      <c r="R33" s="11"/>
      <c r="S33" s="12"/>
      <c r="T33" s="10"/>
      <c r="U33" s="17"/>
      <c r="V33" s="10"/>
      <c r="W33" s="13"/>
      <c r="X33" s="14"/>
      <c r="Y33" s="102" t="str">
        <f t="shared" si="17"/>
        <v/>
      </c>
      <c r="Z33" s="99">
        <f>IF(COUNTIF($E$7:E33,E33)=1,"",COUNTIF($E$7:E33,E33))</f>
        <v>0</v>
      </c>
      <c r="AA33" s="99" t="str">
        <f t="shared" si="0"/>
        <v/>
      </c>
      <c r="AC33" s="99" t="str">
        <f t="shared" si="18"/>
        <v/>
      </c>
      <c r="AD33" s="99" t="str">
        <f t="shared" si="18"/>
        <v/>
      </c>
      <c r="AE33" s="99" t="str">
        <f t="shared" si="18"/>
        <v/>
      </c>
      <c r="AF33" s="99" t="str">
        <f t="shared" si="18"/>
        <v/>
      </c>
      <c r="AG33" s="99" t="str">
        <f t="shared" si="18"/>
        <v/>
      </c>
      <c r="AH33" s="99" t="str">
        <f t="shared" si="18"/>
        <v/>
      </c>
      <c r="AI33" s="99" t="str">
        <f t="shared" si="18"/>
        <v/>
      </c>
      <c r="AJ33" s="99" t="str">
        <f t="shared" si="18"/>
        <v/>
      </c>
      <c r="AK33" s="99" t="str">
        <f t="shared" si="18"/>
        <v/>
      </c>
      <c r="AL33" s="99" t="str">
        <f t="shared" si="18"/>
        <v/>
      </c>
      <c r="AM33" s="99" t="str">
        <f t="shared" si="18"/>
        <v/>
      </c>
      <c r="AN33" s="99" t="str">
        <f t="shared" si="18"/>
        <v/>
      </c>
      <c r="AP33" s="99" t="str">
        <f t="shared" si="2"/>
        <v/>
      </c>
      <c r="AQ33" s="99" t="str">
        <f t="shared" si="3"/>
        <v/>
      </c>
      <c r="AR33" s="99" t="str">
        <f t="shared" si="4"/>
        <v/>
      </c>
      <c r="AS33" s="99" t="str">
        <f t="shared" si="5"/>
        <v/>
      </c>
      <c r="AT33" s="99" t="str">
        <f t="shared" si="6"/>
        <v/>
      </c>
      <c r="AU33" s="99" t="str">
        <f t="shared" si="7"/>
        <v/>
      </c>
      <c r="AV33" s="99" t="str">
        <f t="shared" si="8"/>
        <v/>
      </c>
      <c r="AW33" s="99" t="str">
        <f t="shared" si="9"/>
        <v/>
      </c>
      <c r="AX33" s="99" t="str">
        <f t="shared" si="10"/>
        <v/>
      </c>
      <c r="AY33" s="99" t="str">
        <f t="shared" si="11"/>
        <v/>
      </c>
      <c r="AZ33" s="99" t="str">
        <f t="shared" si="12"/>
        <v/>
      </c>
      <c r="BA33" s="99" t="str">
        <f t="shared" si="13"/>
        <v/>
      </c>
      <c r="BB33" s="103" t="str">
        <f t="shared" si="19"/>
        <v/>
      </c>
      <c r="BE33" s="99" t="str">
        <f t="shared" si="21"/>
        <v/>
      </c>
      <c r="BF33" s="99" t="str">
        <f t="shared" si="14"/>
        <v/>
      </c>
      <c r="BG33" s="99" t="str">
        <f t="shared" si="15"/>
        <v/>
      </c>
      <c r="BH33" s="99" t="str">
        <f t="shared" si="20"/>
        <v/>
      </c>
      <c r="BI33" s="99" t="str">
        <f t="shared" si="16"/>
        <v/>
      </c>
    </row>
    <row r="34" spans="1:61" s="103" customFormat="1" ht="23.15" customHeight="1">
      <c r="A34" s="3">
        <v>28</v>
      </c>
      <c r="B34" s="15"/>
      <c r="C34" s="5"/>
      <c r="D34" s="6"/>
      <c r="E34" s="4"/>
      <c r="F34" s="7"/>
      <c r="G34" s="8"/>
      <c r="H34" s="9"/>
      <c r="I34" s="9"/>
      <c r="J34" s="9"/>
      <c r="K34" s="9"/>
      <c r="L34" s="9"/>
      <c r="M34" s="9"/>
      <c r="N34" s="9"/>
      <c r="O34" s="9"/>
      <c r="P34" s="9"/>
      <c r="Q34" s="10"/>
      <c r="R34" s="11"/>
      <c r="S34" s="12"/>
      <c r="T34" s="10"/>
      <c r="U34" s="17"/>
      <c r="V34" s="10"/>
      <c r="W34" s="13"/>
      <c r="X34" s="14"/>
      <c r="Y34" s="102" t="str">
        <f>IF(E34="","",CONCATENATE(E34,Z34," (",AA34,")"))</f>
        <v/>
      </c>
      <c r="Z34" s="99">
        <f>IF(COUNTIF($E$7:E34,E34)=1,"",COUNTIF($E$7:E34,E34))</f>
        <v>0</v>
      </c>
      <c r="AA34" s="99" t="str">
        <f t="shared" si="0"/>
        <v/>
      </c>
      <c r="AC34" s="99" t="str">
        <f t="shared" si="18"/>
        <v/>
      </c>
      <c r="AD34" s="99" t="str">
        <f t="shared" si="18"/>
        <v/>
      </c>
      <c r="AE34" s="99" t="str">
        <f t="shared" si="18"/>
        <v/>
      </c>
      <c r="AF34" s="99" t="str">
        <f t="shared" si="18"/>
        <v/>
      </c>
      <c r="AG34" s="99" t="str">
        <f t="shared" si="18"/>
        <v/>
      </c>
      <c r="AH34" s="99" t="str">
        <f t="shared" si="18"/>
        <v/>
      </c>
      <c r="AI34" s="99" t="str">
        <f t="shared" si="18"/>
        <v/>
      </c>
      <c r="AJ34" s="99" t="str">
        <f t="shared" si="18"/>
        <v/>
      </c>
      <c r="AK34" s="99" t="str">
        <f t="shared" si="18"/>
        <v/>
      </c>
      <c r="AL34" s="99" t="str">
        <f t="shared" si="18"/>
        <v/>
      </c>
      <c r="AM34" s="99" t="str">
        <f t="shared" si="18"/>
        <v/>
      </c>
      <c r="AN34" s="99" t="str">
        <f t="shared" si="18"/>
        <v/>
      </c>
      <c r="AP34" s="99" t="str">
        <f t="shared" si="2"/>
        <v/>
      </c>
      <c r="AQ34" s="99" t="str">
        <f t="shared" si="3"/>
        <v/>
      </c>
      <c r="AR34" s="99" t="str">
        <f t="shared" si="4"/>
        <v/>
      </c>
      <c r="AS34" s="99" t="str">
        <f t="shared" si="5"/>
        <v/>
      </c>
      <c r="AT34" s="99" t="str">
        <f t="shared" si="6"/>
        <v/>
      </c>
      <c r="AU34" s="99" t="str">
        <f t="shared" si="7"/>
        <v/>
      </c>
      <c r="AV34" s="99" t="str">
        <f t="shared" si="8"/>
        <v/>
      </c>
      <c r="AW34" s="99" t="str">
        <f t="shared" si="9"/>
        <v/>
      </c>
      <c r="AX34" s="99" t="str">
        <f t="shared" si="10"/>
        <v/>
      </c>
      <c r="AY34" s="99" t="str">
        <f t="shared" si="11"/>
        <v/>
      </c>
      <c r="AZ34" s="99" t="str">
        <f t="shared" si="12"/>
        <v/>
      </c>
      <c r="BA34" s="99" t="str">
        <f t="shared" si="13"/>
        <v/>
      </c>
      <c r="BB34" s="103" t="str">
        <f t="shared" si="19"/>
        <v/>
      </c>
      <c r="BE34" s="99" t="str">
        <f t="shared" si="21"/>
        <v/>
      </c>
      <c r="BF34" s="99" t="str">
        <f t="shared" si="14"/>
        <v/>
      </c>
      <c r="BG34" s="99" t="str">
        <f t="shared" si="15"/>
        <v/>
      </c>
      <c r="BH34" s="99" t="str">
        <f t="shared" si="20"/>
        <v/>
      </c>
      <c r="BI34" s="99" t="str">
        <f t="shared" si="16"/>
        <v/>
      </c>
    </row>
    <row r="35" spans="1:61" s="103" customFormat="1" ht="23.15" customHeight="1">
      <c r="A35" s="3">
        <v>29</v>
      </c>
      <c r="B35" s="15"/>
      <c r="C35" s="5"/>
      <c r="D35" s="6"/>
      <c r="E35" s="4"/>
      <c r="F35" s="7"/>
      <c r="G35" s="8"/>
      <c r="H35" s="9"/>
      <c r="I35" s="9"/>
      <c r="J35" s="9"/>
      <c r="K35" s="9"/>
      <c r="L35" s="9"/>
      <c r="M35" s="9"/>
      <c r="N35" s="9"/>
      <c r="O35" s="9"/>
      <c r="P35" s="9"/>
      <c r="Q35" s="10"/>
      <c r="R35" s="11"/>
      <c r="S35" s="12"/>
      <c r="T35" s="10"/>
      <c r="U35" s="17"/>
      <c r="V35" s="10"/>
      <c r="W35" s="13"/>
      <c r="X35" s="14"/>
      <c r="Y35" s="102" t="str">
        <f t="shared" si="17"/>
        <v/>
      </c>
      <c r="Z35" s="99">
        <f>IF(COUNTIF($E$7:E35,E35)=1,"",COUNTIF($E$7:E35,E35))</f>
        <v>0</v>
      </c>
      <c r="AA35" s="99" t="str">
        <f t="shared" si="0"/>
        <v/>
      </c>
      <c r="AC35" s="99" t="str">
        <f t="shared" si="18"/>
        <v/>
      </c>
      <c r="AD35" s="99" t="str">
        <f t="shared" si="18"/>
        <v/>
      </c>
      <c r="AE35" s="99" t="str">
        <f t="shared" si="18"/>
        <v/>
      </c>
      <c r="AF35" s="99" t="str">
        <f t="shared" si="18"/>
        <v/>
      </c>
      <c r="AG35" s="99" t="str">
        <f t="shared" si="18"/>
        <v/>
      </c>
      <c r="AH35" s="99" t="str">
        <f t="shared" si="18"/>
        <v/>
      </c>
      <c r="AI35" s="99" t="str">
        <f t="shared" si="18"/>
        <v/>
      </c>
      <c r="AJ35" s="99" t="str">
        <f t="shared" si="18"/>
        <v/>
      </c>
      <c r="AK35" s="99" t="str">
        <f t="shared" si="18"/>
        <v/>
      </c>
      <c r="AL35" s="99" t="str">
        <f t="shared" si="18"/>
        <v/>
      </c>
      <c r="AM35" s="99" t="str">
        <f t="shared" si="18"/>
        <v/>
      </c>
      <c r="AN35" s="99" t="str">
        <f t="shared" si="18"/>
        <v/>
      </c>
      <c r="AP35" s="99" t="str">
        <f t="shared" si="2"/>
        <v/>
      </c>
      <c r="AQ35" s="99" t="str">
        <f t="shared" si="3"/>
        <v/>
      </c>
      <c r="AR35" s="99" t="str">
        <f t="shared" si="4"/>
        <v/>
      </c>
      <c r="AS35" s="99" t="str">
        <f t="shared" si="5"/>
        <v/>
      </c>
      <c r="AT35" s="99" t="str">
        <f t="shared" si="6"/>
        <v/>
      </c>
      <c r="AU35" s="99" t="str">
        <f t="shared" si="7"/>
        <v/>
      </c>
      <c r="AV35" s="99" t="str">
        <f t="shared" si="8"/>
        <v/>
      </c>
      <c r="AW35" s="99" t="str">
        <f t="shared" si="9"/>
        <v/>
      </c>
      <c r="AX35" s="99" t="str">
        <f t="shared" si="10"/>
        <v/>
      </c>
      <c r="AY35" s="99" t="str">
        <f t="shared" si="11"/>
        <v/>
      </c>
      <c r="AZ35" s="99" t="str">
        <f t="shared" si="12"/>
        <v/>
      </c>
      <c r="BA35" s="99" t="str">
        <f t="shared" si="13"/>
        <v/>
      </c>
      <c r="BB35" s="103" t="str">
        <f t="shared" si="19"/>
        <v/>
      </c>
      <c r="BE35" s="99" t="str">
        <f t="shared" si="21"/>
        <v/>
      </c>
      <c r="BF35" s="99" t="str">
        <f t="shared" si="14"/>
        <v/>
      </c>
      <c r="BG35" s="99" t="str">
        <f t="shared" si="15"/>
        <v/>
      </c>
      <c r="BH35" s="99" t="str">
        <f t="shared" si="20"/>
        <v/>
      </c>
      <c r="BI35" s="99" t="str">
        <f t="shared" si="16"/>
        <v/>
      </c>
    </row>
    <row r="36" spans="1:61" s="103" customFormat="1" ht="23.15" customHeight="1">
      <c r="A36" s="3">
        <v>30</v>
      </c>
      <c r="B36" s="15"/>
      <c r="C36" s="5"/>
      <c r="D36" s="6"/>
      <c r="E36" s="4"/>
      <c r="F36" s="7"/>
      <c r="G36" s="8"/>
      <c r="H36" s="9"/>
      <c r="I36" s="9"/>
      <c r="J36" s="9"/>
      <c r="K36" s="9"/>
      <c r="L36" s="9"/>
      <c r="M36" s="9"/>
      <c r="N36" s="9"/>
      <c r="O36" s="9"/>
      <c r="P36" s="9"/>
      <c r="Q36" s="10"/>
      <c r="R36" s="11"/>
      <c r="S36" s="12"/>
      <c r="T36" s="10"/>
      <c r="U36" s="17"/>
      <c r="V36" s="10"/>
      <c r="W36" s="13"/>
      <c r="X36" s="14"/>
      <c r="Y36" s="102" t="str">
        <f t="shared" si="17"/>
        <v/>
      </c>
      <c r="Z36" s="99">
        <f>IF(COUNTIF($E$7:E36,E36)=1,"",COUNTIF($E$7:E36,E36))</f>
        <v>0</v>
      </c>
      <c r="AA36" s="99" t="str">
        <f t="shared" si="0"/>
        <v/>
      </c>
      <c r="AC36" s="99" t="str">
        <f t="shared" si="18"/>
        <v/>
      </c>
      <c r="AD36" s="99" t="str">
        <f t="shared" si="18"/>
        <v/>
      </c>
      <c r="AE36" s="99" t="str">
        <f t="shared" si="18"/>
        <v/>
      </c>
      <c r="AF36" s="99" t="str">
        <f t="shared" si="18"/>
        <v/>
      </c>
      <c r="AG36" s="99" t="str">
        <f t="shared" si="18"/>
        <v/>
      </c>
      <c r="AH36" s="99" t="str">
        <f t="shared" si="18"/>
        <v/>
      </c>
      <c r="AI36" s="99" t="str">
        <f t="shared" si="18"/>
        <v/>
      </c>
      <c r="AJ36" s="99" t="str">
        <f t="shared" si="18"/>
        <v/>
      </c>
      <c r="AK36" s="99" t="str">
        <f t="shared" si="18"/>
        <v/>
      </c>
      <c r="AL36" s="99" t="str">
        <f t="shared" si="18"/>
        <v/>
      </c>
      <c r="AM36" s="99" t="str">
        <f t="shared" si="18"/>
        <v/>
      </c>
      <c r="AN36" s="99" t="str">
        <f t="shared" si="18"/>
        <v/>
      </c>
      <c r="AP36" s="99" t="str">
        <f t="shared" si="2"/>
        <v/>
      </c>
      <c r="AQ36" s="99" t="str">
        <f t="shared" si="3"/>
        <v/>
      </c>
      <c r="AR36" s="99" t="str">
        <f t="shared" si="4"/>
        <v/>
      </c>
      <c r="AS36" s="99" t="str">
        <f t="shared" si="5"/>
        <v/>
      </c>
      <c r="AT36" s="99" t="str">
        <f t="shared" si="6"/>
        <v/>
      </c>
      <c r="AU36" s="99" t="str">
        <f t="shared" si="7"/>
        <v/>
      </c>
      <c r="AV36" s="99" t="str">
        <f t="shared" si="8"/>
        <v/>
      </c>
      <c r="AW36" s="99" t="str">
        <f t="shared" si="9"/>
        <v/>
      </c>
      <c r="AX36" s="99" t="str">
        <f t="shared" si="10"/>
        <v/>
      </c>
      <c r="AY36" s="99" t="str">
        <f t="shared" si="11"/>
        <v/>
      </c>
      <c r="AZ36" s="99" t="str">
        <f t="shared" si="12"/>
        <v/>
      </c>
      <c r="BA36" s="99" t="str">
        <f t="shared" si="13"/>
        <v/>
      </c>
      <c r="BB36" s="103" t="str">
        <f t="shared" si="19"/>
        <v/>
      </c>
      <c r="BE36" s="99" t="str">
        <f t="shared" si="21"/>
        <v/>
      </c>
      <c r="BF36" s="99" t="str">
        <f t="shared" si="14"/>
        <v/>
      </c>
      <c r="BG36" s="99" t="str">
        <f t="shared" si="15"/>
        <v/>
      </c>
      <c r="BH36" s="99" t="str">
        <f t="shared" si="20"/>
        <v/>
      </c>
      <c r="BI36" s="99" t="str">
        <f t="shared" si="16"/>
        <v/>
      </c>
    </row>
    <row r="37" spans="1:61" s="103" customFormat="1" ht="23.15" customHeight="1">
      <c r="A37" s="3">
        <v>31</v>
      </c>
      <c r="B37" s="15"/>
      <c r="C37" s="5"/>
      <c r="D37" s="6"/>
      <c r="E37" s="4"/>
      <c r="F37" s="7"/>
      <c r="G37" s="8"/>
      <c r="H37" s="9"/>
      <c r="I37" s="9"/>
      <c r="J37" s="9"/>
      <c r="K37" s="9"/>
      <c r="L37" s="9"/>
      <c r="M37" s="9"/>
      <c r="N37" s="9"/>
      <c r="O37" s="9"/>
      <c r="P37" s="9"/>
      <c r="Q37" s="10"/>
      <c r="R37" s="11"/>
      <c r="S37" s="12"/>
      <c r="T37" s="10"/>
      <c r="U37" s="17"/>
      <c r="V37" s="10"/>
      <c r="W37" s="13"/>
      <c r="X37" s="14"/>
      <c r="Y37" s="102" t="str">
        <f t="shared" si="17"/>
        <v/>
      </c>
      <c r="Z37" s="99">
        <f>IF(COUNTIF($E$7:E37,E37)=1,"",COUNTIF($E$7:E37,E37))</f>
        <v>0</v>
      </c>
      <c r="AA37" s="99" t="str">
        <f>IFERROR(IF(OR(W37=$S$119,W37=$S$122),W37,INDEX($B$144:$C$149,MATCH(BB37,$B$144:$B$149,0),2)),"")</f>
        <v/>
      </c>
      <c r="AC37" s="99" t="str">
        <f t="shared" si="18"/>
        <v/>
      </c>
      <c r="AD37" s="99" t="str">
        <f t="shared" si="18"/>
        <v/>
      </c>
      <c r="AE37" s="99" t="str">
        <f t="shared" si="18"/>
        <v/>
      </c>
      <c r="AF37" s="99" t="str">
        <f t="shared" si="18"/>
        <v/>
      </c>
      <c r="AG37" s="99" t="str">
        <f t="shared" si="18"/>
        <v/>
      </c>
      <c r="AH37" s="99" t="str">
        <f t="shared" si="18"/>
        <v/>
      </c>
      <c r="AI37" s="99" t="str">
        <f t="shared" si="18"/>
        <v/>
      </c>
      <c r="AJ37" s="99" t="str">
        <f t="shared" si="18"/>
        <v/>
      </c>
      <c r="AK37" s="99" t="str">
        <f t="shared" si="18"/>
        <v/>
      </c>
      <c r="AL37" s="99" t="str">
        <f t="shared" si="18"/>
        <v/>
      </c>
      <c r="AM37" s="99" t="str">
        <f t="shared" si="18"/>
        <v/>
      </c>
      <c r="AN37" s="99" t="str">
        <f t="shared" si="18"/>
        <v/>
      </c>
      <c r="AP37" s="99" t="str">
        <f t="shared" si="2"/>
        <v/>
      </c>
      <c r="AQ37" s="99" t="str">
        <f t="shared" si="3"/>
        <v/>
      </c>
      <c r="AR37" s="99" t="str">
        <f t="shared" si="4"/>
        <v/>
      </c>
      <c r="AS37" s="99" t="str">
        <f t="shared" si="5"/>
        <v/>
      </c>
      <c r="AT37" s="99" t="str">
        <f t="shared" si="6"/>
        <v/>
      </c>
      <c r="AU37" s="99" t="str">
        <f t="shared" si="7"/>
        <v/>
      </c>
      <c r="AV37" s="99" t="str">
        <f t="shared" si="8"/>
        <v/>
      </c>
      <c r="AW37" s="99" t="str">
        <f t="shared" si="9"/>
        <v/>
      </c>
      <c r="AX37" s="99" t="str">
        <f t="shared" si="10"/>
        <v/>
      </c>
      <c r="AY37" s="99" t="str">
        <f t="shared" si="11"/>
        <v/>
      </c>
      <c r="AZ37" s="99" t="str">
        <f t="shared" si="12"/>
        <v/>
      </c>
      <c r="BA37" s="99" t="str">
        <f t="shared" si="13"/>
        <v/>
      </c>
      <c r="BB37" s="103" t="str">
        <f t="shared" si="19"/>
        <v/>
      </c>
      <c r="BE37" s="99" t="str">
        <f t="shared" si="21"/>
        <v/>
      </c>
      <c r="BF37" s="99" t="str">
        <f t="shared" si="14"/>
        <v/>
      </c>
      <c r="BG37" s="99" t="str">
        <f t="shared" si="15"/>
        <v/>
      </c>
      <c r="BH37" s="99" t="str">
        <f t="shared" si="20"/>
        <v/>
      </c>
      <c r="BI37" s="99" t="str">
        <f t="shared" si="16"/>
        <v/>
      </c>
    </row>
    <row r="38" spans="1:61" s="103" customFormat="1" ht="23.15" customHeight="1">
      <c r="A38" s="3">
        <v>32</v>
      </c>
      <c r="B38" s="15"/>
      <c r="C38" s="5"/>
      <c r="D38" s="6"/>
      <c r="E38" s="4"/>
      <c r="F38" s="7"/>
      <c r="G38" s="8"/>
      <c r="H38" s="9"/>
      <c r="I38" s="9"/>
      <c r="J38" s="9"/>
      <c r="K38" s="9"/>
      <c r="L38" s="9"/>
      <c r="M38" s="9"/>
      <c r="N38" s="9"/>
      <c r="O38" s="9"/>
      <c r="P38" s="9"/>
      <c r="Q38" s="10"/>
      <c r="R38" s="11"/>
      <c r="S38" s="12"/>
      <c r="T38" s="10"/>
      <c r="U38" s="17"/>
      <c r="V38" s="10"/>
      <c r="W38" s="13"/>
      <c r="X38" s="14"/>
      <c r="Y38" s="102" t="str">
        <f t="shared" si="17"/>
        <v/>
      </c>
      <c r="Z38" s="99">
        <f>IF(COUNTIF($E$7:E38,E38)=1,"",COUNTIF($E$7:E38,E38))</f>
        <v>0</v>
      </c>
      <c r="AA38" s="99" t="str">
        <f t="shared" si="0"/>
        <v/>
      </c>
      <c r="AC38" s="99" t="str">
        <f t="shared" si="18"/>
        <v/>
      </c>
      <c r="AD38" s="99" t="str">
        <f t="shared" si="18"/>
        <v/>
      </c>
      <c r="AE38" s="99" t="str">
        <f t="shared" si="18"/>
        <v/>
      </c>
      <c r="AF38" s="99" t="str">
        <f t="shared" si="18"/>
        <v/>
      </c>
      <c r="AG38" s="99" t="str">
        <f t="shared" si="18"/>
        <v/>
      </c>
      <c r="AH38" s="99" t="str">
        <f t="shared" si="18"/>
        <v/>
      </c>
      <c r="AI38" s="99" t="str">
        <f t="shared" si="18"/>
        <v/>
      </c>
      <c r="AJ38" s="99" t="str">
        <f t="shared" si="18"/>
        <v/>
      </c>
      <c r="AK38" s="99" t="str">
        <f t="shared" si="18"/>
        <v/>
      </c>
      <c r="AL38" s="99" t="str">
        <f t="shared" si="18"/>
        <v/>
      </c>
      <c r="AM38" s="99" t="str">
        <f t="shared" si="18"/>
        <v/>
      </c>
      <c r="AN38" s="99" t="str">
        <f t="shared" si="18"/>
        <v/>
      </c>
      <c r="AP38" s="99" t="str">
        <f t="shared" si="2"/>
        <v/>
      </c>
      <c r="AQ38" s="99" t="str">
        <f t="shared" si="3"/>
        <v/>
      </c>
      <c r="AR38" s="99" t="str">
        <f t="shared" si="4"/>
        <v/>
      </c>
      <c r="AS38" s="99" t="str">
        <f t="shared" si="5"/>
        <v/>
      </c>
      <c r="AT38" s="99" t="str">
        <f t="shared" si="6"/>
        <v/>
      </c>
      <c r="AU38" s="99" t="str">
        <f t="shared" si="7"/>
        <v/>
      </c>
      <c r="AV38" s="99" t="str">
        <f t="shared" si="8"/>
        <v/>
      </c>
      <c r="AW38" s="99" t="str">
        <f t="shared" si="9"/>
        <v/>
      </c>
      <c r="AX38" s="99" t="str">
        <f t="shared" si="10"/>
        <v/>
      </c>
      <c r="AY38" s="99" t="str">
        <f t="shared" si="11"/>
        <v/>
      </c>
      <c r="AZ38" s="99" t="str">
        <f t="shared" si="12"/>
        <v/>
      </c>
      <c r="BA38" s="99" t="str">
        <f t="shared" si="13"/>
        <v/>
      </c>
      <c r="BB38" s="103" t="str">
        <f t="shared" si="19"/>
        <v/>
      </c>
      <c r="BE38" s="99" t="str">
        <f t="shared" si="21"/>
        <v/>
      </c>
      <c r="BF38" s="99" t="str">
        <f t="shared" si="14"/>
        <v/>
      </c>
      <c r="BG38" s="99" t="str">
        <f t="shared" si="15"/>
        <v/>
      </c>
      <c r="BH38" s="99" t="str">
        <f t="shared" si="20"/>
        <v/>
      </c>
      <c r="BI38" s="99" t="str">
        <f t="shared" si="16"/>
        <v/>
      </c>
    </row>
    <row r="39" spans="1:61" s="103" customFormat="1" ht="23.15" customHeight="1">
      <c r="A39" s="3">
        <v>33</v>
      </c>
      <c r="B39" s="15"/>
      <c r="C39" s="5"/>
      <c r="D39" s="6"/>
      <c r="E39" s="4"/>
      <c r="F39" s="7"/>
      <c r="G39" s="8"/>
      <c r="H39" s="9"/>
      <c r="I39" s="9"/>
      <c r="J39" s="9"/>
      <c r="K39" s="9"/>
      <c r="L39" s="9"/>
      <c r="M39" s="9"/>
      <c r="N39" s="9"/>
      <c r="O39" s="9"/>
      <c r="P39" s="9"/>
      <c r="Q39" s="10"/>
      <c r="R39" s="11"/>
      <c r="S39" s="12"/>
      <c r="T39" s="10"/>
      <c r="U39" s="17"/>
      <c r="V39" s="10"/>
      <c r="W39" s="13"/>
      <c r="X39" s="14"/>
      <c r="Y39" s="102" t="str">
        <f t="shared" si="17"/>
        <v/>
      </c>
      <c r="Z39" s="99">
        <f>IF(COUNTIF($E$7:E39,E39)=1,"",COUNTIF($E$7:E39,E39))</f>
        <v>0</v>
      </c>
      <c r="AA39" s="99" t="str">
        <f t="shared" ref="AA39:AA70" si="22">IFERROR(IF(OR(W39=$S$119,W39=$S$122),W39,INDEX($B$144:$C$149,MATCH(BB39,$B$144:$B$149,0),2)),"")</f>
        <v/>
      </c>
      <c r="AC39" s="99" t="str">
        <f t="shared" si="18"/>
        <v/>
      </c>
      <c r="AD39" s="99" t="str">
        <f t="shared" si="18"/>
        <v/>
      </c>
      <c r="AE39" s="99" t="str">
        <f t="shared" si="18"/>
        <v/>
      </c>
      <c r="AF39" s="99" t="str">
        <f t="shared" si="18"/>
        <v/>
      </c>
      <c r="AG39" s="99" t="str">
        <f t="shared" si="18"/>
        <v/>
      </c>
      <c r="AH39" s="99" t="str">
        <f t="shared" si="18"/>
        <v/>
      </c>
      <c r="AI39" s="99" t="str">
        <f t="shared" si="18"/>
        <v/>
      </c>
      <c r="AJ39" s="99" t="str">
        <f t="shared" si="18"/>
        <v/>
      </c>
      <c r="AK39" s="99" t="str">
        <f t="shared" si="18"/>
        <v/>
      </c>
      <c r="AL39" s="99" t="str">
        <f t="shared" si="18"/>
        <v/>
      </c>
      <c r="AM39" s="99" t="str">
        <f t="shared" si="18"/>
        <v/>
      </c>
      <c r="AN39" s="99" t="str">
        <f t="shared" si="18"/>
        <v/>
      </c>
      <c r="AP39" s="99" t="str">
        <f t="shared" ref="AP39:AP70" si="23">IF(AND($H39="有",AC39="○"),"A",IF(AC39="●","B",IF(AND(AC39="○",OR($L39="有",$M39="有",$N39="有")),"C",IF(AND(AC39="○",$O39="有"),"D",IF(OR(AND(AC39="○",$P39="有"),AND(AC39="○",$W39=$S$129,$O39="")),"E",IF(AND(AC39="○",OR($W39=$S$132,$W39=$S$133,$W39=$S$131,$W39=$S$139)),"F",""))))))</f>
        <v/>
      </c>
      <c r="AQ39" s="99" t="str">
        <f t="shared" ref="AQ39:AQ70" si="24">IF(AND($H39="有",AD39="○"),"A",IF(AD39="●","B",IF(AND(AD39="○",OR($L39="有",$M39="有",$N39="有")),"C",IF(AND(AD39="○",$O39="有"),"D",IF(OR(AND(AD39="○",$P39="有"),AND(AD39="○",$W39=$S$129,$O39="")),"E",IF(AND(AD39="○",OR($W39=$S$132,$W39=$S$133,$W39=$S$131,$W39=$S$139)),"F",""))))))</f>
        <v/>
      </c>
      <c r="AR39" s="99" t="str">
        <f t="shared" ref="AR39:AR70" si="25">IF(AND($H39="有",AE39="○"),"A",IF(AE39="●","B",IF(AND(AE39="○",OR($L39="有",$M39="有",$N39="有")),"C",IF(AND(AE39="○",$O39="有"),"D",IF(OR(AND(AE39="○",$P39="有"),AND(AE39="○",$W39=$S$129,$O39="")),"E",IF(AND(AE39="○",OR($W39=$S$132,$W39=$S$133,$W39=$S$131,$W39=$S$139)),"F",""))))))</f>
        <v/>
      </c>
      <c r="AS39" s="99" t="str">
        <f t="shared" ref="AS39:AS70" si="26">IF(AND($H39="有",AF39="○"),"A",IF(AF39="●","B",IF(AND(AF39="○",OR($L39="有",$M39="有",$N39="有")),"C",IF(AND(AF39="○",$O39="有"),"D",IF(OR(AND(AF39="○",$P39="有"),AND(AF39="○",$W39=$S$129,$O39="")),"E",IF(AND(AF39="○",OR($W39=$S$132,$W39=$S$133,$W39=$S$131,$W39=$S$139)),"F",""))))))</f>
        <v/>
      </c>
      <c r="AT39" s="99" t="str">
        <f t="shared" ref="AT39:AT70" si="27">IF(AND($H39="有",AG39="○"),"A",IF(AG39="●","B",IF(AND(AG39="○",OR($L39="有",$M39="有",$N39="有")),"C",IF(AND(AG39="○",$O39="有"),"D",IF(OR(AND(AG39="○",$P39="有"),AND(AG39="○",$W39=$S$129,$O39="")),"E",IF(AND(AG39="○",OR($W39=$S$132,$W39=$S$133,$W39=$S$131,$W39=$S$139)),"F",""))))))</f>
        <v/>
      </c>
      <c r="AU39" s="99" t="str">
        <f t="shared" ref="AU39:AU70" si="28">IF(AND($H39="有",AH39="○"),"A",IF(AH39="●","B",IF(AND(AH39="○",OR($L39="有",$M39="有",$N39="有")),"C",IF(AND(AH39="○",$O39="有"),"D",IF(OR(AND(AH39="○",$P39="有"),AND(AH39="○",$W39=$S$129,$O39="")),"E",IF(AND(AH39="○",OR($W39=$S$132,$W39=$S$133,$W39=$S$131,$W39=$S$139)),"F",""))))))</f>
        <v/>
      </c>
      <c r="AV39" s="99" t="str">
        <f t="shared" ref="AV39:AV70" si="29">IF(AND($H39="有",AI39="○"),"A",IF(AI39="●","B",IF(AND(AI39="○",OR($L39="有",$M39="有",$N39="有")),"C",IF(AND(AI39="○",$O39="有"),"D",IF(OR(AND(AI39="○",$P39="有"),AND(AI39="○",$W39=$S$129,$O39="")),"E",IF(AND(AI39="○",OR($W39=$S$132,$W39=$S$133,$W39=$S$131,$W39=$S$139)),"F",""))))))</f>
        <v/>
      </c>
      <c r="AW39" s="99" t="str">
        <f t="shared" ref="AW39:AW70" si="30">IF(AND($H39="有",AJ39="○"),"A",IF(AJ39="●","B",IF(AND(AJ39="○",OR($L39="有",$M39="有",$N39="有")),"C",IF(AND(AJ39="○",$O39="有"),"D",IF(OR(AND(AJ39="○",$P39="有"),AND(AJ39="○",$W39=$S$129,$O39="")),"E",IF(AND(AJ39="○",OR($W39=$S$132,$W39=$S$133,$W39=$S$131,$W39=$S$139)),"F",""))))))</f>
        <v/>
      </c>
      <c r="AX39" s="99" t="str">
        <f t="shared" ref="AX39:AX70" si="31">IF(AND($H39="有",AK39="○"),"A",IF(AK39="●","B",IF(AND(AK39="○",OR($L39="有",$M39="有",$N39="有")),"C",IF(AND(AK39="○",$O39="有"),"D",IF(OR(AND(AK39="○",$P39="有"),AND(AK39="○",$W39=$S$129,$O39="")),"E",IF(AND(AK39="○",OR($W39=$S$132,$W39=$S$133,$W39=$S$131,$W39=$S$139)),"F",""))))))</f>
        <v/>
      </c>
      <c r="AY39" s="99" t="str">
        <f t="shared" ref="AY39:AY70" si="32">IF(AND($H39="有",AL39="○"),"A",IF(AL39="●","B",IF(AND(AL39="○",OR($L39="有",$M39="有",$N39="有")),"C",IF(AND(AL39="○",$O39="有"),"D",IF(OR(AND(AL39="○",$P39="有"),AND(AL39="○",$W39=$S$129,$O39="")),"E",IF(AND(AL39="○",OR($W39=$S$132,$W39=$S$133,$W39=$S$131,$W39=$S$139)),"F",""))))))</f>
        <v/>
      </c>
      <c r="AZ39" s="99" t="str">
        <f t="shared" ref="AZ39:AZ70" si="33">IF(AND($H39="有",AM39="○"),"A",IF(AM39="●","B",IF(AND(AM39="○",OR($L39="有",$M39="有",$N39="有")),"C",IF(AND(AM39="○",$O39="有"),"D",IF(OR(AND(AM39="○",$P39="有"),AND(AM39="○",$W39=$S$129,$O39="")),"E",IF(AND(AM39="○",OR($W39=$S$132,$W39=$S$133,$W39=$S$131,$W39=$S$139)),"F",""))))))</f>
        <v/>
      </c>
      <c r="BA39" s="99" t="str">
        <f t="shared" ref="BA39:BA70" si="34">IF(AND($H39="有",AN39="○"),"A",IF(AN39="●","B",IF(AND(AN39="○",OR($L39="有",$M39="有",$N39="有")),"C",IF(AND(AN39="○",$O39="有"),"D",IF(OR(AND(AN39="○",$P39="有"),AND(AN39="○",$W39=$S$129,$O39="")),"E",IF(AND(AN39="○",OR($W39=$S$132,$W39=$S$133,$W39=$S$131,$W39=$S$139)),"F",""))))))</f>
        <v/>
      </c>
      <c r="BB39" s="103" t="str">
        <f t="shared" si="19"/>
        <v/>
      </c>
      <c r="BE39" s="99" t="str">
        <f t="shared" ref="BE39:BE70" si="35">IF(B39="園長","園長",IF(C39="正","正規職員",IF(AND(C39="パート",D39="常"),"常勤的非常勤",IF(AND(C39="パート",D39="非"),"短時間非常勤",IF(AND(C39="嘱託等",D39="常"),"嘱託常勤",IF(AND(C39="嘱託等",D39="非"),"嘱託非常勤",""))))))</f>
        <v/>
      </c>
      <c r="BF39" s="99" t="str">
        <f t="shared" ref="BF39:BF70" si="36">IF(AND(OR(I39="有",J39="有",K39="有"),R39&lt;&gt;""),"○","")</f>
        <v/>
      </c>
      <c r="BG39" s="99" t="str">
        <f t="shared" ref="BG39:BG70" si="37">IF(AND(BF39="",R39&lt;&gt;""),"○","")</f>
        <v/>
      </c>
      <c r="BH39" s="99" t="str">
        <f t="shared" si="20"/>
        <v/>
      </c>
      <c r="BI39" s="99" t="str">
        <f t="shared" ref="BI39:BI70" si="38">IF($S39="","",IF($R39&lt;&gt;"",IF($S39&gt;=$BI$5,"○",""),""))</f>
        <v/>
      </c>
    </row>
    <row r="40" spans="1:61" s="103" customFormat="1" ht="23.15" customHeight="1">
      <c r="A40" s="3">
        <v>34</v>
      </c>
      <c r="B40" s="15"/>
      <c r="C40" s="5"/>
      <c r="D40" s="6"/>
      <c r="E40" s="4"/>
      <c r="F40" s="7"/>
      <c r="G40" s="8"/>
      <c r="H40" s="9"/>
      <c r="I40" s="9"/>
      <c r="J40" s="9"/>
      <c r="K40" s="9"/>
      <c r="L40" s="9"/>
      <c r="M40" s="9"/>
      <c r="N40" s="9"/>
      <c r="O40" s="9"/>
      <c r="P40" s="9"/>
      <c r="Q40" s="10"/>
      <c r="R40" s="11"/>
      <c r="S40" s="12"/>
      <c r="T40" s="10"/>
      <c r="U40" s="17"/>
      <c r="V40" s="10"/>
      <c r="W40" s="13"/>
      <c r="X40" s="14"/>
      <c r="Y40" s="102" t="str">
        <f t="shared" si="17"/>
        <v/>
      </c>
      <c r="Z40" s="99">
        <f>IF(COUNTIF($E$7:E40,E40)=1,"",COUNTIF($E$7:E40,E40))</f>
        <v>0</v>
      </c>
      <c r="AA40" s="99" t="str">
        <f t="shared" si="22"/>
        <v/>
      </c>
      <c r="AC40" s="99" t="str">
        <f t="shared" ref="AC40:AN61" si="39">IF(OR($W40=$S$137,$W40=$S$130,$W40=$S$134,$W40=$S$135,$W40=$S$136,$W40=$S$138),"",IF($S40="","",IF($U40="",IF($R40="",IF($S40&lt;=AC$6,"○",""),IF(AND($R40&lt;=AC$6,$S40&lt;=AC$6),"●",IF($S40&lt;=AC$6,"○",""))),IF($U40&gt;=AC$6,IF($R40="",IF($S40&lt;=AC$6,"○",""),IF(AND($R40&lt;=AC$6,$S40&lt;=AC$6),"●",IF($S40&lt;=AC$6,"○",""))),""))))</f>
        <v/>
      </c>
      <c r="AD40" s="99" t="str">
        <f t="shared" si="39"/>
        <v/>
      </c>
      <c r="AE40" s="99" t="str">
        <f t="shared" si="39"/>
        <v/>
      </c>
      <c r="AF40" s="99" t="str">
        <f t="shared" si="39"/>
        <v/>
      </c>
      <c r="AG40" s="99" t="str">
        <f t="shared" si="39"/>
        <v/>
      </c>
      <c r="AH40" s="99" t="str">
        <f t="shared" si="39"/>
        <v/>
      </c>
      <c r="AI40" s="99" t="str">
        <f t="shared" si="39"/>
        <v/>
      </c>
      <c r="AJ40" s="99" t="str">
        <f t="shared" si="39"/>
        <v/>
      </c>
      <c r="AK40" s="99" t="str">
        <f t="shared" si="39"/>
        <v/>
      </c>
      <c r="AL40" s="99" t="str">
        <f t="shared" si="39"/>
        <v/>
      </c>
      <c r="AM40" s="99" t="str">
        <f t="shared" si="39"/>
        <v/>
      </c>
      <c r="AN40" s="99" t="str">
        <f t="shared" si="39"/>
        <v/>
      </c>
      <c r="AP40" s="99" t="str">
        <f t="shared" si="23"/>
        <v/>
      </c>
      <c r="AQ40" s="99" t="str">
        <f t="shared" si="24"/>
        <v/>
      </c>
      <c r="AR40" s="99" t="str">
        <f t="shared" si="25"/>
        <v/>
      </c>
      <c r="AS40" s="99" t="str">
        <f t="shared" si="26"/>
        <v/>
      </c>
      <c r="AT40" s="99" t="str">
        <f t="shared" si="27"/>
        <v/>
      </c>
      <c r="AU40" s="99" t="str">
        <f t="shared" si="28"/>
        <v/>
      </c>
      <c r="AV40" s="99" t="str">
        <f t="shared" si="29"/>
        <v/>
      </c>
      <c r="AW40" s="99" t="str">
        <f t="shared" si="30"/>
        <v/>
      </c>
      <c r="AX40" s="99" t="str">
        <f t="shared" si="31"/>
        <v/>
      </c>
      <c r="AY40" s="99" t="str">
        <f t="shared" si="32"/>
        <v/>
      </c>
      <c r="AZ40" s="99" t="str">
        <f t="shared" si="33"/>
        <v/>
      </c>
      <c r="BA40" s="99" t="str">
        <f t="shared" si="34"/>
        <v/>
      </c>
      <c r="BB40" s="103" t="str">
        <f t="shared" si="19"/>
        <v/>
      </c>
      <c r="BE40" s="99" t="str">
        <f t="shared" si="35"/>
        <v/>
      </c>
      <c r="BF40" s="99" t="str">
        <f t="shared" si="36"/>
        <v/>
      </c>
      <c r="BG40" s="99" t="str">
        <f t="shared" si="37"/>
        <v/>
      </c>
      <c r="BH40" s="99" t="str">
        <f t="shared" si="20"/>
        <v/>
      </c>
      <c r="BI40" s="99" t="str">
        <f t="shared" si="38"/>
        <v/>
      </c>
    </row>
    <row r="41" spans="1:61" s="103" customFormat="1" ht="23.15" customHeight="1">
      <c r="A41" s="3">
        <v>35</v>
      </c>
      <c r="B41" s="15"/>
      <c r="C41" s="5"/>
      <c r="D41" s="6"/>
      <c r="E41" s="4"/>
      <c r="F41" s="7"/>
      <c r="G41" s="8"/>
      <c r="H41" s="9"/>
      <c r="I41" s="9"/>
      <c r="J41" s="9"/>
      <c r="K41" s="9"/>
      <c r="L41" s="9"/>
      <c r="M41" s="9"/>
      <c r="N41" s="9"/>
      <c r="O41" s="9"/>
      <c r="P41" s="9"/>
      <c r="Q41" s="10"/>
      <c r="R41" s="11"/>
      <c r="S41" s="12"/>
      <c r="T41" s="10"/>
      <c r="U41" s="17"/>
      <c r="V41" s="10"/>
      <c r="W41" s="13"/>
      <c r="X41" s="14"/>
      <c r="Y41" s="102" t="str">
        <f t="shared" si="17"/>
        <v/>
      </c>
      <c r="Z41" s="99">
        <f>IF(COUNTIF($E$7:E41,E41)=1,"",COUNTIF($E$7:E41,E41))</f>
        <v>0</v>
      </c>
      <c r="AA41" s="99" t="str">
        <f t="shared" si="22"/>
        <v/>
      </c>
      <c r="AC41" s="99" t="str">
        <f t="shared" si="39"/>
        <v/>
      </c>
      <c r="AD41" s="99" t="str">
        <f t="shared" si="39"/>
        <v/>
      </c>
      <c r="AE41" s="99" t="str">
        <f t="shared" si="39"/>
        <v/>
      </c>
      <c r="AF41" s="99" t="str">
        <f t="shared" si="39"/>
        <v/>
      </c>
      <c r="AG41" s="99" t="str">
        <f t="shared" si="39"/>
        <v/>
      </c>
      <c r="AH41" s="99" t="str">
        <f t="shared" si="39"/>
        <v/>
      </c>
      <c r="AI41" s="99" t="str">
        <f t="shared" si="39"/>
        <v/>
      </c>
      <c r="AJ41" s="99" t="str">
        <f t="shared" si="39"/>
        <v/>
      </c>
      <c r="AK41" s="99" t="str">
        <f t="shared" si="39"/>
        <v/>
      </c>
      <c r="AL41" s="99" t="str">
        <f t="shared" si="39"/>
        <v/>
      </c>
      <c r="AM41" s="99" t="str">
        <f t="shared" si="39"/>
        <v/>
      </c>
      <c r="AN41" s="99" t="str">
        <f t="shared" si="39"/>
        <v/>
      </c>
      <c r="AP41" s="99" t="str">
        <f t="shared" si="23"/>
        <v/>
      </c>
      <c r="AQ41" s="99" t="str">
        <f t="shared" si="24"/>
        <v/>
      </c>
      <c r="AR41" s="99" t="str">
        <f t="shared" si="25"/>
        <v/>
      </c>
      <c r="AS41" s="99" t="str">
        <f t="shared" si="26"/>
        <v/>
      </c>
      <c r="AT41" s="99" t="str">
        <f t="shared" si="27"/>
        <v/>
      </c>
      <c r="AU41" s="99" t="str">
        <f t="shared" si="28"/>
        <v/>
      </c>
      <c r="AV41" s="99" t="str">
        <f t="shared" si="29"/>
        <v/>
      </c>
      <c r="AW41" s="99" t="str">
        <f t="shared" si="30"/>
        <v/>
      </c>
      <c r="AX41" s="99" t="str">
        <f t="shared" si="31"/>
        <v/>
      </c>
      <c r="AY41" s="99" t="str">
        <f t="shared" si="32"/>
        <v/>
      </c>
      <c r="AZ41" s="99" t="str">
        <f t="shared" si="33"/>
        <v/>
      </c>
      <c r="BA41" s="99" t="str">
        <f t="shared" si="34"/>
        <v/>
      </c>
      <c r="BB41" s="103" t="str">
        <f t="shared" si="19"/>
        <v/>
      </c>
      <c r="BE41" s="99" t="str">
        <f t="shared" si="35"/>
        <v/>
      </c>
      <c r="BF41" s="99" t="str">
        <f t="shared" si="36"/>
        <v/>
      </c>
      <c r="BG41" s="99" t="str">
        <f t="shared" si="37"/>
        <v/>
      </c>
      <c r="BH41" s="99" t="str">
        <f t="shared" si="20"/>
        <v/>
      </c>
      <c r="BI41" s="99" t="str">
        <f t="shared" si="38"/>
        <v/>
      </c>
    </row>
    <row r="42" spans="1:61" s="103" customFormat="1" ht="23.15" customHeight="1">
      <c r="A42" s="3">
        <v>36</v>
      </c>
      <c r="B42" s="15"/>
      <c r="C42" s="5"/>
      <c r="D42" s="6"/>
      <c r="E42" s="4"/>
      <c r="F42" s="7"/>
      <c r="G42" s="8"/>
      <c r="H42" s="9"/>
      <c r="I42" s="9"/>
      <c r="J42" s="9"/>
      <c r="K42" s="9"/>
      <c r="L42" s="9"/>
      <c r="M42" s="9"/>
      <c r="N42" s="9"/>
      <c r="O42" s="9"/>
      <c r="P42" s="9"/>
      <c r="Q42" s="10"/>
      <c r="R42" s="11"/>
      <c r="S42" s="12"/>
      <c r="T42" s="10"/>
      <c r="U42" s="17"/>
      <c r="V42" s="10"/>
      <c r="W42" s="13"/>
      <c r="X42" s="14"/>
      <c r="Y42" s="102" t="str">
        <f t="shared" si="17"/>
        <v/>
      </c>
      <c r="Z42" s="99">
        <f>IF(COUNTIF($E$7:E42,E42)=1,"",COUNTIF($E$7:E42,E42))</f>
        <v>0</v>
      </c>
      <c r="AA42" s="99" t="str">
        <f t="shared" si="22"/>
        <v/>
      </c>
      <c r="AC42" s="99" t="str">
        <f t="shared" si="39"/>
        <v/>
      </c>
      <c r="AD42" s="99" t="str">
        <f t="shared" si="39"/>
        <v/>
      </c>
      <c r="AE42" s="99" t="str">
        <f t="shared" si="39"/>
        <v/>
      </c>
      <c r="AF42" s="99" t="str">
        <f t="shared" si="39"/>
        <v/>
      </c>
      <c r="AG42" s="99" t="str">
        <f t="shared" si="39"/>
        <v/>
      </c>
      <c r="AH42" s="99" t="str">
        <f t="shared" si="39"/>
        <v/>
      </c>
      <c r="AI42" s="99" t="str">
        <f t="shared" si="39"/>
        <v/>
      </c>
      <c r="AJ42" s="99" t="str">
        <f t="shared" si="39"/>
        <v/>
      </c>
      <c r="AK42" s="99" t="str">
        <f t="shared" si="39"/>
        <v/>
      </c>
      <c r="AL42" s="99" t="str">
        <f t="shared" si="39"/>
        <v/>
      </c>
      <c r="AM42" s="99" t="str">
        <f t="shared" si="39"/>
        <v/>
      </c>
      <c r="AN42" s="99" t="str">
        <f t="shared" si="39"/>
        <v/>
      </c>
      <c r="AP42" s="99" t="str">
        <f t="shared" si="23"/>
        <v/>
      </c>
      <c r="AQ42" s="99" t="str">
        <f t="shared" si="24"/>
        <v/>
      </c>
      <c r="AR42" s="99" t="str">
        <f t="shared" si="25"/>
        <v/>
      </c>
      <c r="AS42" s="99" t="str">
        <f t="shared" si="26"/>
        <v/>
      </c>
      <c r="AT42" s="99" t="str">
        <f t="shared" si="27"/>
        <v/>
      </c>
      <c r="AU42" s="99" t="str">
        <f t="shared" si="28"/>
        <v/>
      </c>
      <c r="AV42" s="99" t="str">
        <f t="shared" si="29"/>
        <v/>
      </c>
      <c r="AW42" s="99" t="str">
        <f t="shared" si="30"/>
        <v/>
      </c>
      <c r="AX42" s="99" t="str">
        <f t="shared" si="31"/>
        <v/>
      </c>
      <c r="AY42" s="99" t="str">
        <f t="shared" si="32"/>
        <v/>
      </c>
      <c r="AZ42" s="99" t="str">
        <f t="shared" si="33"/>
        <v/>
      </c>
      <c r="BA42" s="99" t="str">
        <f t="shared" si="34"/>
        <v/>
      </c>
      <c r="BB42" s="103" t="str">
        <f t="shared" si="19"/>
        <v/>
      </c>
      <c r="BE42" s="99" t="str">
        <f t="shared" si="35"/>
        <v/>
      </c>
      <c r="BF42" s="99" t="str">
        <f t="shared" si="36"/>
        <v/>
      </c>
      <c r="BG42" s="99" t="str">
        <f t="shared" si="37"/>
        <v/>
      </c>
      <c r="BH42" s="99" t="str">
        <f t="shared" si="20"/>
        <v/>
      </c>
      <c r="BI42" s="99" t="str">
        <f t="shared" si="38"/>
        <v/>
      </c>
    </row>
    <row r="43" spans="1:61" s="103" customFormat="1" ht="23.15" customHeight="1">
      <c r="A43" s="3">
        <v>37</v>
      </c>
      <c r="B43" s="15"/>
      <c r="C43" s="5"/>
      <c r="D43" s="6"/>
      <c r="E43" s="4"/>
      <c r="F43" s="7"/>
      <c r="G43" s="8"/>
      <c r="H43" s="9"/>
      <c r="I43" s="9"/>
      <c r="J43" s="9"/>
      <c r="K43" s="9"/>
      <c r="L43" s="9"/>
      <c r="M43" s="9"/>
      <c r="N43" s="9"/>
      <c r="O43" s="9"/>
      <c r="P43" s="9"/>
      <c r="Q43" s="10"/>
      <c r="R43" s="11"/>
      <c r="S43" s="12"/>
      <c r="T43" s="10"/>
      <c r="U43" s="17"/>
      <c r="V43" s="10"/>
      <c r="W43" s="13"/>
      <c r="X43" s="14"/>
      <c r="Y43" s="102" t="str">
        <f t="shared" si="17"/>
        <v/>
      </c>
      <c r="Z43" s="99">
        <f>IF(COUNTIF($E$7:E43,E43)=1,"",COUNTIF($E$7:E43,E43))</f>
        <v>0</v>
      </c>
      <c r="AA43" s="99" t="str">
        <f t="shared" si="22"/>
        <v/>
      </c>
      <c r="AC43" s="99" t="str">
        <f t="shared" si="39"/>
        <v/>
      </c>
      <c r="AD43" s="99" t="str">
        <f t="shared" si="39"/>
        <v/>
      </c>
      <c r="AE43" s="99" t="str">
        <f t="shared" si="39"/>
        <v/>
      </c>
      <c r="AF43" s="99" t="str">
        <f t="shared" si="39"/>
        <v/>
      </c>
      <c r="AG43" s="99" t="str">
        <f t="shared" si="39"/>
        <v/>
      </c>
      <c r="AH43" s="99" t="str">
        <f t="shared" si="39"/>
        <v/>
      </c>
      <c r="AI43" s="99" t="str">
        <f t="shared" si="39"/>
        <v/>
      </c>
      <c r="AJ43" s="99" t="str">
        <f t="shared" si="39"/>
        <v/>
      </c>
      <c r="AK43" s="99" t="str">
        <f t="shared" si="39"/>
        <v/>
      </c>
      <c r="AL43" s="99" t="str">
        <f t="shared" si="39"/>
        <v/>
      </c>
      <c r="AM43" s="99" t="str">
        <f t="shared" si="39"/>
        <v/>
      </c>
      <c r="AN43" s="99" t="str">
        <f t="shared" si="39"/>
        <v/>
      </c>
      <c r="AP43" s="99" t="str">
        <f t="shared" si="23"/>
        <v/>
      </c>
      <c r="AQ43" s="99" t="str">
        <f t="shared" si="24"/>
        <v/>
      </c>
      <c r="AR43" s="99" t="str">
        <f t="shared" si="25"/>
        <v/>
      </c>
      <c r="AS43" s="99" t="str">
        <f t="shared" si="26"/>
        <v/>
      </c>
      <c r="AT43" s="99" t="str">
        <f t="shared" si="27"/>
        <v/>
      </c>
      <c r="AU43" s="99" t="str">
        <f t="shared" si="28"/>
        <v/>
      </c>
      <c r="AV43" s="99" t="str">
        <f t="shared" si="29"/>
        <v/>
      </c>
      <c r="AW43" s="99" t="str">
        <f t="shared" si="30"/>
        <v/>
      </c>
      <c r="AX43" s="99" t="str">
        <f t="shared" si="31"/>
        <v/>
      </c>
      <c r="AY43" s="99" t="str">
        <f t="shared" si="32"/>
        <v/>
      </c>
      <c r="AZ43" s="99" t="str">
        <f t="shared" si="33"/>
        <v/>
      </c>
      <c r="BA43" s="99" t="str">
        <f t="shared" si="34"/>
        <v/>
      </c>
      <c r="BB43" s="103" t="str">
        <f t="shared" si="19"/>
        <v/>
      </c>
      <c r="BE43" s="99" t="str">
        <f t="shared" si="35"/>
        <v/>
      </c>
      <c r="BF43" s="99" t="str">
        <f t="shared" si="36"/>
        <v/>
      </c>
      <c r="BG43" s="99" t="str">
        <f t="shared" si="37"/>
        <v/>
      </c>
      <c r="BH43" s="99" t="str">
        <f t="shared" si="20"/>
        <v/>
      </c>
      <c r="BI43" s="99" t="str">
        <f t="shared" si="38"/>
        <v/>
      </c>
    </row>
    <row r="44" spans="1:61" s="103" customFormat="1" ht="23.15" customHeight="1">
      <c r="A44" s="3">
        <v>38</v>
      </c>
      <c r="B44" s="15"/>
      <c r="C44" s="5"/>
      <c r="D44" s="6"/>
      <c r="E44" s="4"/>
      <c r="F44" s="7"/>
      <c r="G44" s="8"/>
      <c r="H44" s="9"/>
      <c r="I44" s="9"/>
      <c r="J44" s="9"/>
      <c r="K44" s="9"/>
      <c r="L44" s="9"/>
      <c r="M44" s="9"/>
      <c r="N44" s="9"/>
      <c r="O44" s="9"/>
      <c r="P44" s="9"/>
      <c r="Q44" s="10"/>
      <c r="R44" s="11"/>
      <c r="S44" s="12"/>
      <c r="T44" s="10"/>
      <c r="U44" s="17"/>
      <c r="V44" s="10"/>
      <c r="W44" s="13"/>
      <c r="X44" s="14"/>
      <c r="Y44" s="102" t="str">
        <f t="shared" si="17"/>
        <v/>
      </c>
      <c r="Z44" s="99">
        <f>IF(COUNTIF($E$7:E44,E44)=1,"",COUNTIF($E$7:E44,E44))</f>
        <v>0</v>
      </c>
      <c r="AA44" s="99" t="str">
        <f t="shared" si="22"/>
        <v/>
      </c>
      <c r="AC44" s="99" t="str">
        <f t="shared" si="39"/>
        <v/>
      </c>
      <c r="AD44" s="99" t="str">
        <f t="shared" si="39"/>
        <v/>
      </c>
      <c r="AE44" s="99" t="str">
        <f t="shared" si="39"/>
        <v/>
      </c>
      <c r="AF44" s="99" t="str">
        <f t="shared" si="39"/>
        <v/>
      </c>
      <c r="AG44" s="99" t="str">
        <f t="shared" si="39"/>
        <v/>
      </c>
      <c r="AH44" s="99" t="str">
        <f t="shared" si="39"/>
        <v/>
      </c>
      <c r="AI44" s="99" t="str">
        <f t="shared" si="39"/>
        <v/>
      </c>
      <c r="AJ44" s="99" t="str">
        <f t="shared" si="39"/>
        <v/>
      </c>
      <c r="AK44" s="99" t="str">
        <f t="shared" si="39"/>
        <v/>
      </c>
      <c r="AL44" s="99" t="str">
        <f t="shared" si="39"/>
        <v/>
      </c>
      <c r="AM44" s="99" t="str">
        <f t="shared" si="39"/>
        <v/>
      </c>
      <c r="AN44" s="99" t="str">
        <f t="shared" si="39"/>
        <v/>
      </c>
      <c r="AP44" s="99" t="str">
        <f t="shared" si="23"/>
        <v/>
      </c>
      <c r="AQ44" s="99" t="str">
        <f t="shared" si="24"/>
        <v/>
      </c>
      <c r="AR44" s="99" t="str">
        <f t="shared" si="25"/>
        <v/>
      </c>
      <c r="AS44" s="99" t="str">
        <f t="shared" si="26"/>
        <v/>
      </c>
      <c r="AT44" s="99" t="str">
        <f t="shared" si="27"/>
        <v/>
      </c>
      <c r="AU44" s="99" t="str">
        <f t="shared" si="28"/>
        <v/>
      </c>
      <c r="AV44" s="99" t="str">
        <f t="shared" si="29"/>
        <v/>
      </c>
      <c r="AW44" s="99" t="str">
        <f t="shared" si="30"/>
        <v/>
      </c>
      <c r="AX44" s="99" t="str">
        <f t="shared" si="31"/>
        <v/>
      </c>
      <c r="AY44" s="99" t="str">
        <f t="shared" si="32"/>
        <v/>
      </c>
      <c r="AZ44" s="99" t="str">
        <f t="shared" si="33"/>
        <v/>
      </c>
      <c r="BA44" s="99" t="str">
        <f t="shared" si="34"/>
        <v/>
      </c>
      <c r="BB44" s="103" t="str">
        <f t="shared" si="19"/>
        <v/>
      </c>
      <c r="BE44" s="99" t="str">
        <f t="shared" si="35"/>
        <v/>
      </c>
      <c r="BF44" s="99" t="str">
        <f t="shared" si="36"/>
        <v/>
      </c>
      <c r="BG44" s="99" t="str">
        <f t="shared" si="37"/>
        <v/>
      </c>
      <c r="BH44" s="99" t="str">
        <f t="shared" si="20"/>
        <v/>
      </c>
      <c r="BI44" s="99" t="str">
        <f t="shared" si="38"/>
        <v/>
      </c>
    </row>
    <row r="45" spans="1:61" s="103" customFormat="1" ht="23.15" customHeight="1">
      <c r="A45" s="3">
        <v>39</v>
      </c>
      <c r="B45" s="15"/>
      <c r="C45" s="5"/>
      <c r="D45" s="6"/>
      <c r="E45" s="4"/>
      <c r="F45" s="7"/>
      <c r="G45" s="8"/>
      <c r="H45" s="9"/>
      <c r="I45" s="9"/>
      <c r="J45" s="9"/>
      <c r="K45" s="9"/>
      <c r="L45" s="9"/>
      <c r="M45" s="9"/>
      <c r="N45" s="9"/>
      <c r="O45" s="9"/>
      <c r="P45" s="9"/>
      <c r="Q45" s="10"/>
      <c r="R45" s="11"/>
      <c r="S45" s="12"/>
      <c r="T45" s="10"/>
      <c r="U45" s="17"/>
      <c r="V45" s="10"/>
      <c r="W45" s="13"/>
      <c r="X45" s="14"/>
      <c r="Y45" s="102" t="str">
        <f t="shared" si="17"/>
        <v/>
      </c>
      <c r="Z45" s="99">
        <f>IF(COUNTIF($E$7:E45,E45)=1,"",COUNTIF($E$7:E45,E45))</f>
        <v>0</v>
      </c>
      <c r="AA45" s="99" t="str">
        <f t="shared" si="22"/>
        <v/>
      </c>
      <c r="AC45" s="99" t="str">
        <f t="shared" si="39"/>
        <v/>
      </c>
      <c r="AD45" s="99" t="str">
        <f t="shared" si="39"/>
        <v/>
      </c>
      <c r="AE45" s="99" t="str">
        <f t="shared" si="39"/>
        <v/>
      </c>
      <c r="AF45" s="99" t="str">
        <f t="shared" si="39"/>
        <v/>
      </c>
      <c r="AG45" s="99" t="str">
        <f t="shared" si="39"/>
        <v/>
      </c>
      <c r="AH45" s="99" t="str">
        <f t="shared" si="39"/>
        <v/>
      </c>
      <c r="AI45" s="99" t="str">
        <f t="shared" si="39"/>
        <v/>
      </c>
      <c r="AJ45" s="99" t="str">
        <f t="shared" si="39"/>
        <v/>
      </c>
      <c r="AK45" s="99" t="str">
        <f t="shared" si="39"/>
        <v/>
      </c>
      <c r="AL45" s="99" t="str">
        <f t="shared" si="39"/>
        <v/>
      </c>
      <c r="AM45" s="99" t="str">
        <f t="shared" si="39"/>
        <v/>
      </c>
      <c r="AN45" s="99" t="str">
        <f t="shared" si="39"/>
        <v/>
      </c>
      <c r="AP45" s="99" t="str">
        <f t="shared" si="23"/>
        <v/>
      </c>
      <c r="AQ45" s="99" t="str">
        <f t="shared" si="24"/>
        <v/>
      </c>
      <c r="AR45" s="99" t="str">
        <f t="shared" si="25"/>
        <v/>
      </c>
      <c r="AS45" s="99" t="str">
        <f t="shared" si="26"/>
        <v/>
      </c>
      <c r="AT45" s="99" t="str">
        <f t="shared" si="27"/>
        <v/>
      </c>
      <c r="AU45" s="99" t="str">
        <f t="shared" si="28"/>
        <v/>
      </c>
      <c r="AV45" s="99" t="str">
        <f t="shared" si="29"/>
        <v/>
      </c>
      <c r="AW45" s="99" t="str">
        <f t="shared" si="30"/>
        <v/>
      </c>
      <c r="AX45" s="99" t="str">
        <f t="shared" si="31"/>
        <v/>
      </c>
      <c r="AY45" s="99" t="str">
        <f t="shared" si="32"/>
        <v/>
      </c>
      <c r="AZ45" s="99" t="str">
        <f t="shared" si="33"/>
        <v/>
      </c>
      <c r="BA45" s="99" t="str">
        <f t="shared" si="34"/>
        <v/>
      </c>
      <c r="BB45" s="103" t="str">
        <f t="shared" si="19"/>
        <v/>
      </c>
      <c r="BE45" s="99" t="str">
        <f t="shared" si="35"/>
        <v/>
      </c>
      <c r="BF45" s="99" t="str">
        <f t="shared" si="36"/>
        <v/>
      </c>
      <c r="BG45" s="99" t="str">
        <f t="shared" si="37"/>
        <v/>
      </c>
      <c r="BH45" s="99" t="str">
        <f t="shared" si="20"/>
        <v/>
      </c>
      <c r="BI45" s="99" t="str">
        <f t="shared" si="38"/>
        <v/>
      </c>
    </row>
    <row r="46" spans="1:61" s="103" customFormat="1" ht="23.15" customHeight="1">
      <c r="A46" s="3">
        <v>40</v>
      </c>
      <c r="B46" s="15"/>
      <c r="C46" s="5"/>
      <c r="D46" s="6"/>
      <c r="E46" s="4"/>
      <c r="F46" s="7"/>
      <c r="G46" s="8"/>
      <c r="H46" s="9"/>
      <c r="I46" s="9"/>
      <c r="J46" s="9"/>
      <c r="K46" s="9"/>
      <c r="L46" s="9"/>
      <c r="M46" s="9"/>
      <c r="N46" s="9"/>
      <c r="O46" s="9"/>
      <c r="P46" s="9"/>
      <c r="Q46" s="10"/>
      <c r="R46" s="11"/>
      <c r="S46" s="12"/>
      <c r="T46" s="10"/>
      <c r="U46" s="17"/>
      <c r="V46" s="10"/>
      <c r="W46" s="13"/>
      <c r="X46" s="14"/>
      <c r="Y46" s="102" t="str">
        <f t="shared" si="17"/>
        <v/>
      </c>
      <c r="Z46" s="99">
        <f>IF(COUNTIF($E$7:E46,E46)=1,"",COUNTIF($E$7:E46,E46))</f>
        <v>0</v>
      </c>
      <c r="AA46" s="99" t="str">
        <f t="shared" si="22"/>
        <v/>
      </c>
      <c r="AC46" s="99" t="str">
        <f t="shared" si="39"/>
        <v/>
      </c>
      <c r="AD46" s="99" t="str">
        <f t="shared" si="39"/>
        <v/>
      </c>
      <c r="AE46" s="99" t="str">
        <f t="shared" si="39"/>
        <v/>
      </c>
      <c r="AF46" s="99" t="str">
        <f t="shared" si="39"/>
        <v/>
      </c>
      <c r="AG46" s="99" t="str">
        <f t="shared" si="39"/>
        <v/>
      </c>
      <c r="AH46" s="99" t="str">
        <f t="shared" si="39"/>
        <v/>
      </c>
      <c r="AI46" s="99" t="str">
        <f t="shared" si="39"/>
        <v/>
      </c>
      <c r="AJ46" s="99" t="str">
        <f t="shared" si="39"/>
        <v/>
      </c>
      <c r="AK46" s="99" t="str">
        <f t="shared" si="39"/>
        <v/>
      </c>
      <c r="AL46" s="99" t="str">
        <f t="shared" si="39"/>
        <v/>
      </c>
      <c r="AM46" s="99" t="str">
        <f t="shared" si="39"/>
        <v/>
      </c>
      <c r="AN46" s="99" t="str">
        <f t="shared" si="39"/>
        <v/>
      </c>
      <c r="AP46" s="99" t="str">
        <f t="shared" si="23"/>
        <v/>
      </c>
      <c r="AQ46" s="99" t="str">
        <f t="shared" si="24"/>
        <v/>
      </c>
      <c r="AR46" s="99" t="str">
        <f t="shared" si="25"/>
        <v/>
      </c>
      <c r="AS46" s="99" t="str">
        <f t="shared" si="26"/>
        <v/>
      </c>
      <c r="AT46" s="99" t="str">
        <f t="shared" si="27"/>
        <v/>
      </c>
      <c r="AU46" s="99" t="str">
        <f t="shared" si="28"/>
        <v/>
      </c>
      <c r="AV46" s="99" t="str">
        <f t="shared" si="29"/>
        <v/>
      </c>
      <c r="AW46" s="99" t="str">
        <f t="shared" si="30"/>
        <v/>
      </c>
      <c r="AX46" s="99" t="str">
        <f t="shared" si="31"/>
        <v/>
      </c>
      <c r="AY46" s="99" t="str">
        <f t="shared" si="32"/>
        <v/>
      </c>
      <c r="AZ46" s="99" t="str">
        <f t="shared" si="33"/>
        <v/>
      </c>
      <c r="BA46" s="99" t="str">
        <f t="shared" si="34"/>
        <v/>
      </c>
      <c r="BB46" s="103" t="str">
        <f t="shared" si="19"/>
        <v/>
      </c>
      <c r="BE46" s="99" t="str">
        <f t="shared" si="35"/>
        <v/>
      </c>
      <c r="BF46" s="99" t="str">
        <f t="shared" si="36"/>
        <v/>
      </c>
      <c r="BG46" s="99" t="str">
        <f t="shared" si="37"/>
        <v/>
      </c>
      <c r="BH46" s="99" t="str">
        <f t="shared" si="20"/>
        <v/>
      </c>
      <c r="BI46" s="99" t="str">
        <f t="shared" si="38"/>
        <v/>
      </c>
    </row>
    <row r="47" spans="1:61" s="103" customFormat="1" ht="23.15" customHeight="1">
      <c r="A47" s="3">
        <v>41</v>
      </c>
      <c r="B47" s="15"/>
      <c r="C47" s="5"/>
      <c r="D47" s="6"/>
      <c r="E47" s="4"/>
      <c r="F47" s="7"/>
      <c r="G47" s="8"/>
      <c r="H47" s="9"/>
      <c r="I47" s="9"/>
      <c r="J47" s="9"/>
      <c r="K47" s="9"/>
      <c r="L47" s="9"/>
      <c r="M47" s="9"/>
      <c r="N47" s="9"/>
      <c r="O47" s="9"/>
      <c r="P47" s="9"/>
      <c r="Q47" s="10"/>
      <c r="R47" s="11"/>
      <c r="S47" s="12"/>
      <c r="T47" s="10"/>
      <c r="U47" s="17"/>
      <c r="V47" s="10"/>
      <c r="W47" s="13"/>
      <c r="X47" s="14"/>
      <c r="Y47" s="102" t="str">
        <f t="shared" si="17"/>
        <v/>
      </c>
      <c r="Z47" s="99">
        <f>IF(COUNTIF($E$7:E47,E47)=1,"",COUNTIF($E$7:E47,E47))</f>
        <v>0</v>
      </c>
      <c r="AA47" s="99" t="str">
        <f t="shared" si="22"/>
        <v/>
      </c>
      <c r="AC47" s="99" t="str">
        <f t="shared" si="39"/>
        <v/>
      </c>
      <c r="AD47" s="99" t="str">
        <f t="shared" si="39"/>
        <v/>
      </c>
      <c r="AE47" s="99" t="str">
        <f t="shared" si="39"/>
        <v/>
      </c>
      <c r="AF47" s="99" t="str">
        <f t="shared" si="39"/>
        <v/>
      </c>
      <c r="AG47" s="99" t="str">
        <f t="shared" si="39"/>
        <v/>
      </c>
      <c r="AH47" s="99" t="str">
        <f t="shared" si="39"/>
        <v/>
      </c>
      <c r="AI47" s="99" t="str">
        <f t="shared" si="39"/>
        <v/>
      </c>
      <c r="AJ47" s="99" t="str">
        <f t="shared" si="39"/>
        <v/>
      </c>
      <c r="AK47" s="99" t="str">
        <f t="shared" si="39"/>
        <v/>
      </c>
      <c r="AL47" s="99" t="str">
        <f t="shared" si="39"/>
        <v/>
      </c>
      <c r="AM47" s="99" t="str">
        <f t="shared" si="39"/>
        <v/>
      </c>
      <c r="AN47" s="99" t="str">
        <f t="shared" si="39"/>
        <v/>
      </c>
      <c r="AP47" s="99" t="str">
        <f t="shared" si="23"/>
        <v/>
      </c>
      <c r="AQ47" s="99" t="str">
        <f t="shared" si="24"/>
        <v/>
      </c>
      <c r="AR47" s="99" t="str">
        <f t="shared" si="25"/>
        <v/>
      </c>
      <c r="AS47" s="99" t="str">
        <f t="shared" si="26"/>
        <v/>
      </c>
      <c r="AT47" s="99" t="str">
        <f t="shared" si="27"/>
        <v/>
      </c>
      <c r="AU47" s="99" t="str">
        <f t="shared" si="28"/>
        <v/>
      </c>
      <c r="AV47" s="99" t="str">
        <f t="shared" si="29"/>
        <v/>
      </c>
      <c r="AW47" s="99" t="str">
        <f t="shared" si="30"/>
        <v/>
      </c>
      <c r="AX47" s="99" t="str">
        <f t="shared" si="31"/>
        <v/>
      </c>
      <c r="AY47" s="99" t="str">
        <f t="shared" si="32"/>
        <v/>
      </c>
      <c r="AZ47" s="99" t="str">
        <f t="shared" si="33"/>
        <v/>
      </c>
      <c r="BA47" s="99" t="str">
        <f t="shared" si="34"/>
        <v/>
      </c>
      <c r="BB47" s="103" t="str">
        <f t="shared" si="19"/>
        <v/>
      </c>
      <c r="BE47" s="99" t="str">
        <f t="shared" si="35"/>
        <v/>
      </c>
      <c r="BF47" s="99" t="str">
        <f t="shared" si="36"/>
        <v/>
      </c>
      <c r="BG47" s="99" t="str">
        <f t="shared" si="37"/>
        <v/>
      </c>
      <c r="BH47" s="99" t="str">
        <f t="shared" si="20"/>
        <v/>
      </c>
      <c r="BI47" s="99" t="str">
        <f t="shared" si="38"/>
        <v/>
      </c>
    </row>
    <row r="48" spans="1:61" s="103" customFormat="1" ht="23.15" customHeight="1">
      <c r="A48" s="3">
        <v>42</v>
      </c>
      <c r="B48" s="15"/>
      <c r="C48" s="5"/>
      <c r="D48" s="6"/>
      <c r="E48" s="4"/>
      <c r="F48" s="7"/>
      <c r="G48" s="8"/>
      <c r="H48" s="9"/>
      <c r="I48" s="9"/>
      <c r="J48" s="9"/>
      <c r="K48" s="9"/>
      <c r="L48" s="9"/>
      <c r="M48" s="9"/>
      <c r="N48" s="9"/>
      <c r="O48" s="9"/>
      <c r="P48" s="9"/>
      <c r="Q48" s="10"/>
      <c r="R48" s="11"/>
      <c r="S48" s="12"/>
      <c r="T48" s="10"/>
      <c r="U48" s="17"/>
      <c r="V48" s="10"/>
      <c r="W48" s="13"/>
      <c r="X48" s="14"/>
      <c r="Y48" s="102" t="str">
        <f t="shared" si="17"/>
        <v/>
      </c>
      <c r="Z48" s="99">
        <f>IF(COUNTIF($E$7:E48,E48)=1,"",COUNTIF($E$7:E48,E48))</f>
        <v>0</v>
      </c>
      <c r="AA48" s="99" t="str">
        <f t="shared" si="22"/>
        <v/>
      </c>
      <c r="AC48" s="99" t="str">
        <f t="shared" si="39"/>
        <v/>
      </c>
      <c r="AD48" s="99" t="str">
        <f t="shared" si="39"/>
        <v/>
      </c>
      <c r="AE48" s="99" t="str">
        <f t="shared" si="39"/>
        <v/>
      </c>
      <c r="AF48" s="99" t="str">
        <f t="shared" si="39"/>
        <v/>
      </c>
      <c r="AG48" s="99" t="str">
        <f t="shared" si="39"/>
        <v/>
      </c>
      <c r="AH48" s="99" t="str">
        <f t="shared" si="39"/>
        <v/>
      </c>
      <c r="AI48" s="99" t="str">
        <f t="shared" si="39"/>
        <v/>
      </c>
      <c r="AJ48" s="99" t="str">
        <f t="shared" si="39"/>
        <v/>
      </c>
      <c r="AK48" s="99" t="str">
        <f t="shared" si="39"/>
        <v/>
      </c>
      <c r="AL48" s="99" t="str">
        <f t="shared" si="39"/>
        <v/>
      </c>
      <c r="AM48" s="99" t="str">
        <f t="shared" si="39"/>
        <v/>
      </c>
      <c r="AN48" s="99" t="str">
        <f t="shared" si="39"/>
        <v/>
      </c>
      <c r="AP48" s="99" t="str">
        <f t="shared" si="23"/>
        <v/>
      </c>
      <c r="AQ48" s="99" t="str">
        <f t="shared" si="24"/>
        <v/>
      </c>
      <c r="AR48" s="99" t="str">
        <f t="shared" si="25"/>
        <v/>
      </c>
      <c r="AS48" s="99" t="str">
        <f t="shared" si="26"/>
        <v/>
      </c>
      <c r="AT48" s="99" t="str">
        <f t="shared" si="27"/>
        <v/>
      </c>
      <c r="AU48" s="99" t="str">
        <f t="shared" si="28"/>
        <v/>
      </c>
      <c r="AV48" s="99" t="str">
        <f t="shared" si="29"/>
        <v/>
      </c>
      <c r="AW48" s="99" t="str">
        <f t="shared" si="30"/>
        <v/>
      </c>
      <c r="AX48" s="99" t="str">
        <f t="shared" si="31"/>
        <v/>
      </c>
      <c r="AY48" s="99" t="str">
        <f t="shared" si="32"/>
        <v/>
      </c>
      <c r="AZ48" s="99" t="str">
        <f t="shared" si="33"/>
        <v/>
      </c>
      <c r="BA48" s="99" t="str">
        <f t="shared" si="34"/>
        <v/>
      </c>
      <c r="BB48" s="103" t="str">
        <f t="shared" si="19"/>
        <v/>
      </c>
      <c r="BE48" s="99" t="str">
        <f t="shared" si="35"/>
        <v/>
      </c>
      <c r="BF48" s="99" t="str">
        <f t="shared" si="36"/>
        <v/>
      </c>
      <c r="BG48" s="99" t="str">
        <f t="shared" si="37"/>
        <v/>
      </c>
      <c r="BH48" s="99" t="str">
        <f t="shared" si="20"/>
        <v/>
      </c>
      <c r="BI48" s="99" t="str">
        <f t="shared" si="38"/>
        <v/>
      </c>
    </row>
    <row r="49" spans="1:61" s="103" customFormat="1" ht="23.15" customHeight="1">
      <c r="A49" s="3">
        <v>43</v>
      </c>
      <c r="B49" s="15"/>
      <c r="C49" s="5"/>
      <c r="D49" s="6"/>
      <c r="E49" s="4"/>
      <c r="F49" s="7"/>
      <c r="G49" s="8"/>
      <c r="H49" s="9"/>
      <c r="I49" s="9"/>
      <c r="J49" s="9"/>
      <c r="K49" s="9"/>
      <c r="L49" s="9"/>
      <c r="M49" s="9"/>
      <c r="N49" s="9"/>
      <c r="O49" s="9"/>
      <c r="P49" s="9"/>
      <c r="Q49" s="10"/>
      <c r="R49" s="11"/>
      <c r="S49" s="12"/>
      <c r="T49" s="10"/>
      <c r="U49" s="17"/>
      <c r="V49" s="10"/>
      <c r="W49" s="13"/>
      <c r="X49" s="14"/>
      <c r="Y49" s="102" t="str">
        <f t="shared" si="17"/>
        <v/>
      </c>
      <c r="Z49" s="99">
        <f>IF(COUNTIF($E$7:E49,E49)=1,"",COUNTIF($E$7:E49,E49))</f>
        <v>0</v>
      </c>
      <c r="AA49" s="99" t="str">
        <f t="shared" si="22"/>
        <v/>
      </c>
      <c r="AC49" s="99" t="str">
        <f t="shared" si="39"/>
        <v/>
      </c>
      <c r="AD49" s="99" t="str">
        <f t="shared" si="39"/>
        <v/>
      </c>
      <c r="AE49" s="99" t="str">
        <f t="shared" si="39"/>
        <v/>
      </c>
      <c r="AF49" s="99" t="str">
        <f t="shared" si="39"/>
        <v/>
      </c>
      <c r="AG49" s="99" t="str">
        <f t="shared" si="39"/>
        <v/>
      </c>
      <c r="AH49" s="99" t="str">
        <f t="shared" si="39"/>
        <v/>
      </c>
      <c r="AI49" s="99" t="str">
        <f t="shared" si="39"/>
        <v/>
      </c>
      <c r="AJ49" s="99" t="str">
        <f t="shared" si="39"/>
        <v/>
      </c>
      <c r="AK49" s="99" t="str">
        <f t="shared" si="39"/>
        <v/>
      </c>
      <c r="AL49" s="99" t="str">
        <f t="shared" si="39"/>
        <v/>
      </c>
      <c r="AM49" s="99" t="str">
        <f t="shared" si="39"/>
        <v/>
      </c>
      <c r="AN49" s="99" t="str">
        <f t="shared" si="39"/>
        <v/>
      </c>
      <c r="AP49" s="99" t="str">
        <f t="shared" si="23"/>
        <v/>
      </c>
      <c r="AQ49" s="99" t="str">
        <f t="shared" si="24"/>
        <v/>
      </c>
      <c r="AR49" s="99" t="str">
        <f t="shared" si="25"/>
        <v/>
      </c>
      <c r="AS49" s="99" t="str">
        <f t="shared" si="26"/>
        <v/>
      </c>
      <c r="AT49" s="99" t="str">
        <f t="shared" si="27"/>
        <v/>
      </c>
      <c r="AU49" s="99" t="str">
        <f t="shared" si="28"/>
        <v/>
      </c>
      <c r="AV49" s="99" t="str">
        <f t="shared" si="29"/>
        <v/>
      </c>
      <c r="AW49" s="99" t="str">
        <f t="shared" si="30"/>
        <v/>
      </c>
      <c r="AX49" s="99" t="str">
        <f t="shared" si="31"/>
        <v/>
      </c>
      <c r="AY49" s="99" t="str">
        <f t="shared" si="32"/>
        <v/>
      </c>
      <c r="AZ49" s="99" t="str">
        <f t="shared" si="33"/>
        <v/>
      </c>
      <c r="BA49" s="99" t="str">
        <f t="shared" si="34"/>
        <v/>
      </c>
      <c r="BB49" s="103" t="str">
        <f t="shared" si="19"/>
        <v/>
      </c>
      <c r="BE49" s="99" t="str">
        <f t="shared" si="35"/>
        <v/>
      </c>
      <c r="BF49" s="99" t="str">
        <f t="shared" si="36"/>
        <v/>
      </c>
      <c r="BG49" s="99" t="str">
        <f t="shared" si="37"/>
        <v/>
      </c>
      <c r="BH49" s="99" t="str">
        <f t="shared" si="20"/>
        <v/>
      </c>
      <c r="BI49" s="99" t="str">
        <f t="shared" si="38"/>
        <v/>
      </c>
    </row>
    <row r="50" spans="1:61" s="103" customFormat="1" ht="23.15" customHeight="1">
      <c r="A50" s="3">
        <v>44</v>
      </c>
      <c r="B50" s="15"/>
      <c r="C50" s="5"/>
      <c r="D50" s="6"/>
      <c r="E50" s="4"/>
      <c r="F50" s="7"/>
      <c r="G50" s="8"/>
      <c r="H50" s="9"/>
      <c r="I50" s="9"/>
      <c r="J50" s="9"/>
      <c r="K50" s="9"/>
      <c r="L50" s="9"/>
      <c r="M50" s="9"/>
      <c r="N50" s="9"/>
      <c r="O50" s="9"/>
      <c r="P50" s="9"/>
      <c r="Q50" s="10"/>
      <c r="R50" s="11"/>
      <c r="S50" s="12"/>
      <c r="T50" s="10"/>
      <c r="U50" s="17"/>
      <c r="V50" s="10"/>
      <c r="W50" s="13"/>
      <c r="X50" s="14"/>
      <c r="Y50" s="102" t="str">
        <f t="shared" si="17"/>
        <v/>
      </c>
      <c r="Z50" s="99">
        <f>IF(COUNTIF($E$7:E50,E50)=1,"",COUNTIF($E$7:E50,E50))</f>
        <v>0</v>
      </c>
      <c r="AA50" s="99" t="str">
        <f t="shared" si="22"/>
        <v/>
      </c>
      <c r="AC50" s="99" t="str">
        <f t="shared" si="39"/>
        <v/>
      </c>
      <c r="AD50" s="99" t="str">
        <f t="shared" si="39"/>
        <v/>
      </c>
      <c r="AE50" s="99" t="str">
        <f t="shared" si="39"/>
        <v/>
      </c>
      <c r="AF50" s="99" t="str">
        <f t="shared" si="39"/>
        <v/>
      </c>
      <c r="AG50" s="99" t="str">
        <f t="shared" si="39"/>
        <v/>
      </c>
      <c r="AH50" s="99" t="str">
        <f t="shared" si="39"/>
        <v/>
      </c>
      <c r="AI50" s="99" t="str">
        <f t="shared" si="39"/>
        <v/>
      </c>
      <c r="AJ50" s="99" t="str">
        <f t="shared" si="39"/>
        <v/>
      </c>
      <c r="AK50" s="99" t="str">
        <f t="shared" si="39"/>
        <v/>
      </c>
      <c r="AL50" s="99" t="str">
        <f t="shared" si="39"/>
        <v/>
      </c>
      <c r="AM50" s="99" t="str">
        <f t="shared" si="39"/>
        <v/>
      </c>
      <c r="AN50" s="99" t="str">
        <f t="shared" si="39"/>
        <v/>
      </c>
      <c r="AP50" s="99" t="str">
        <f t="shared" si="23"/>
        <v/>
      </c>
      <c r="AQ50" s="99" t="str">
        <f t="shared" si="24"/>
        <v/>
      </c>
      <c r="AR50" s="99" t="str">
        <f t="shared" si="25"/>
        <v/>
      </c>
      <c r="AS50" s="99" t="str">
        <f t="shared" si="26"/>
        <v/>
      </c>
      <c r="AT50" s="99" t="str">
        <f t="shared" si="27"/>
        <v/>
      </c>
      <c r="AU50" s="99" t="str">
        <f t="shared" si="28"/>
        <v/>
      </c>
      <c r="AV50" s="99" t="str">
        <f t="shared" si="29"/>
        <v/>
      </c>
      <c r="AW50" s="99" t="str">
        <f t="shared" si="30"/>
        <v/>
      </c>
      <c r="AX50" s="99" t="str">
        <f t="shared" si="31"/>
        <v/>
      </c>
      <c r="AY50" s="99" t="str">
        <f t="shared" si="32"/>
        <v/>
      </c>
      <c r="AZ50" s="99" t="str">
        <f t="shared" si="33"/>
        <v/>
      </c>
      <c r="BA50" s="99" t="str">
        <f t="shared" si="34"/>
        <v/>
      </c>
      <c r="BB50" s="103" t="str">
        <f t="shared" si="19"/>
        <v/>
      </c>
      <c r="BE50" s="99" t="str">
        <f t="shared" si="35"/>
        <v/>
      </c>
      <c r="BF50" s="99" t="str">
        <f t="shared" si="36"/>
        <v/>
      </c>
      <c r="BG50" s="99" t="str">
        <f t="shared" si="37"/>
        <v/>
      </c>
      <c r="BH50" s="99" t="str">
        <f t="shared" si="20"/>
        <v/>
      </c>
      <c r="BI50" s="99" t="str">
        <f t="shared" si="38"/>
        <v/>
      </c>
    </row>
    <row r="51" spans="1:61" s="103" customFormat="1" ht="23.15" customHeight="1">
      <c r="A51" s="3">
        <v>45</v>
      </c>
      <c r="B51" s="15"/>
      <c r="C51" s="5"/>
      <c r="D51" s="6"/>
      <c r="E51" s="4"/>
      <c r="F51" s="7"/>
      <c r="G51" s="8"/>
      <c r="H51" s="9"/>
      <c r="I51" s="9"/>
      <c r="J51" s="9"/>
      <c r="K51" s="9"/>
      <c r="L51" s="9"/>
      <c r="M51" s="9"/>
      <c r="N51" s="9"/>
      <c r="O51" s="9"/>
      <c r="P51" s="9"/>
      <c r="Q51" s="16"/>
      <c r="R51" s="11"/>
      <c r="S51" s="12"/>
      <c r="T51" s="13"/>
      <c r="U51" s="17"/>
      <c r="V51" s="10"/>
      <c r="W51" s="13"/>
      <c r="X51" s="14"/>
      <c r="Y51" s="102" t="str">
        <f t="shared" si="17"/>
        <v/>
      </c>
      <c r="Z51" s="99">
        <f>IF(COUNTIF($E$7:E51,E51)=1,"",COUNTIF($E$7:E51,E51))</f>
        <v>0</v>
      </c>
      <c r="AA51" s="99" t="str">
        <f t="shared" si="22"/>
        <v/>
      </c>
      <c r="AC51" s="99" t="str">
        <f t="shared" si="39"/>
        <v/>
      </c>
      <c r="AD51" s="99" t="str">
        <f t="shared" si="39"/>
        <v/>
      </c>
      <c r="AE51" s="99" t="str">
        <f t="shared" si="39"/>
        <v/>
      </c>
      <c r="AF51" s="99" t="str">
        <f t="shared" si="39"/>
        <v/>
      </c>
      <c r="AG51" s="99" t="str">
        <f t="shared" si="39"/>
        <v/>
      </c>
      <c r="AH51" s="99" t="str">
        <f t="shared" si="39"/>
        <v/>
      </c>
      <c r="AI51" s="99" t="str">
        <f t="shared" si="39"/>
        <v/>
      </c>
      <c r="AJ51" s="99" t="str">
        <f t="shared" si="39"/>
        <v/>
      </c>
      <c r="AK51" s="99" t="str">
        <f t="shared" si="39"/>
        <v/>
      </c>
      <c r="AL51" s="99" t="str">
        <f t="shared" si="39"/>
        <v/>
      </c>
      <c r="AM51" s="99" t="str">
        <f t="shared" si="39"/>
        <v/>
      </c>
      <c r="AN51" s="99" t="str">
        <f t="shared" si="39"/>
        <v/>
      </c>
      <c r="AP51" s="99" t="str">
        <f t="shared" si="23"/>
        <v/>
      </c>
      <c r="AQ51" s="99" t="str">
        <f t="shared" si="24"/>
        <v/>
      </c>
      <c r="AR51" s="99" t="str">
        <f t="shared" si="25"/>
        <v/>
      </c>
      <c r="AS51" s="99" t="str">
        <f t="shared" si="26"/>
        <v/>
      </c>
      <c r="AT51" s="99" t="str">
        <f t="shared" si="27"/>
        <v/>
      </c>
      <c r="AU51" s="99" t="str">
        <f t="shared" si="28"/>
        <v/>
      </c>
      <c r="AV51" s="99" t="str">
        <f t="shared" si="29"/>
        <v/>
      </c>
      <c r="AW51" s="99" t="str">
        <f t="shared" si="30"/>
        <v/>
      </c>
      <c r="AX51" s="99" t="str">
        <f t="shared" si="31"/>
        <v/>
      </c>
      <c r="AY51" s="99" t="str">
        <f t="shared" si="32"/>
        <v/>
      </c>
      <c r="AZ51" s="99" t="str">
        <f t="shared" si="33"/>
        <v/>
      </c>
      <c r="BA51" s="99" t="str">
        <f t="shared" si="34"/>
        <v/>
      </c>
      <c r="BB51" s="103" t="str">
        <f t="shared" si="19"/>
        <v/>
      </c>
      <c r="BE51" s="99" t="str">
        <f t="shared" si="35"/>
        <v/>
      </c>
      <c r="BF51" s="99" t="str">
        <f t="shared" si="36"/>
        <v/>
      </c>
      <c r="BG51" s="99" t="str">
        <f t="shared" si="37"/>
        <v/>
      </c>
      <c r="BH51" s="99" t="str">
        <f t="shared" si="20"/>
        <v/>
      </c>
      <c r="BI51" s="99" t="str">
        <f t="shared" si="38"/>
        <v/>
      </c>
    </row>
    <row r="52" spans="1:61" s="103" customFormat="1" ht="23.15" customHeight="1">
      <c r="A52" s="3">
        <v>46</v>
      </c>
      <c r="B52" s="15"/>
      <c r="C52" s="5"/>
      <c r="D52" s="6"/>
      <c r="E52" s="4"/>
      <c r="F52" s="7"/>
      <c r="G52" s="8"/>
      <c r="H52" s="9"/>
      <c r="I52" s="9"/>
      <c r="J52" s="9"/>
      <c r="K52" s="9"/>
      <c r="L52" s="9"/>
      <c r="M52" s="9"/>
      <c r="N52" s="9"/>
      <c r="O52" s="9"/>
      <c r="P52" s="9"/>
      <c r="Q52" s="10"/>
      <c r="R52" s="11"/>
      <c r="S52" s="12"/>
      <c r="T52" s="10"/>
      <c r="U52" s="17"/>
      <c r="V52" s="10"/>
      <c r="W52" s="13"/>
      <c r="X52" s="14"/>
      <c r="Y52" s="102" t="str">
        <f t="shared" si="17"/>
        <v/>
      </c>
      <c r="Z52" s="99">
        <f>IF(COUNTIF($E$7:E52,E52)=1,"",COUNTIF($E$7:E52,E52))</f>
        <v>0</v>
      </c>
      <c r="AA52" s="99" t="str">
        <f t="shared" si="22"/>
        <v/>
      </c>
      <c r="AC52" s="99" t="str">
        <f t="shared" si="39"/>
        <v/>
      </c>
      <c r="AD52" s="99" t="str">
        <f t="shared" si="39"/>
        <v/>
      </c>
      <c r="AE52" s="99" t="str">
        <f t="shared" si="39"/>
        <v/>
      </c>
      <c r="AF52" s="99" t="str">
        <f t="shared" si="39"/>
        <v/>
      </c>
      <c r="AG52" s="99" t="str">
        <f t="shared" si="39"/>
        <v/>
      </c>
      <c r="AH52" s="99" t="str">
        <f t="shared" si="39"/>
        <v/>
      </c>
      <c r="AI52" s="99" t="str">
        <f t="shared" si="39"/>
        <v/>
      </c>
      <c r="AJ52" s="99" t="str">
        <f t="shared" si="39"/>
        <v/>
      </c>
      <c r="AK52" s="99" t="str">
        <f t="shared" si="39"/>
        <v/>
      </c>
      <c r="AL52" s="99" t="str">
        <f t="shared" si="39"/>
        <v/>
      </c>
      <c r="AM52" s="99" t="str">
        <f t="shared" si="39"/>
        <v/>
      </c>
      <c r="AN52" s="99" t="str">
        <f t="shared" si="39"/>
        <v/>
      </c>
      <c r="AP52" s="99" t="str">
        <f t="shared" si="23"/>
        <v/>
      </c>
      <c r="AQ52" s="99" t="str">
        <f t="shared" si="24"/>
        <v/>
      </c>
      <c r="AR52" s="99" t="str">
        <f t="shared" si="25"/>
        <v/>
      </c>
      <c r="AS52" s="99" t="str">
        <f t="shared" si="26"/>
        <v/>
      </c>
      <c r="AT52" s="99" t="str">
        <f t="shared" si="27"/>
        <v/>
      </c>
      <c r="AU52" s="99" t="str">
        <f t="shared" si="28"/>
        <v/>
      </c>
      <c r="AV52" s="99" t="str">
        <f t="shared" si="29"/>
        <v/>
      </c>
      <c r="AW52" s="99" t="str">
        <f t="shared" si="30"/>
        <v/>
      </c>
      <c r="AX52" s="99" t="str">
        <f t="shared" si="31"/>
        <v/>
      </c>
      <c r="AY52" s="99" t="str">
        <f t="shared" si="32"/>
        <v/>
      </c>
      <c r="AZ52" s="99" t="str">
        <f t="shared" si="33"/>
        <v/>
      </c>
      <c r="BA52" s="99" t="str">
        <f t="shared" si="34"/>
        <v/>
      </c>
      <c r="BB52" s="103" t="str">
        <f t="shared" si="19"/>
        <v/>
      </c>
      <c r="BE52" s="99" t="str">
        <f t="shared" si="35"/>
        <v/>
      </c>
      <c r="BF52" s="99" t="str">
        <f t="shared" si="36"/>
        <v/>
      </c>
      <c r="BG52" s="99" t="str">
        <f t="shared" si="37"/>
        <v/>
      </c>
      <c r="BH52" s="99" t="str">
        <f t="shared" si="20"/>
        <v/>
      </c>
      <c r="BI52" s="99" t="str">
        <f t="shared" si="38"/>
        <v/>
      </c>
    </row>
    <row r="53" spans="1:61" s="103" customFormat="1" ht="23.15" customHeight="1">
      <c r="A53" s="3">
        <v>47</v>
      </c>
      <c r="B53" s="15"/>
      <c r="C53" s="5"/>
      <c r="D53" s="6"/>
      <c r="E53" s="4"/>
      <c r="F53" s="7"/>
      <c r="G53" s="8"/>
      <c r="H53" s="9"/>
      <c r="I53" s="9"/>
      <c r="J53" s="9"/>
      <c r="K53" s="9"/>
      <c r="L53" s="9"/>
      <c r="M53" s="9"/>
      <c r="N53" s="9"/>
      <c r="O53" s="9"/>
      <c r="P53" s="9"/>
      <c r="Q53" s="10"/>
      <c r="R53" s="11"/>
      <c r="S53" s="12"/>
      <c r="T53" s="10"/>
      <c r="U53" s="17"/>
      <c r="V53" s="10"/>
      <c r="W53" s="13"/>
      <c r="X53" s="14"/>
      <c r="Y53" s="102" t="str">
        <f t="shared" si="17"/>
        <v/>
      </c>
      <c r="Z53" s="99">
        <f>IF(COUNTIF($E$7:E53,E53)=1,"",COUNTIF($E$7:E53,E53))</f>
        <v>0</v>
      </c>
      <c r="AA53" s="99" t="str">
        <f t="shared" si="22"/>
        <v/>
      </c>
      <c r="AC53" s="99" t="str">
        <f t="shared" si="39"/>
        <v/>
      </c>
      <c r="AD53" s="99" t="str">
        <f t="shared" si="39"/>
        <v/>
      </c>
      <c r="AE53" s="99" t="str">
        <f t="shared" si="39"/>
        <v/>
      </c>
      <c r="AF53" s="99" t="str">
        <f t="shared" si="39"/>
        <v/>
      </c>
      <c r="AG53" s="99" t="str">
        <f t="shared" si="39"/>
        <v/>
      </c>
      <c r="AH53" s="99" t="str">
        <f t="shared" si="39"/>
        <v/>
      </c>
      <c r="AI53" s="99" t="str">
        <f t="shared" si="39"/>
        <v/>
      </c>
      <c r="AJ53" s="99" t="str">
        <f t="shared" si="39"/>
        <v/>
      </c>
      <c r="AK53" s="99" t="str">
        <f t="shared" si="39"/>
        <v/>
      </c>
      <c r="AL53" s="99" t="str">
        <f t="shared" si="39"/>
        <v/>
      </c>
      <c r="AM53" s="99" t="str">
        <f t="shared" si="39"/>
        <v/>
      </c>
      <c r="AN53" s="99" t="str">
        <f t="shared" si="39"/>
        <v/>
      </c>
      <c r="AP53" s="99" t="str">
        <f t="shared" si="23"/>
        <v/>
      </c>
      <c r="AQ53" s="99" t="str">
        <f t="shared" si="24"/>
        <v/>
      </c>
      <c r="AR53" s="99" t="str">
        <f t="shared" si="25"/>
        <v/>
      </c>
      <c r="AS53" s="99" t="str">
        <f t="shared" si="26"/>
        <v/>
      </c>
      <c r="AT53" s="99" t="str">
        <f t="shared" si="27"/>
        <v/>
      </c>
      <c r="AU53" s="99" t="str">
        <f t="shared" si="28"/>
        <v/>
      </c>
      <c r="AV53" s="99" t="str">
        <f t="shared" si="29"/>
        <v/>
      </c>
      <c r="AW53" s="99" t="str">
        <f t="shared" si="30"/>
        <v/>
      </c>
      <c r="AX53" s="99" t="str">
        <f t="shared" si="31"/>
        <v/>
      </c>
      <c r="AY53" s="99" t="str">
        <f t="shared" si="32"/>
        <v/>
      </c>
      <c r="AZ53" s="99" t="str">
        <f t="shared" si="33"/>
        <v/>
      </c>
      <c r="BA53" s="99" t="str">
        <f t="shared" si="34"/>
        <v/>
      </c>
      <c r="BB53" s="103" t="str">
        <f t="shared" si="19"/>
        <v/>
      </c>
      <c r="BE53" s="99" t="str">
        <f t="shared" si="35"/>
        <v/>
      </c>
      <c r="BF53" s="99" t="str">
        <f t="shared" si="36"/>
        <v/>
      </c>
      <c r="BG53" s="99" t="str">
        <f t="shared" si="37"/>
        <v/>
      </c>
      <c r="BH53" s="99" t="str">
        <f t="shared" si="20"/>
        <v/>
      </c>
      <c r="BI53" s="99" t="str">
        <f t="shared" si="38"/>
        <v/>
      </c>
    </row>
    <row r="54" spans="1:61" s="103" customFormat="1" ht="23.15" customHeight="1">
      <c r="A54" s="3">
        <v>48</v>
      </c>
      <c r="B54" s="15"/>
      <c r="C54" s="5"/>
      <c r="D54" s="6"/>
      <c r="E54" s="4"/>
      <c r="F54" s="7"/>
      <c r="G54" s="8"/>
      <c r="H54" s="9"/>
      <c r="I54" s="9"/>
      <c r="J54" s="9"/>
      <c r="K54" s="9"/>
      <c r="L54" s="9"/>
      <c r="M54" s="9"/>
      <c r="N54" s="9"/>
      <c r="O54" s="9"/>
      <c r="P54" s="9"/>
      <c r="Q54" s="10"/>
      <c r="R54" s="11"/>
      <c r="S54" s="12"/>
      <c r="T54" s="10"/>
      <c r="U54" s="17"/>
      <c r="V54" s="10"/>
      <c r="W54" s="13"/>
      <c r="X54" s="14"/>
      <c r="Y54" s="102" t="str">
        <f t="shared" si="17"/>
        <v/>
      </c>
      <c r="Z54" s="99">
        <f>IF(COUNTIF($E$7:E54,E54)=1,"",COUNTIF($E$7:E54,E54))</f>
        <v>0</v>
      </c>
      <c r="AA54" s="99" t="str">
        <f t="shared" si="22"/>
        <v/>
      </c>
      <c r="AC54" s="99" t="str">
        <f t="shared" si="39"/>
        <v/>
      </c>
      <c r="AD54" s="99" t="str">
        <f t="shared" si="39"/>
        <v/>
      </c>
      <c r="AE54" s="99" t="str">
        <f t="shared" si="39"/>
        <v/>
      </c>
      <c r="AF54" s="99" t="str">
        <f t="shared" si="39"/>
        <v/>
      </c>
      <c r="AG54" s="99" t="str">
        <f t="shared" si="39"/>
        <v/>
      </c>
      <c r="AH54" s="99" t="str">
        <f t="shared" si="39"/>
        <v/>
      </c>
      <c r="AI54" s="99" t="str">
        <f t="shared" si="39"/>
        <v/>
      </c>
      <c r="AJ54" s="99" t="str">
        <f t="shared" si="39"/>
        <v/>
      </c>
      <c r="AK54" s="99" t="str">
        <f t="shared" si="39"/>
        <v/>
      </c>
      <c r="AL54" s="99" t="str">
        <f t="shared" si="39"/>
        <v/>
      </c>
      <c r="AM54" s="99" t="str">
        <f t="shared" si="39"/>
        <v/>
      </c>
      <c r="AN54" s="99" t="str">
        <f t="shared" si="39"/>
        <v/>
      </c>
      <c r="AP54" s="99" t="str">
        <f t="shared" si="23"/>
        <v/>
      </c>
      <c r="AQ54" s="99" t="str">
        <f t="shared" si="24"/>
        <v/>
      </c>
      <c r="AR54" s="99" t="str">
        <f t="shared" si="25"/>
        <v/>
      </c>
      <c r="AS54" s="99" t="str">
        <f t="shared" si="26"/>
        <v/>
      </c>
      <c r="AT54" s="99" t="str">
        <f t="shared" si="27"/>
        <v/>
      </c>
      <c r="AU54" s="99" t="str">
        <f t="shared" si="28"/>
        <v/>
      </c>
      <c r="AV54" s="99" t="str">
        <f t="shared" si="29"/>
        <v/>
      </c>
      <c r="AW54" s="99" t="str">
        <f t="shared" si="30"/>
        <v/>
      </c>
      <c r="AX54" s="99" t="str">
        <f t="shared" si="31"/>
        <v/>
      </c>
      <c r="AY54" s="99" t="str">
        <f t="shared" si="32"/>
        <v/>
      </c>
      <c r="AZ54" s="99" t="str">
        <f t="shared" si="33"/>
        <v/>
      </c>
      <c r="BA54" s="99" t="str">
        <f t="shared" si="34"/>
        <v/>
      </c>
      <c r="BB54" s="103" t="str">
        <f t="shared" si="19"/>
        <v/>
      </c>
      <c r="BE54" s="99" t="str">
        <f t="shared" si="35"/>
        <v/>
      </c>
      <c r="BF54" s="99" t="str">
        <f t="shared" si="36"/>
        <v/>
      </c>
      <c r="BG54" s="99" t="str">
        <f t="shared" si="37"/>
        <v/>
      </c>
      <c r="BH54" s="99" t="str">
        <f t="shared" si="20"/>
        <v/>
      </c>
      <c r="BI54" s="99" t="str">
        <f t="shared" si="38"/>
        <v/>
      </c>
    </row>
    <row r="55" spans="1:61" s="103" customFormat="1" ht="23.15" customHeight="1">
      <c r="A55" s="3">
        <v>49</v>
      </c>
      <c r="B55" s="15"/>
      <c r="C55" s="5"/>
      <c r="D55" s="6"/>
      <c r="E55" s="4"/>
      <c r="F55" s="7"/>
      <c r="G55" s="8"/>
      <c r="H55" s="9"/>
      <c r="I55" s="9"/>
      <c r="J55" s="9"/>
      <c r="K55" s="9"/>
      <c r="L55" s="9"/>
      <c r="M55" s="9"/>
      <c r="N55" s="9"/>
      <c r="O55" s="9"/>
      <c r="P55" s="9"/>
      <c r="Q55" s="10"/>
      <c r="R55" s="11"/>
      <c r="S55" s="12"/>
      <c r="T55" s="10"/>
      <c r="U55" s="17"/>
      <c r="V55" s="10"/>
      <c r="W55" s="13"/>
      <c r="X55" s="14"/>
      <c r="Y55" s="102" t="str">
        <f t="shared" si="17"/>
        <v/>
      </c>
      <c r="Z55" s="99">
        <f>IF(COUNTIF($E$7:E55,E55)=1,"",COUNTIF($E$7:E55,E55))</f>
        <v>0</v>
      </c>
      <c r="AA55" s="99" t="str">
        <f t="shared" si="22"/>
        <v/>
      </c>
      <c r="AC55" s="99" t="str">
        <f t="shared" si="39"/>
        <v/>
      </c>
      <c r="AD55" s="99" t="str">
        <f t="shared" si="39"/>
        <v/>
      </c>
      <c r="AE55" s="99" t="str">
        <f t="shared" si="39"/>
        <v/>
      </c>
      <c r="AF55" s="99" t="str">
        <f t="shared" si="39"/>
        <v/>
      </c>
      <c r="AG55" s="99" t="str">
        <f t="shared" si="39"/>
        <v/>
      </c>
      <c r="AH55" s="99" t="str">
        <f t="shared" si="39"/>
        <v/>
      </c>
      <c r="AI55" s="99" t="str">
        <f t="shared" si="39"/>
        <v/>
      </c>
      <c r="AJ55" s="99" t="str">
        <f t="shared" si="39"/>
        <v/>
      </c>
      <c r="AK55" s="99" t="str">
        <f t="shared" si="39"/>
        <v/>
      </c>
      <c r="AL55" s="99" t="str">
        <f t="shared" si="39"/>
        <v/>
      </c>
      <c r="AM55" s="99" t="str">
        <f t="shared" si="39"/>
        <v/>
      </c>
      <c r="AN55" s="99" t="str">
        <f t="shared" si="39"/>
        <v/>
      </c>
      <c r="AP55" s="99" t="str">
        <f t="shared" si="23"/>
        <v/>
      </c>
      <c r="AQ55" s="99" t="str">
        <f t="shared" si="24"/>
        <v/>
      </c>
      <c r="AR55" s="99" t="str">
        <f t="shared" si="25"/>
        <v/>
      </c>
      <c r="AS55" s="99" t="str">
        <f t="shared" si="26"/>
        <v/>
      </c>
      <c r="AT55" s="99" t="str">
        <f t="shared" si="27"/>
        <v/>
      </c>
      <c r="AU55" s="99" t="str">
        <f t="shared" si="28"/>
        <v/>
      </c>
      <c r="AV55" s="99" t="str">
        <f t="shared" si="29"/>
        <v/>
      </c>
      <c r="AW55" s="99" t="str">
        <f t="shared" si="30"/>
        <v/>
      </c>
      <c r="AX55" s="99" t="str">
        <f t="shared" si="31"/>
        <v/>
      </c>
      <c r="AY55" s="99" t="str">
        <f t="shared" si="32"/>
        <v/>
      </c>
      <c r="AZ55" s="99" t="str">
        <f t="shared" si="33"/>
        <v/>
      </c>
      <c r="BA55" s="99" t="str">
        <f t="shared" si="34"/>
        <v/>
      </c>
      <c r="BB55" s="103" t="str">
        <f t="shared" si="19"/>
        <v/>
      </c>
      <c r="BE55" s="99" t="str">
        <f t="shared" si="35"/>
        <v/>
      </c>
      <c r="BF55" s="99" t="str">
        <f t="shared" si="36"/>
        <v/>
      </c>
      <c r="BG55" s="99" t="str">
        <f t="shared" si="37"/>
        <v/>
      </c>
      <c r="BH55" s="99" t="str">
        <f t="shared" si="20"/>
        <v/>
      </c>
      <c r="BI55" s="99" t="str">
        <f t="shared" si="38"/>
        <v/>
      </c>
    </row>
    <row r="56" spans="1:61" s="103" customFormat="1" ht="23.15" customHeight="1">
      <c r="A56" s="3">
        <v>50</v>
      </c>
      <c r="B56" s="15"/>
      <c r="C56" s="5"/>
      <c r="D56" s="6"/>
      <c r="E56" s="4"/>
      <c r="F56" s="7"/>
      <c r="G56" s="8"/>
      <c r="H56" s="9"/>
      <c r="I56" s="9"/>
      <c r="J56" s="9"/>
      <c r="K56" s="9"/>
      <c r="L56" s="9"/>
      <c r="M56" s="9"/>
      <c r="N56" s="9"/>
      <c r="O56" s="9"/>
      <c r="P56" s="9"/>
      <c r="Q56" s="10"/>
      <c r="R56" s="11"/>
      <c r="S56" s="12"/>
      <c r="T56" s="10"/>
      <c r="U56" s="17"/>
      <c r="V56" s="10"/>
      <c r="W56" s="13"/>
      <c r="X56" s="14"/>
      <c r="Y56" s="102" t="str">
        <f t="shared" si="17"/>
        <v/>
      </c>
      <c r="Z56" s="99">
        <f>IF(COUNTIF($E$7:E56,E56)=1,"",COUNTIF($E$7:E56,E56))</f>
        <v>0</v>
      </c>
      <c r="AA56" s="99" t="str">
        <f t="shared" si="22"/>
        <v/>
      </c>
      <c r="AC56" s="99" t="str">
        <f t="shared" si="39"/>
        <v/>
      </c>
      <c r="AD56" s="99" t="str">
        <f t="shared" si="39"/>
        <v/>
      </c>
      <c r="AE56" s="99" t="str">
        <f t="shared" si="39"/>
        <v/>
      </c>
      <c r="AF56" s="99" t="str">
        <f t="shared" si="39"/>
        <v/>
      </c>
      <c r="AG56" s="99" t="str">
        <f t="shared" si="39"/>
        <v/>
      </c>
      <c r="AH56" s="99" t="str">
        <f t="shared" si="39"/>
        <v/>
      </c>
      <c r="AI56" s="99" t="str">
        <f t="shared" si="39"/>
        <v/>
      </c>
      <c r="AJ56" s="99" t="str">
        <f t="shared" si="39"/>
        <v/>
      </c>
      <c r="AK56" s="99" t="str">
        <f t="shared" si="39"/>
        <v/>
      </c>
      <c r="AL56" s="99" t="str">
        <f t="shared" si="39"/>
        <v/>
      </c>
      <c r="AM56" s="99" t="str">
        <f t="shared" si="39"/>
        <v/>
      </c>
      <c r="AN56" s="99" t="str">
        <f t="shared" si="39"/>
        <v/>
      </c>
      <c r="AP56" s="99" t="str">
        <f t="shared" si="23"/>
        <v/>
      </c>
      <c r="AQ56" s="99" t="str">
        <f t="shared" si="24"/>
        <v/>
      </c>
      <c r="AR56" s="99" t="str">
        <f t="shared" si="25"/>
        <v/>
      </c>
      <c r="AS56" s="99" t="str">
        <f t="shared" si="26"/>
        <v/>
      </c>
      <c r="AT56" s="99" t="str">
        <f t="shared" si="27"/>
        <v/>
      </c>
      <c r="AU56" s="99" t="str">
        <f t="shared" si="28"/>
        <v/>
      </c>
      <c r="AV56" s="99" t="str">
        <f t="shared" si="29"/>
        <v/>
      </c>
      <c r="AW56" s="99" t="str">
        <f t="shared" si="30"/>
        <v/>
      </c>
      <c r="AX56" s="99" t="str">
        <f t="shared" si="31"/>
        <v/>
      </c>
      <c r="AY56" s="99" t="str">
        <f t="shared" si="32"/>
        <v/>
      </c>
      <c r="AZ56" s="99" t="str">
        <f t="shared" si="33"/>
        <v/>
      </c>
      <c r="BA56" s="99" t="str">
        <f t="shared" si="34"/>
        <v/>
      </c>
      <c r="BB56" s="103" t="str">
        <f t="shared" si="19"/>
        <v/>
      </c>
      <c r="BE56" s="99" t="str">
        <f t="shared" si="35"/>
        <v/>
      </c>
      <c r="BF56" s="99" t="str">
        <f t="shared" si="36"/>
        <v/>
      </c>
      <c r="BG56" s="99" t="str">
        <f t="shared" si="37"/>
        <v/>
      </c>
      <c r="BH56" s="99" t="str">
        <f t="shared" si="20"/>
        <v/>
      </c>
      <c r="BI56" s="99" t="str">
        <f t="shared" si="38"/>
        <v/>
      </c>
    </row>
    <row r="57" spans="1:61" s="103" customFormat="1" ht="23.15" customHeight="1">
      <c r="A57" s="3">
        <v>51</v>
      </c>
      <c r="B57" s="15"/>
      <c r="C57" s="5"/>
      <c r="D57" s="6"/>
      <c r="E57" s="4"/>
      <c r="F57" s="7"/>
      <c r="G57" s="8"/>
      <c r="H57" s="9"/>
      <c r="I57" s="9"/>
      <c r="J57" s="9"/>
      <c r="K57" s="9"/>
      <c r="L57" s="9"/>
      <c r="M57" s="9"/>
      <c r="N57" s="9"/>
      <c r="O57" s="9"/>
      <c r="P57" s="9"/>
      <c r="Q57" s="10"/>
      <c r="R57" s="11"/>
      <c r="S57" s="12"/>
      <c r="T57" s="10"/>
      <c r="U57" s="17"/>
      <c r="V57" s="10"/>
      <c r="W57" s="13"/>
      <c r="X57" s="14"/>
      <c r="Y57" s="102" t="str">
        <f t="shared" si="17"/>
        <v/>
      </c>
      <c r="Z57" s="99">
        <f>IF(COUNTIF($E$7:E57,E57)=1,"",COUNTIF($E$7:E57,E57))</f>
        <v>0</v>
      </c>
      <c r="AA57" s="99" t="str">
        <f t="shared" si="22"/>
        <v/>
      </c>
      <c r="AC57" s="99" t="str">
        <f t="shared" si="39"/>
        <v/>
      </c>
      <c r="AD57" s="99" t="str">
        <f t="shared" si="39"/>
        <v/>
      </c>
      <c r="AE57" s="99" t="str">
        <f t="shared" si="39"/>
        <v/>
      </c>
      <c r="AF57" s="99" t="str">
        <f t="shared" si="39"/>
        <v/>
      </c>
      <c r="AG57" s="99" t="str">
        <f t="shared" si="39"/>
        <v/>
      </c>
      <c r="AH57" s="99" t="str">
        <f t="shared" si="39"/>
        <v/>
      </c>
      <c r="AI57" s="99" t="str">
        <f t="shared" si="39"/>
        <v/>
      </c>
      <c r="AJ57" s="99" t="str">
        <f t="shared" si="39"/>
        <v/>
      </c>
      <c r="AK57" s="99" t="str">
        <f t="shared" si="39"/>
        <v/>
      </c>
      <c r="AL57" s="99" t="str">
        <f t="shared" si="39"/>
        <v/>
      </c>
      <c r="AM57" s="99" t="str">
        <f t="shared" si="39"/>
        <v/>
      </c>
      <c r="AN57" s="99" t="str">
        <f t="shared" si="39"/>
        <v/>
      </c>
      <c r="AP57" s="99" t="str">
        <f t="shared" si="23"/>
        <v/>
      </c>
      <c r="AQ57" s="99" t="str">
        <f t="shared" si="24"/>
        <v/>
      </c>
      <c r="AR57" s="99" t="str">
        <f t="shared" si="25"/>
        <v/>
      </c>
      <c r="AS57" s="99" t="str">
        <f t="shared" si="26"/>
        <v/>
      </c>
      <c r="AT57" s="99" t="str">
        <f t="shared" si="27"/>
        <v/>
      </c>
      <c r="AU57" s="99" t="str">
        <f t="shared" si="28"/>
        <v/>
      </c>
      <c r="AV57" s="99" t="str">
        <f t="shared" si="29"/>
        <v/>
      </c>
      <c r="AW57" s="99" t="str">
        <f t="shared" si="30"/>
        <v/>
      </c>
      <c r="AX57" s="99" t="str">
        <f t="shared" si="31"/>
        <v/>
      </c>
      <c r="AY57" s="99" t="str">
        <f t="shared" si="32"/>
        <v/>
      </c>
      <c r="AZ57" s="99" t="str">
        <f t="shared" si="33"/>
        <v/>
      </c>
      <c r="BA57" s="99" t="str">
        <f t="shared" si="34"/>
        <v/>
      </c>
      <c r="BB57" s="103" t="str">
        <f t="shared" si="19"/>
        <v/>
      </c>
      <c r="BE57" s="99" t="str">
        <f t="shared" si="35"/>
        <v/>
      </c>
      <c r="BF57" s="99" t="str">
        <f t="shared" si="36"/>
        <v/>
      </c>
      <c r="BG57" s="99" t="str">
        <f t="shared" si="37"/>
        <v/>
      </c>
      <c r="BH57" s="99" t="str">
        <f t="shared" si="20"/>
        <v/>
      </c>
      <c r="BI57" s="99" t="str">
        <f t="shared" si="38"/>
        <v/>
      </c>
    </row>
    <row r="58" spans="1:61" s="103" customFormat="1" ht="23.15" customHeight="1">
      <c r="A58" s="3">
        <v>52</v>
      </c>
      <c r="B58" s="15"/>
      <c r="C58" s="5"/>
      <c r="D58" s="6"/>
      <c r="E58" s="4"/>
      <c r="F58" s="7"/>
      <c r="G58" s="8"/>
      <c r="H58" s="9"/>
      <c r="I58" s="9"/>
      <c r="J58" s="9"/>
      <c r="K58" s="9"/>
      <c r="L58" s="9"/>
      <c r="M58" s="9"/>
      <c r="N58" s="9"/>
      <c r="O58" s="9"/>
      <c r="P58" s="9"/>
      <c r="Q58" s="10"/>
      <c r="R58" s="11"/>
      <c r="S58" s="12"/>
      <c r="T58" s="10"/>
      <c r="U58" s="17"/>
      <c r="V58" s="10"/>
      <c r="W58" s="13"/>
      <c r="X58" s="14" t="str">
        <f t="shared" ref="X58:X71" si="40">IF(W58=$S$138,"→内容を記載してください","")</f>
        <v/>
      </c>
      <c r="Y58" s="102" t="str">
        <f t="shared" si="17"/>
        <v/>
      </c>
      <c r="Z58" s="99">
        <f>IF(COUNTIF($E$7:E58,E58)=1,"",COUNTIF($E$7:E58,E58))</f>
        <v>0</v>
      </c>
      <c r="AA58" s="99" t="str">
        <f t="shared" si="22"/>
        <v/>
      </c>
      <c r="AC58" s="99" t="str">
        <f t="shared" si="39"/>
        <v/>
      </c>
      <c r="AD58" s="99" t="str">
        <f t="shared" si="39"/>
        <v/>
      </c>
      <c r="AE58" s="99" t="str">
        <f t="shared" si="39"/>
        <v/>
      </c>
      <c r="AF58" s="99" t="str">
        <f t="shared" si="39"/>
        <v/>
      </c>
      <c r="AG58" s="99" t="str">
        <f t="shared" si="39"/>
        <v/>
      </c>
      <c r="AH58" s="99" t="str">
        <f t="shared" si="39"/>
        <v/>
      </c>
      <c r="AI58" s="99" t="str">
        <f t="shared" si="39"/>
        <v/>
      </c>
      <c r="AJ58" s="99" t="str">
        <f t="shared" si="39"/>
        <v/>
      </c>
      <c r="AK58" s="99" t="str">
        <f t="shared" si="39"/>
        <v/>
      </c>
      <c r="AL58" s="99" t="str">
        <f t="shared" si="39"/>
        <v/>
      </c>
      <c r="AM58" s="99" t="str">
        <f t="shared" si="39"/>
        <v/>
      </c>
      <c r="AN58" s="99" t="str">
        <f t="shared" si="39"/>
        <v/>
      </c>
      <c r="AP58" s="99" t="str">
        <f t="shared" si="23"/>
        <v/>
      </c>
      <c r="AQ58" s="99" t="str">
        <f t="shared" si="24"/>
        <v/>
      </c>
      <c r="AR58" s="99" t="str">
        <f t="shared" si="25"/>
        <v/>
      </c>
      <c r="AS58" s="99" t="str">
        <f t="shared" si="26"/>
        <v/>
      </c>
      <c r="AT58" s="99" t="str">
        <f t="shared" si="27"/>
        <v/>
      </c>
      <c r="AU58" s="99" t="str">
        <f t="shared" si="28"/>
        <v/>
      </c>
      <c r="AV58" s="99" t="str">
        <f t="shared" si="29"/>
        <v/>
      </c>
      <c r="AW58" s="99" t="str">
        <f t="shared" si="30"/>
        <v/>
      </c>
      <c r="AX58" s="99" t="str">
        <f t="shared" si="31"/>
        <v/>
      </c>
      <c r="AY58" s="99" t="str">
        <f t="shared" si="32"/>
        <v/>
      </c>
      <c r="AZ58" s="99" t="str">
        <f t="shared" si="33"/>
        <v/>
      </c>
      <c r="BA58" s="99" t="str">
        <f t="shared" si="34"/>
        <v/>
      </c>
      <c r="BB58" s="103" t="str">
        <f t="shared" si="19"/>
        <v/>
      </c>
      <c r="BE58" s="99" t="str">
        <f t="shared" si="35"/>
        <v/>
      </c>
      <c r="BF58" s="99" t="str">
        <f t="shared" si="36"/>
        <v/>
      </c>
      <c r="BG58" s="99" t="str">
        <f t="shared" si="37"/>
        <v/>
      </c>
      <c r="BH58" s="99" t="str">
        <f t="shared" si="20"/>
        <v/>
      </c>
      <c r="BI58" s="99" t="str">
        <f t="shared" si="38"/>
        <v/>
      </c>
    </row>
    <row r="59" spans="1:61" s="103" customFormat="1" ht="23.15" customHeight="1">
      <c r="A59" s="3">
        <v>53</v>
      </c>
      <c r="B59" s="15"/>
      <c r="C59" s="5"/>
      <c r="D59" s="6"/>
      <c r="E59" s="4"/>
      <c r="F59" s="7"/>
      <c r="G59" s="8"/>
      <c r="H59" s="9"/>
      <c r="I59" s="9"/>
      <c r="J59" s="9"/>
      <c r="K59" s="9"/>
      <c r="L59" s="9"/>
      <c r="M59" s="9"/>
      <c r="N59" s="9"/>
      <c r="O59" s="9"/>
      <c r="P59" s="9"/>
      <c r="Q59" s="10"/>
      <c r="R59" s="11"/>
      <c r="S59" s="12"/>
      <c r="T59" s="10"/>
      <c r="U59" s="17"/>
      <c r="V59" s="10"/>
      <c r="W59" s="13"/>
      <c r="X59" s="14" t="str">
        <f t="shared" si="40"/>
        <v/>
      </c>
      <c r="Y59" s="102" t="str">
        <f t="shared" si="17"/>
        <v/>
      </c>
      <c r="Z59" s="99">
        <f>IF(COUNTIF($E$7:E59,E59)=1,"",COUNTIF($E$7:E59,E59))</f>
        <v>0</v>
      </c>
      <c r="AA59" s="99" t="str">
        <f t="shared" si="22"/>
        <v/>
      </c>
      <c r="AC59" s="99" t="str">
        <f t="shared" si="39"/>
        <v/>
      </c>
      <c r="AD59" s="99" t="str">
        <f t="shared" si="39"/>
        <v/>
      </c>
      <c r="AE59" s="99" t="str">
        <f t="shared" si="39"/>
        <v/>
      </c>
      <c r="AF59" s="99" t="str">
        <f t="shared" si="39"/>
        <v/>
      </c>
      <c r="AG59" s="99" t="str">
        <f t="shared" si="39"/>
        <v/>
      </c>
      <c r="AH59" s="99" t="str">
        <f t="shared" si="39"/>
        <v/>
      </c>
      <c r="AI59" s="99" t="str">
        <f t="shared" si="39"/>
        <v/>
      </c>
      <c r="AJ59" s="99" t="str">
        <f t="shared" si="39"/>
        <v/>
      </c>
      <c r="AK59" s="99" t="str">
        <f t="shared" si="39"/>
        <v/>
      </c>
      <c r="AL59" s="99" t="str">
        <f t="shared" si="39"/>
        <v/>
      </c>
      <c r="AM59" s="99" t="str">
        <f t="shared" si="39"/>
        <v/>
      </c>
      <c r="AN59" s="99" t="str">
        <f t="shared" si="39"/>
        <v/>
      </c>
      <c r="AP59" s="99" t="str">
        <f t="shared" si="23"/>
        <v/>
      </c>
      <c r="AQ59" s="99" t="str">
        <f t="shared" si="24"/>
        <v/>
      </c>
      <c r="AR59" s="99" t="str">
        <f t="shared" si="25"/>
        <v/>
      </c>
      <c r="AS59" s="99" t="str">
        <f t="shared" si="26"/>
        <v/>
      </c>
      <c r="AT59" s="99" t="str">
        <f t="shared" si="27"/>
        <v/>
      </c>
      <c r="AU59" s="99" t="str">
        <f t="shared" si="28"/>
        <v/>
      </c>
      <c r="AV59" s="99" t="str">
        <f t="shared" si="29"/>
        <v/>
      </c>
      <c r="AW59" s="99" t="str">
        <f t="shared" si="30"/>
        <v/>
      </c>
      <c r="AX59" s="99" t="str">
        <f t="shared" si="31"/>
        <v/>
      </c>
      <c r="AY59" s="99" t="str">
        <f t="shared" si="32"/>
        <v/>
      </c>
      <c r="AZ59" s="99" t="str">
        <f t="shared" si="33"/>
        <v/>
      </c>
      <c r="BA59" s="99" t="str">
        <f t="shared" si="34"/>
        <v/>
      </c>
      <c r="BB59" s="103" t="str">
        <f t="shared" si="19"/>
        <v/>
      </c>
      <c r="BE59" s="99" t="str">
        <f t="shared" si="35"/>
        <v/>
      </c>
      <c r="BF59" s="99" t="str">
        <f t="shared" si="36"/>
        <v/>
      </c>
      <c r="BG59" s="99" t="str">
        <f t="shared" si="37"/>
        <v/>
      </c>
      <c r="BH59" s="99" t="str">
        <f t="shared" si="20"/>
        <v/>
      </c>
      <c r="BI59" s="99" t="str">
        <f t="shared" si="38"/>
        <v/>
      </c>
    </row>
    <row r="60" spans="1:61" s="103" customFormat="1" ht="23.15" customHeight="1">
      <c r="A60" s="3">
        <v>54</v>
      </c>
      <c r="B60" s="15"/>
      <c r="C60" s="5"/>
      <c r="D60" s="6"/>
      <c r="E60" s="4"/>
      <c r="F60" s="7"/>
      <c r="G60" s="8"/>
      <c r="H60" s="9"/>
      <c r="I60" s="9"/>
      <c r="J60" s="9"/>
      <c r="K60" s="9"/>
      <c r="L60" s="9"/>
      <c r="M60" s="9"/>
      <c r="N60" s="9"/>
      <c r="O60" s="9"/>
      <c r="P60" s="9"/>
      <c r="Q60" s="10"/>
      <c r="R60" s="11"/>
      <c r="S60" s="12"/>
      <c r="T60" s="10"/>
      <c r="U60" s="17"/>
      <c r="V60" s="10"/>
      <c r="W60" s="13"/>
      <c r="X60" s="14" t="str">
        <f t="shared" si="40"/>
        <v/>
      </c>
      <c r="Y60" s="102" t="str">
        <f t="shared" si="17"/>
        <v/>
      </c>
      <c r="Z60" s="99">
        <f>IF(COUNTIF($E$7:E60,E60)=1,"",COUNTIF($E$7:E60,E60))</f>
        <v>0</v>
      </c>
      <c r="AA60" s="99" t="str">
        <f t="shared" si="22"/>
        <v/>
      </c>
      <c r="AC60" s="99" t="str">
        <f t="shared" si="39"/>
        <v/>
      </c>
      <c r="AD60" s="99" t="str">
        <f t="shared" si="39"/>
        <v/>
      </c>
      <c r="AE60" s="99" t="str">
        <f t="shared" si="39"/>
        <v/>
      </c>
      <c r="AF60" s="99" t="str">
        <f t="shared" si="39"/>
        <v/>
      </c>
      <c r="AG60" s="99" t="str">
        <f t="shared" si="39"/>
        <v/>
      </c>
      <c r="AH60" s="99" t="str">
        <f t="shared" si="39"/>
        <v/>
      </c>
      <c r="AI60" s="99" t="str">
        <f t="shared" si="39"/>
        <v/>
      </c>
      <c r="AJ60" s="99" t="str">
        <f t="shared" si="39"/>
        <v/>
      </c>
      <c r="AK60" s="99" t="str">
        <f t="shared" si="39"/>
        <v/>
      </c>
      <c r="AL60" s="99" t="str">
        <f t="shared" si="39"/>
        <v/>
      </c>
      <c r="AM60" s="99" t="str">
        <f t="shared" si="39"/>
        <v/>
      </c>
      <c r="AN60" s="99" t="str">
        <f t="shared" si="39"/>
        <v/>
      </c>
      <c r="AP60" s="99" t="str">
        <f t="shared" si="23"/>
        <v/>
      </c>
      <c r="AQ60" s="99" t="str">
        <f t="shared" si="24"/>
        <v/>
      </c>
      <c r="AR60" s="99" t="str">
        <f t="shared" si="25"/>
        <v/>
      </c>
      <c r="AS60" s="99" t="str">
        <f t="shared" si="26"/>
        <v/>
      </c>
      <c r="AT60" s="99" t="str">
        <f t="shared" si="27"/>
        <v/>
      </c>
      <c r="AU60" s="99" t="str">
        <f t="shared" si="28"/>
        <v/>
      </c>
      <c r="AV60" s="99" t="str">
        <f t="shared" si="29"/>
        <v/>
      </c>
      <c r="AW60" s="99" t="str">
        <f t="shared" si="30"/>
        <v/>
      </c>
      <c r="AX60" s="99" t="str">
        <f t="shared" si="31"/>
        <v/>
      </c>
      <c r="AY60" s="99" t="str">
        <f t="shared" si="32"/>
        <v/>
      </c>
      <c r="AZ60" s="99" t="str">
        <f t="shared" si="33"/>
        <v/>
      </c>
      <c r="BA60" s="99" t="str">
        <f t="shared" si="34"/>
        <v/>
      </c>
      <c r="BB60" s="103" t="str">
        <f t="shared" si="19"/>
        <v/>
      </c>
      <c r="BE60" s="99" t="str">
        <f t="shared" si="35"/>
        <v/>
      </c>
      <c r="BF60" s="99" t="str">
        <f t="shared" si="36"/>
        <v/>
      </c>
      <c r="BG60" s="99" t="str">
        <f t="shared" si="37"/>
        <v/>
      </c>
      <c r="BH60" s="99" t="str">
        <f t="shared" si="20"/>
        <v/>
      </c>
      <c r="BI60" s="99" t="str">
        <f t="shared" si="38"/>
        <v/>
      </c>
    </row>
    <row r="61" spans="1:61" s="103" customFormat="1" ht="23.15" customHeight="1">
      <c r="A61" s="3">
        <v>55</v>
      </c>
      <c r="B61" s="15"/>
      <c r="C61" s="5"/>
      <c r="D61" s="6"/>
      <c r="E61" s="4"/>
      <c r="F61" s="7"/>
      <c r="G61" s="8"/>
      <c r="H61" s="9"/>
      <c r="I61" s="9"/>
      <c r="J61" s="9"/>
      <c r="K61" s="9"/>
      <c r="L61" s="9"/>
      <c r="M61" s="9"/>
      <c r="N61" s="9"/>
      <c r="O61" s="9"/>
      <c r="P61" s="9"/>
      <c r="Q61" s="10"/>
      <c r="R61" s="11"/>
      <c r="S61" s="12"/>
      <c r="T61" s="10"/>
      <c r="U61" s="17"/>
      <c r="V61" s="10"/>
      <c r="W61" s="13"/>
      <c r="X61" s="14" t="str">
        <f t="shared" si="40"/>
        <v/>
      </c>
      <c r="Y61" s="102" t="str">
        <f t="shared" si="17"/>
        <v/>
      </c>
      <c r="Z61" s="99">
        <f>IF(COUNTIF($E$7:E61,E61)=1,"",COUNTIF($E$7:E61,E61))</f>
        <v>0</v>
      </c>
      <c r="AA61" s="99" t="str">
        <f t="shared" si="22"/>
        <v/>
      </c>
      <c r="AC61" s="99" t="str">
        <f t="shared" si="39"/>
        <v/>
      </c>
      <c r="AD61" s="99" t="str">
        <f t="shared" si="39"/>
        <v/>
      </c>
      <c r="AE61" s="99" t="str">
        <f t="shared" si="39"/>
        <v/>
      </c>
      <c r="AF61" s="99" t="str">
        <f t="shared" ref="AD61:AN84" si="41">IF(OR($W61=$S$137,$W61=$S$130,$W61=$S$134,$W61=$S$135,$W61=$S$136,$W61=$S$138),"",IF($S61="","",IF($U61="",IF($R61="",IF($S61&lt;=AF$6,"○",""),IF(AND($R61&lt;=AF$6,$S61&lt;=AF$6),"●",IF($S61&lt;=AF$6,"○",""))),IF($U61&gt;=AF$6,IF($R61="",IF($S61&lt;=AF$6,"○",""),IF(AND($R61&lt;=AF$6,$S61&lt;=AF$6),"●",IF($S61&lt;=AF$6,"○",""))),""))))</f>
        <v/>
      </c>
      <c r="AG61" s="99" t="str">
        <f t="shared" si="41"/>
        <v/>
      </c>
      <c r="AH61" s="99" t="str">
        <f t="shared" si="41"/>
        <v/>
      </c>
      <c r="AI61" s="99" t="str">
        <f t="shared" si="41"/>
        <v/>
      </c>
      <c r="AJ61" s="99" t="str">
        <f t="shared" si="41"/>
        <v/>
      </c>
      <c r="AK61" s="99" t="str">
        <f t="shared" si="41"/>
        <v/>
      </c>
      <c r="AL61" s="99" t="str">
        <f t="shared" si="41"/>
        <v/>
      </c>
      <c r="AM61" s="99" t="str">
        <f t="shared" si="41"/>
        <v/>
      </c>
      <c r="AN61" s="99" t="str">
        <f t="shared" si="41"/>
        <v/>
      </c>
      <c r="AP61" s="99" t="str">
        <f t="shared" si="23"/>
        <v/>
      </c>
      <c r="AQ61" s="99" t="str">
        <f t="shared" si="24"/>
        <v/>
      </c>
      <c r="AR61" s="99" t="str">
        <f t="shared" si="25"/>
        <v/>
      </c>
      <c r="AS61" s="99" t="str">
        <f t="shared" si="26"/>
        <v/>
      </c>
      <c r="AT61" s="99" t="str">
        <f t="shared" si="27"/>
        <v/>
      </c>
      <c r="AU61" s="99" t="str">
        <f t="shared" si="28"/>
        <v/>
      </c>
      <c r="AV61" s="99" t="str">
        <f t="shared" si="29"/>
        <v/>
      </c>
      <c r="AW61" s="99" t="str">
        <f t="shared" si="30"/>
        <v/>
      </c>
      <c r="AX61" s="99" t="str">
        <f t="shared" si="31"/>
        <v/>
      </c>
      <c r="AY61" s="99" t="str">
        <f t="shared" si="32"/>
        <v/>
      </c>
      <c r="AZ61" s="99" t="str">
        <f t="shared" si="33"/>
        <v/>
      </c>
      <c r="BA61" s="99" t="str">
        <f t="shared" si="34"/>
        <v/>
      </c>
      <c r="BB61" s="103" t="str">
        <f t="shared" si="19"/>
        <v/>
      </c>
      <c r="BE61" s="99" t="str">
        <f t="shared" si="35"/>
        <v/>
      </c>
      <c r="BF61" s="99" t="str">
        <f t="shared" si="36"/>
        <v/>
      </c>
      <c r="BG61" s="99" t="str">
        <f t="shared" si="37"/>
        <v/>
      </c>
      <c r="BH61" s="99" t="str">
        <f t="shared" si="20"/>
        <v/>
      </c>
      <c r="BI61" s="99" t="str">
        <f t="shared" si="38"/>
        <v/>
      </c>
    </row>
    <row r="62" spans="1:61" s="103" customFormat="1" ht="23.15" customHeight="1">
      <c r="A62" s="3">
        <v>56</v>
      </c>
      <c r="B62" s="15"/>
      <c r="C62" s="5"/>
      <c r="D62" s="6"/>
      <c r="E62" s="4"/>
      <c r="F62" s="7"/>
      <c r="G62" s="8"/>
      <c r="H62" s="9"/>
      <c r="I62" s="9"/>
      <c r="J62" s="9"/>
      <c r="K62" s="9"/>
      <c r="L62" s="9"/>
      <c r="M62" s="9"/>
      <c r="N62" s="9"/>
      <c r="O62" s="9"/>
      <c r="P62" s="9"/>
      <c r="Q62" s="10"/>
      <c r="R62" s="11"/>
      <c r="S62" s="12"/>
      <c r="T62" s="10"/>
      <c r="U62" s="17"/>
      <c r="V62" s="10"/>
      <c r="W62" s="13"/>
      <c r="X62" s="14" t="str">
        <f t="shared" si="40"/>
        <v/>
      </c>
      <c r="Y62" s="102" t="str">
        <f t="shared" si="17"/>
        <v/>
      </c>
      <c r="Z62" s="99">
        <f>IF(COUNTIF($E$7:E62,E62)=1,"",COUNTIF($E$7:E62,E62))</f>
        <v>0</v>
      </c>
      <c r="AA62" s="99" t="str">
        <f t="shared" si="22"/>
        <v/>
      </c>
      <c r="AC62" s="99" t="str">
        <f t="shared" ref="AC62:AC106" si="42">IF(OR($W62=$S$137,$W62=$S$130,$W62=$S$134,$W62=$S$135,$W62=$S$136,$W62=$S$138),"",IF($S62="","",IF($U62="",IF($R62="",IF($S62&lt;=AC$6,"○",""),IF(AND($R62&lt;=AC$6,$S62&lt;=AC$6),"●",IF($S62&lt;=AC$6,"○",""))),IF($U62&gt;=AC$6,IF($R62="",IF($S62&lt;=AC$6,"○",""),IF(AND($R62&lt;=AC$6,$S62&lt;=AC$6),"●",IF($S62&lt;=AC$6,"○",""))),""))))</f>
        <v/>
      </c>
      <c r="AD62" s="99" t="str">
        <f t="shared" si="41"/>
        <v/>
      </c>
      <c r="AE62" s="99" t="str">
        <f t="shared" si="41"/>
        <v/>
      </c>
      <c r="AF62" s="99" t="str">
        <f t="shared" si="41"/>
        <v/>
      </c>
      <c r="AG62" s="99" t="str">
        <f t="shared" si="41"/>
        <v/>
      </c>
      <c r="AH62" s="99" t="str">
        <f t="shared" si="41"/>
        <v/>
      </c>
      <c r="AI62" s="99" t="str">
        <f t="shared" si="41"/>
        <v/>
      </c>
      <c r="AJ62" s="99" t="str">
        <f t="shared" si="41"/>
        <v/>
      </c>
      <c r="AK62" s="99" t="str">
        <f t="shared" si="41"/>
        <v/>
      </c>
      <c r="AL62" s="99" t="str">
        <f t="shared" si="41"/>
        <v/>
      </c>
      <c r="AM62" s="99" t="str">
        <f t="shared" si="41"/>
        <v/>
      </c>
      <c r="AN62" s="99" t="str">
        <f t="shared" si="41"/>
        <v/>
      </c>
      <c r="AP62" s="99" t="str">
        <f t="shared" si="23"/>
        <v/>
      </c>
      <c r="AQ62" s="99" t="str">
        <f t="shared" si="24"/>
        <v/>
      </c>
      <c r="AR62" s="99" t="str">
        <f t="shared" si="25"/>
        <v/>
      </c>
      <c r="AS62" s="99" t="str">
        <f t="shared" si="26"/>
        <v/>
      </c>
      <c r="AT62" s="99" t="str">
        <f t="shared" si="27"/>
        <v/>
      </c>
      <c r="AU62" s="99" t="str">
        <f t="shared" si="28"/>
        <v/>
      </c>
      <c r="AV62" s="99" t="str">
        <f t="shared" si="29"/>
        <v/>
      </c>
      <c r="AW62" s="99" t="str">
        <f t="shared" si="30"/>
        <v/>
      </c>
      <c r="AX62" s="99" t="str">
        <f t="shared" si="31"/>
        <v/>
      </c>
      <c r="AY62" s="99" t="str">
        <f t="shared" si="32"/>
        <v/>
      </c>
      <c r="AZ62" s="99" t="str">
        <f t="shared" si="33"/>
        <v/>
      </c>
      <c r="BA62" s="99" t="str">
        <f t="shared" si="34"/>
        <v/>
      </c>
      <c r="BB62" s="103" t="str">
        <f t="shared" si="19"/>
        <v/>
      </c>
      <c r="BE62" s="99" t="str">
        <f t="shared" si="35"/>
        <v/>
      </c>
      <c r="BF62" s="99" t="str">
        <f t="shared" si="36"/>
        <v/>
      </c>
      <c r="BG62" s="99" t="str">
        <f t="shared" si="37"/>
        <v/>
      </c>
      <c r="BH62" s="99" t="str">
        <f t="shared" si="20"/>
        <v/>
      </c>
      <c r="BI62" s="99" t="str">
        <f t="shared" si="38"/>
        <v/>
      </c>
    </row>
    <row r="63" spans="1:61" s="103" customFormat="1" ht="23.15" customHeight="1">
      <c r="A63" s="3">
        <v>57</v>
      </c>
      <c r="B63" s="15"/>
      <c r="C63" s="5"/>
      <c r="D63" s="6"/>
      <c r="E63" s="4"/>
      <c r="F63" s="7"/>
      <c r="G63" s="8"/>
      <c r="H63" s="9"/>
      <c r="I63" s="9"/>
      <c r="J63" s="9"/>
      <c r="K63" s="9"/>
      <c r="L63" s="9"/>
      <c r="M63" s="9"/>
      <c r="N63" s="9"/>
      <c r="O63" s="9"/>
      <c r="P63" s="9"/>
      <c r="Q63" s="10"/>
      <c r="R63" s="11"/>
      <c r="S63" s="12"/>
      <c r="T63" s="10"/>
      <c r="U63" s="17"/>
      <c r="V63" s="10"/>
      <c r="W63" s="13"/>
      <c r="X63" s="14" t="str">
        <f t="shared" si="40"/>
        <v/>
      </c>
      <c r="Y63" s="102" t="str">
        <f t="shared" si="17"/>
        <v/>
      </c>
      <c r="Z63" s="99">
        <f>IF(COUNTIF($E$7:E63,E63)=1,"",COUNTIF($E$7:E63,E63))</f>
        <v>0</v>
      </c>
      <c r="AA63" s="99" t="str">
        <f t="shared" si="22"/>
        <v/>
      </c>
      <c r="AC63" s="99" t="str">
        <f t="shared" si="42"/>
        <v/>
      </c>
      <c r="AD63" s="99" t="str">
        <f t="shared" si="41"/>
        <v/>
      </c>
      <c r="AE63" s="99" t="str">
        <f t="shared" si="41"/>
        <v/>
      </c>
      <c r="AF63" s="99" t="str">
        <f t="shared" si="41"/>
        <v/>
      </c>
      <c r="AG63" s="99" t="str">
        <f t="shared" si="41"/>
        <v/>
      </c>
      <c r="AH63" s="99" t="str">
        <f t="shared" si="41"/>
        <v/>
      </c>
      <c r="AI63" s="99" t="str">
        <f t="shared" si="41"/>
        <v/>
      </c>
      <c r="AJ63" s="99" t="str">
        <f t="shared" si="41"/>
        <v/>
      </c>
      <c r="AK63" s="99" t="str">
        <f t="shared" si="41"/>
        <v/>
      </c>
      <c r="AL63" s="99" t="str">
        <f t="shared" si="41"/>
        <v/>
      </c>
      <c r="AM63" s="99" t="str">
        <f t="shared" si="41"/>
        <v/>
      </c>
      <c r="AN63" s="99" t="str">
        <f t="shared" si="41"/>
        <v/>
      </c>
      <c r="AP63" s="99" t="str">
        <f t="shared" si="23"/>
        <v/>
      </c>
      <c r="AQ63" s="99" t="str">
        <f t="shared" si="24"/>
        <v/>
      </c>
      <c r="AR63" s="99" t="str">
        <f t="shared" si="25"/>
        <v/>
      </c>
      <c r="AS63" s="99" t="str">
        <f t="shared" si="26"/>
        <v/>
      </c>
      <c r="AT63" s="99" t="str">
        <f t="shared" si="27"/>
        <v/>
      </c>
      <c r="AU63" s="99" t="str">
        <f t="shared" si="28"/>
        <v/>
      </c>
      <c r="AV63" s="99" t="str">
        <f t="shared" si="29"/>
        <v/>
      </c>
      <c r="AW63" s="99" t="str">
        <f t="shared" si="30"/>
        <v/>
      </c>
      <c r="AX63" s="99" t="str">
        <f t="shared" si="31"/>
        <v/>
      </c>
      <c r="AY63" s="99" t="str">
        <f t="shared" si="32"/>
        <v/>
      </c>
      <c r="AZ63" s="99" t="str">
        <f t="shared" si="33"/>
        <v/>
      </c>
      <c r="BA63" s="99" t="str">
        <f t="shared" si="34"/>
        <v/>
      </c>
      <c r="BB63" s="103" t="str">
        <f t="shared" si="19"/>
        <v/>
      </c>
      <c r="BE63" s="99" t="str">
        <f t="shared" si="35"/>
        <v/>
      </c>
      <c r="BF63" s="99" t="str">
        <f t="shared" si="36"/>
        <v/>
      </c>
      <c r="BG63" s="99" t="str">
        <f t="shared" si="37"/>
        <v/>
      </c>
      <c r="BH63" s="99" t="str">
        <f t="shared" si="20"/>
        <v/>
      </c>
      <c r="BI63" s="99" t="str">
        <f t="shared" si="38"/>
        <v/>
      </c>
    </row>
    <row r="64" spans="1:61" s="103" customFormat="1" ht="23.15" customHeight="1">
      <c r="A64" s="3">
        <v>58</v>
      </c>
      <c r="B64" s="15"/>
      <c r="C64" s="5"/>
      <c r="D64" s="6"/>
      <c r="E64" s="4"/>
      <c r="F64" s="7"/>
      <c r="G64" s="8"/>
      <c r="H64" s="9"/>
      <c r="I64" s="9"/>
      <c r="J64" s="9"/>
      <c r="K64" s="9"/>
      <c r="L64" s="9"/>
      <c r="M64" s="9"/>
      <c r="N64" s="9"/>
      <c r="O64" s="9"/>
      <c r="P64" s="9"/>
      <c r="Q64" s="10"/>
      <c r="R64" s="11"/>
      <c r="S64" s="12"/>
      <c r="T64" s="10"/>
      <c r="U64" s="17"/>
      <c r="V64" s="10"/>
      <c r="W64" s="13"/>
      <c r="X64" s="14" t="str">
        <f t="shared" si="40"/>
        <v/>
      </c>
      <c r="Y64" s="102" t="str">
        <f t="shared" si="17"/>
        <v/>
      </c>
      <c r="Z64" s="99">
        <f>IF(COUNTIF($E$7:E64,E64)=1,"",COUNTIF($E$7:E64,E64))</f>
        <v>0</v>
      </c>
      <c r="AA64" s="99" t="str">
        <f t="shared" si="22"/>
        <v/>
      </c>
      <c r="AC64" s="99" t="str">
        <f t="shared" si="42"/>
        <v/>
      </c>
      <c r="AD64" s="99" t="str">
        <f t="shared" si="41"/>
        <v/>
      </c>
      <c r="AE64" s="99" t="str">
        <f t="shared" si="41"/>
        <v/>
      </c>
      <c r="AF64" s="99" t="str">
        <f t="shared" si="41"/>
        <v/>
      </c>
      <c r="AG64" s="99" t="str">
        <f t="shared" si="41"/>
        <v/>
      </c>
      <c r="AH64" s="99" t="str">
        <f t="shared" si="41"/>
        <v/>
      </c>
      <c r="AI64" s="99" t="str">
        <f t="shared" si="41"/>
        <v/>
      </c>
      <c r="AJ64" s="99" t="str">
        <f t="shared" si="41"/>
        <v/>
      </c>
      <c r="AK64" s="99" t="str">
        <f t="shared" si="41"/>
        <v/>
      </c>
      <c r="AL64" s="99" t="str">
        <f t="shared" si="41"/>
        <v/>
      </c>
      <c r="AM64" s="99" t="str">
        <f t="shared" si="41"/>
        <v/>
      </c>
      <c r="AN64" s="99" t="str">
        <f t="shared" si="41"/>
        <v/>
      </c>
      <c r="AP64" s="99" t="str">
        <f t="shared" si="23"/>
        <v/>
      </c>
      <c r="AQ64" s="99" t="str">
        <f t="shared" si="24"/>
        <v/>
      </c>
      <c r="AR64" s="99" t="str">
        <f t="shared" si="25"/>
        <v/>
      </c>
      <c r="AS64" s="99" t="str">
        <f t="shared" si="26"/>
        <v/>
      </c>
      <c r="AT64" s="99" t="str">
        <f t="shared" si="27"/>
        <v/>
      </c>
      <c r="AU64" s="99" t="str">
        <f t="shared" si="28"/>
        <v/>
      </c>
      <c r="AV64" s="99" t="str">
        <f t="shared" si="29"/>
        <v/>
      </c>
      <c r="AW64" s="99" t="str">
        <f t="shared" si="30"/>
        <v/>
      </c>
      <c r="AX64" s="99" t="str">
        <f t="shared" si="31"/>
        <v/>
      </c>
      <c r="AY64" s="99" t="str">
        <f t="shared" si="32"/>
        <v/>
      </c>
      <c r="AZ64" s="99" t="str">
        <f t="shared" si="33"/>
        <v/>
      </c>
      <c r="BA64" s="99" t="str">
        <f t="shared" si="34"/>
        <v/>
      </c>
      <c r="BB64" s="103" t="str">
        <f t="shared" si="19"/>
        <v/>
      </c>
      <c r="BE64" s="99" t="str">
        <f t="shared" si="35"/>
        <v/>
      </c>
      <c r="BF64" s="99" t="str">
        <f t="shared" si="36"/>
        <v/>
      </c>
      <c r="BG64" s="99" t="str">
        <f t="shared" si="37"/>
        <v/>
      </c>
      <c r="BH64" s="99" t="str">
        <f t="shared" si="20"/>
        <v/>
      </c>
      <c r="BI64" s="99" t="str">
        <f t="shared" si="38"/>
        <v/>
      </c>
    </row>
    <row r="65" spans="1:61" s="103" customFormat="1" ht="23.15" customHeight="1">
      <c r="A65" s="3">
        <v>59</v>
      </c>
      <c r="B65" s="15"/>
      <c r="C65" s="5"/>
      <c r="D65" s="6"/>
      <c r="E65" s="4"/>
      <c r="F65" s="7"/>
      <c r="G65" s="8"/>
      <c r="H65" s="9"/>
      <c r="I65" s="9"/>
      <c r="J65" s="9"/>
      <c r="K65" s="9"/>
      <c r="L65" s="9"/>
      <c r="M65" s="9"/>
      <c r="N65" s="9"/>
      <c r="O65" s="9"/>
      <c r="P65" s="9"/>
      <c r="Q65" s="10"/>
      <c r="R65" s="11"/>
      <c r="S65" s="12"/>
      <c r="T65" s="10"/>
      <c r="U65" s="17"/>
      <c r="V65" s="10"/>
      <c r="W65" s="13"/>
      <c r="X65" s="14" t="str">
        <f t="shared" si="40"/>
        <v/>
      </c>
      <c r="Y65" s="102" t="str">
        <f t="shared" si="17"/>
        <v/>
      </c>
      <c r="Z65" s="99">
        <f>IF(COUNTIF($E$7:E65,E65)=1,"",COUNTIF($E$7:E65,E65))</f>
        <v>0</v>
      </c>
      <c r="AA65" s="99" t="str">
        <f t="shared" si="22"/>
        <v/>
      </c>
      <c r="AC65" s="99" t="str">
        <f t="shared" si="42"/>
        <v/>
      </c>
      <c r="AD65" s="99" t="str">
        <f t="shared" si="41"/>
        <v/>
      </c>
      <c r="AE65" s="99" t="str">
        <f t="shared" si="41"/>
        <v/>
      </c>
      <c r="AF65" s="99" t="str">
        <f t="shared" si="41"/>
        <v/>
      </c>
      <c r="AG65" s="99" t="str">
        <f t="shared" si="41"/>
        <v/>
      </c>
      <c r="AH65" s="99" t="str">
        <f t="shared" si="41"/>
        <v/>
      </c>
      <c r="AI65" s="99" t="str">
        <f t="shared" si="41"/>
        <v/>
      </c>
      <c r="AJ65" s="99" t="str">
        <f t="shared" si="41"/>
        <v/>
      </c>
      <c r="AK65" s="99" t="str">
        <f t="shared" si="41"/>
        <v/>
      </c>
      <c r="AL65" s="99" t="str">
        <f t="shared" si="41"/>
        <v/>
      </c>
      <c r="AM65" s="99" t="str">
        <f t="shared" si="41"/>
        <v/>
      </c>
      <c r="AN65" s="99" t="str">
        <f t="shared" si="41"/>
        <v/>
      </c>
      <c r="AP65" s="99" t="str">
        <f t="shared" si="23"/>
        <v/>
      </c>
      <c r="AQ65" s="99" t="str">
        <f t="shared" si="24"/>
        <v/>
      </c>
      <c r="AR65" s="99" t="str">
        <f t="shared" si="25"/>
        <v/>
      </c>
      <c r="AS65" s="99" t="str">
        <f t="shared" si="26"/>
        <v/>
      </c>
      <c r="AT65" s="99" t="str">
        <f t="shared" si="27"/>
        <v/>
      </c>
      <c r="AU65" s="99" t="str">
        <f t="shared" si="28"/>
        <v/>
      </c>
      <c r="AV65" s="99" t="str">
        <f t="shared" si="29"/>
        <v/>
      </c>
      <c r="AW65" s="99" t="str">
        <f t="shared" si="30"/>
        <v/>
      </c>
      <c r="AX65" s="99" t="str">
        <f t="shared" si="31"/>
        <v/>
      </c>
      <c r="AY65" s="99" t="str">
        <f t="shared" si="32"/>
        <v/>
      </c>
      <c r="AZ65" s="99" t="str">
        <f t="shared" si="33"/>
        <v/>
      </c>
      <c r="BA65" s="99" t="str">
        <f t="shared" si="34"/>
        <v/>
      </c>
      <c r="BB65" s="103" t="str">
        <f t="shared" si="19"/>
        <v/>
      </c>
      <c r="BE65" s="99" t="str">
        <f t="shared" si="35"/>
        <v/>
      </c>
      <c r="BF65" s="99" t="str">
        <f t="shared" si="36"/>
        <v/>
      </c>
      <c r="BG65" s="99" t="str">
        <f t="shared" si="37"/>
        <v/>
      </c>
      <c r="BH65" s="99" t="str">
        <f t="shared" si="20"/>
        <v/>
      </c>
      <c r="BI65" s="99" t="str">
        <f t="shared" si="38"/>
        <v/>
      </c>
    </row>
    <row r="66" spans="1:61" s="103" customFormat="1" ht="23.15" customHeight="1">
      <c r="A66" s="3">
        <v>60</v>
      </c>
      <c r="B66" s="15"/>
      <c r="C66" s="5"/>
      <c r="D66" s="6"/>
      <c r="E66" s="4"/>
      <c r="F66" s="7"/>
      <c r="G66" s="8"/>
      <c r="H66" s="9"/>
      <c r="I66" s="9"/>
      <c r="J66" s="9"/>
      <c r="K66" s="9"/>
      <c r="L66" s="9"/>
      <c r="M66" s="9"/>
      <c r="N66" s="9"/>
      <c r="O66" s="9"/>
      <c r="P66" s="9"/>
      <c r="Q66" s="10"/>
      <c r="R66" s="11"/>
      <c r="S66" s="12"/>
      <c r="T66" s="10"/>
      <c r="U66" s="17"/>
      <c r="V66" s="10"/>
      <c r="W66" s="13"/>
      <c r="X66" s="14" t="str">
        <f t="shared" si="40"/>
        <v/>
      </c>
      <c r="Y66" s="102" t="str">
        <f t="shared" si="17"/>
        <v/>
      </c>
      <c r="Z66" s="99">
        <f>IF(COUNTIF($E$7:E66,E66)=1,"",COUNTIF($E$7:E66,E66))</f>
        <v>0</v>
      </c>
      <c r="AA66" s="99" t="str">
        <f t="shared" si="22"/>
        <v/>
      </c>
      <c r="AC66" s="99" t="str">
        <f t="shared" si="42"/>
        <v/>
      </c>
      <c r="AD66" s="99" t="str">
        <f t="shared" si="41"/>
        <v/>
      </c>
      <c r="AE66" s="99" t="str">
        <f t="shared" si="41"/>
        <v/>
      </c>
      <c r="AF66" s="99" t="str">
        <f t="shared" si="41"/>
        <v/>
      </c>
      <c r="AG66" s="99" t="str">
        <f t="shared" si="41"/>
        <v/>
      </c>
      <c r="AH66" s="99" t="str">
        <f t="shared" si="41"/>
        <v/>
      </c>
      <c r="AI66" s="99" t="str">
        <f t="shared" si="41"/>
        <v/>
      </c>
      <c r="AJ66" s="99" t="str">
        <f t="shared" si="41"/>
        <v/>
      </c>
      <c r="AK66" s="99" t="str">
        <f t="shared" si="41"/>
        <v/>
      </c>
      <c r="AL66" s="99" t="str">
        <f t="shared" si="41"/>
        <v/>
      </c>
      <c r="AM66" s="99" t="str">
        <f t="shared" si="41"/>
        <v/>
      </c>
      <c r="AN66" s="99" t="str">
        <f t="shared" si="41"/>
        <v/>
      </c>
      <c r="AP66" s="99" t="str">
        <f t="shared" si="23"/>
        <v/>
      </c>
      <c r="AQ66" s="99" t="str">
        <f t="shared" si="24"/>
        <v/>
      </c>
      <c r="AR66" s="99" t="str">
        <f t="shared" si="25"/>
        <v/>
      </c>
      <c r="AS66" s="99" t="str">
        <f t="shared" si="26"/>
        <v/>
      </c>
      <c r="AT66" s="99" t="str">
        <f t="shared" si="27"/>
        <v/>
      </c>
      <c r="AU66" s="99" t="str">
        <f t="shared" si="28"/>
        <v/>
      </c>
      <c r="AV66" s="99" t="str">
        <f t="shared" si="29"/>
        <v/>
      </c>
      <c r="AW66" s="99" t="str">
        <f t="shared" si="30"/>
        <v/>
      </c>
      <c r="AX66" s="99" t="str">
        <f t="shared" si="31"/>
        <v/>
      </c>
      <c r="AY66" s="99" t="str">
        <f t="shared" si="32"/>
        <v/>
      </c>
      <c r="AZ66" s="99" t="str">
        <f t="shared" si="33"/>
        <v/>
      </c>
      <c r="BA66" s="99" t="str">
        <f t="shared" si="34"/>
        <v/>
      </c>
      <c r="BB66" s="103" t="str">
        <f t="shared" si="19"/>
        <v/>
      </c>
      <c r="BE66" s="99" t="str">
        <f t="shared" si="35"/>
        <v/>
      </c>
      <c r="BF66" s="99" t="str">
        <f t="shared" si="36"/>
        <v/>
      </c>
      <c r="BG66" s="99" t="str">
        <f t="shared" si="37"/>
        <v/>
      </c>
      <c r="BH66" s="99" t="str">
        <f t="shared" si="20"/>
        <v/>
      </c>
      <c r="BI66" s="99" t="str">
        <f t="shared" si="38"/>
        <v/>
      </c>
    </row>
    <row r="67" spans="1:61" s="103" customFormat="1" ht="23.15" customHeight="1">
      <c r="A67" s="3">
        <v>61</v>
      </c>
      <c r="B67" s="15"/>
      <c r="C67" s="5"/>
      <c r="D67" s="6"/>
      <c r="E67" s="4"/>
      <c r="F67" s="7"/>
      <c r="G67" s="8"/>
      <c r="H67" s="9"/>
      <c r="I67" s="9"/>
      <c r="J67" s="9"/>
      <c r="K67" s="9"/>
      <c r="L67" s="9"/>
      <c r="M67" s="9"/>
      <c r="N67" s="9"/>
      <c r="O67" s="9"/>
      <c r="P67" s="9"/>
      <c r="Q67" s="10"/>
      <c r="R67" s="11"/>
      <c r="S67" s="12"/>
      <c r="T67" s="10"/>
      <c r="U67" s="17"/>
      <c r="V67" s="10"/>
      <c r="W67" s="13"/>
      <c r="X67" s="14" t="str">
        <f t="shared" si="40"/>
        <v/>
      </c>
      <c r="Y67" s="102" t="str">
        <f t="shared" si="17"/>
        <v/>
      </c>
      <c r="Z67" s="99">
        <f>IF(COUNTIF($E$7:E67,E67)=1,"",COUNTIF($E$7:E67,E67))</f>
        <v>0</v>
      </c>
      <c r="AA67" s="99" t="str">
        <f t="shared" si="22"/>
        <v/>
      </c>
      <c r="AC67" s="99" t="str">
        <f t="shared" si="42"/>
        <v/>
      </c>
      <c r="AD67" s="99" t="str">
        <f t="shared" si="41"/>
        <v/>
      </c>
      <c r="AE67" s="99" t="str">
        <f t="shared" si="41"/>
        <v/>
      </c>
      <c r="AF67" s="99" t="str">
        <f t="shared" si="41"/>
        <v/>
      </c>
      <c r="AG67" s="99" t="str">
        <f t="shared" si="41"/>
        <v/>
      </c>
      <c r="AH67" s="99" t="str">
        <f t="shared" si="41"/>
        <v/>
      </c>
      <c r="AI67" s="99" t="str">
        <f t="shared" si="41"/>
        <v/>
      </c>
      <c r="AJ67" s="99" t="str">
        <f t="shared" si="41"/>
        <v/>
      </c>
      <c r="AK67" s="99" t="str">
        <f t="shared" si="41"/>
        <v/>
      </c>
      <c r="AL67" s="99" t="str">
        <f t="shared" si="41"/>
        <v/>
      </c>
      <c r="AM67" s="99" t="str">
        <f t="shared" si="41"/>
        <v/>
      </c>
      <c r="AN67" s="99" t="str">
        <f t="shared" si="41"/>
        <v/>
      </c>
      <c r="AP67" s="99" t="str">
        <f t="shared" si="23"/>
        <v/>
      </c>
      <c r="AQ67" s="99" t="str">
        <f t="shared" si="24"/>
        <v/>
      </c>
      <c r="AR67" s="99" t="str">
        <f t="shared" si="25"/>
        <v/>
      </c>
      <c r="AS67" s="99" t="str">
        <f t="shared" si="26"/>
        <v/>
      </c>
      <c r="AT67" s="99" t="str">
        <f t="shared" si="27"/>
        <v/>
      </c>
      <c r="AU67" s="99" t="str">
        <f t="shared" si="28"/>
        <v/>
      </c>
      <c r="AV67" s="99" t="str">
        <f t="shared" si="29"/>
        <v/>
      </c>
      <c r="AW67" s="99" t="str">
        <f t="shared" si="30"/>
        <v/>
      </c>
      <c r="AX67" s="99" t="str">
        <f t="shared" si="31"/>
        <v/>
      </c>
      <c r="AY67" s="99" t="str">
        <f t="shared" si="32"/>
        <v/>
      </c>
      <c r="AZ67" s="99" t="str">
        <f t="shared" si="33"/>
        <v/>
      </c>
      <c r="BA67" s="99" t="str">
        <f t="shared" si="34"/>
        <v/>
      </c>
      <c r="BB67" s="103" t="str">
        <f t="shared" si="19"/>
        <v/>
      </c>
      <c r="BE67" s="99" t="str">
        <f t="shared" si="35"/>
        <v/>
      </c>
      <c r="BF67" s="99" t="str">
        <f t="shared" si="36"/>
        <v/>
      </c>
      <c r="BG67" s="99" t="str">
        <f t="shared" si="37"/>
        <v/>
      </c>
      <c r="BH67" s="99" t="str">
        <f t="shared" si="20"/>
        <v/>
      </c>
      <c r="BI67" s="99" t="str">
        <f t="shared" si="38"/>
        <v/>
      </c>
    </row>
    <row r="68" spans="1:61" s="103" customFormat="1" ht="23.15" customHeight="1">
      <c r="A68" s="3">
        <v>62</v>
      </c>
      <c r="B68" s="15"/>
      <c r="C68" s="5"/>
      <c r="D68" s="6"/>
      <c r="E68" s="4"/>
      <c r="F68" s="7"/>
      <c r="G68" s="8"/>
      <c r="H68" s="9"/>
      <c r="I68" s="9"/>
      <c r="J68" s="9"/>
      <c r="K68" s="9"/>
      <c r="L68" s="9"/>
      <c r="M68" s="9"/>
      <c r="N68" s="9"/>
      <c r="O68" s="9"/>
      <c r="P68" s="9"/>
      <c r="Q68" s="10"/>
      <c r="R68" s="11"/>
      <c r="S68" s="12"/>
      <c r="T68" s="10"/>
      <c r="U68" s="17"/>
      <c r="V68" s="10"/>
      <c r="W68" s="13"/>
      <c r="X68" s="14" t="str">
        <f t="shared" si="40"/>
        <v/>
      </c>
      <c r="Y68" s="102" t="str">
        <f t="shared" si="17"/>
        <v/>
      </c>
      <c r="Z68" s="99">
        <f>IF(COUNTIF($E$7:E68,E68)=1,"",COUNTIF($E$7:E68,E68))</f>
        <v>0</v>
      </c>
      <c r="AA68" s="99" t="str">
        <f t="shared" si="22"/>
        <v/>
      </c>
      <c r="AC68" s="99" t="str">
        <f t="shared" si="42"/>
        <v/>
      </c>
      <c r="AD68" s="99" t="str">
        <f t="shared" si="41"/>
        <v/>
      </c>
      <c r="AE68" s="99" t="str">
        <f t="shared" si="41"/>
        <v/>
      </c>
      <c r="AF68" s="99" t="str">
        <f t="shared" si="41"/>
        <v/>
      </c>
      <c r="AG68" s="99" t="str">
        <f t="shared" si="41"/>
        <v/>
      </c>
      <c r="AH68" s="99" t="str">
        <f t="shared" si="41"/>
        <v/>
      </c>
      <c r="AI68" s="99" t="str">
        <f t="shared" si="41"/>
        <v/>
      </c>
      <c r="AJ68" s="99" t="str">
        <f t="shared" si="41"/>
        <v/>
      </c>
      <c r="AK68" s="99" t="str">
        <f t="shared" si="41"/>
        <v/>
      </c>
      <c r="AL68" s="99" t="str">
        <f t="shared" si="41"/>
        <v/>
      </c>
      <c r="AM68" s="99" t="str">
        <f t="shared" si="41"/>
        <v/>
      </c>
      <c r="AN68" s="99" t="str">
        <f t="shared" si="41"/>
        <v/>
      </c>
      <c r="AP68" s="99" t="str">
        <f t="shared" si="23"/>
        <v/>
      </c>
      <c r="AQ68" s="99" t="str">
        <f t="shared" si="24"/>
        <v/>
      </c>
      <c r="AR68" s="99" t="str">
        <f t="shared" si="25"/>
        <v/>
      </c>
      <c r="AS68" s="99" t="str">
        <f t="shared" si="26"/>
        <v/>
      </c>
      <c r="AT68" s="99" t="str">
        <f t="shared" si="27"/>
        <v/>
      </c>
      <c r="AU68" s="99" t="str">
        <f t="shared" si="28"/>
        <v/>
      </c>
      <c r="AV68" s="99" t="str">
        <f t="shared" si="29"/>
        <v/>
      </c>
      <c r="AW68" s="99" t="str">
        <f t="shared" si="30"/>
        <v/>
      </c>
      <c r="AX68" s="99" t="str">
        <f t="shared" si="31"/>
        <v/>
      </c>
      <c r="AY68" s="99" t="str">
        <f t="shared" si="32"/>
        <v/>
      </c>
      <c r="AZ68" s="99" t="str">
        <f t="shared" si="33"/>
        <v/>
      </c>
      <c r="BA68" s="99" t="str">
        <f t="shared" si="34"/>
        <v/>
      </c>
      <c r="BB68" s="103" t="str">
        <f t="shared" si="19"/>
        <v/>
      </c>
      <c r="BE68" s="99" t="str">
        <f t="shared" si="35"/>
        <v/>
      </c>
      <c r="BF68" s="99" t="str">
        <f t="shared" si="36"/>
        <v/>
      </c>
      <c r="BG68" s="99" t="str">
        <f t="shared" si="37"/>
        <v/>
      </c>
      <c r="BH68" s="99" t="str">
        <f t="shared" si="20"/>
        <v/>
      </c>
      <c r="BI68" s="99" t="str">
        <f t="shared" si="38"/>
        <v/>
      </c>
    </row>
    <row r="69" spans="1:61" s="103" customFormat="1" ht="23.15" customHeight="1">
      <c r="A69" s="3">
        <v>63</v>
      </c>
      <c r="B69" s="15"/>
      <c r="C69" s="5"/>
      <c r="D69" s="6"/>
      <c r="E69" s="4"/>
      <c r="F69" s="7"/>
      <c r="G69" s="8"/>
      <c r="H69" s="9"/>
      <c r="I69" s="9"/>
      <c r="J69" s="9"/>
      <c r="K69" s="9"/>
      <c r="L69" s="9"/>
      <c r="M69" s="9"/>
      <c r="N69" s="9"/>
      <c r="O69" s="9"/>
      <c r="P69" s="9"/>
      <c r="Q69" s="10"/>
      <c r="R69" s="11"/>
      <c r="S69" s="12"/>
      <c r="T69" s="10"/>
      <c r="U69" s="17"/>
      <c r="V69" s="10"/>
      <c r="W69" s="13"/>
      <c r="X69" s="14" t="str">
        <f t="shared" si="40"/>
        <v/>
      </c>
      <c r="Y69" s="102" t="str">
        <f t="shared" si="17"/>
        <v/>
      </c>
      <c r="Z69" s="99">
        <f>IF(COUNTIF($E$7:E69,E69)=1,"",COUNTIF($E$7:E69,E69))</f>
        <v>0</v>
      </c>
      <c r="AA69" s="99" t="str">
        <f t="shared" si="22"/>
        <v/>
      </c>
      <c r="AC69" s="99" t="str">
        <f t="shared" si="42"/>
        <v/>
      </c>
      <c r="AD69" s="99" t="str">
        <f t="shared" si="41"/>
        <v/>
      </c>
      <c r="AE69" s="99" t="str">
        <f t="shared" si="41"/>
        <v/>
      </c>
      <c r="AF69" s="99" t="str">
        <f t="shared" si="41"/>
        <v/>
      </c>
      <c r="AG69" s="99" t="str">
        <f t="shared" si="41"/>
        <v/>
      </c>
      <c r="AH69" s="99" t="str">
        <f t="shared" si="41"/>
        <v/>
      </c>
      <c r="AI69" s="99" t="str">
        <f t="shared" si="41"/>
        <v/>
      </c>
      <c r="AJ69" s="99" t="str">
        <f t="shared" si="41"/>
        <v/>
      </c>
      <c r="AK69" s="99" t="str">
        <f t="shared" si="41"/>
        <v/>
      </c>
      <c r="AL69" s="99" t="str">
        <f t="shared" si="41"/>
        <v/>
      </c>
      <c r="AM69" s="99" t="str">
        <f t="shared" si="41"/>
        <v/>
      </c>
      <c r="AN69" s="99" t="str">
        <f t="shared" si="41"/>
        <v/>
      </c>
      <c r="AP69" s="99" t="str">
        <f t="shared" si="23"/>
        <v/>
      </c>
      <c r="AQ69" s="99" t="str">
        <f t="shared" si="24"/>
        <v/>
      </c>
      <c r="AR69" s="99" t="str">
        <f t="shared" si="25"/>
        <v/>
      </c>
      <c r="AS69" s="99" t="str">
        <f t="shared" si="26"/>
        <v/>
      </c>
      <c r="AT69" s="99" t="str">
        <f t="shared" si="27"/>
        <v/>
      </c>
      <c r="AU69" s="99" t="str">
        <f t="shared" si="28"/>
        <v/>
      </c>
      <c r="AV69" s="99" t="str">
        <f t="shared" si="29"/>
        <v/>
      </c>
      <c r="AW69" s="99" t="str">
        <f t="shared" si="30"/>
        <v/>
      </c>
      <c r="AX69" s="99" t="str">
        <f t="shared" si="31"/>
        <v/>
      </c>
      <c r="AY69" s="99" t="str">
        <f t="shared" si="32"/>
        <v/>
      </c>
      <c r="AZ69" s="99" t="str">
        <f t="shared" si="33"/>
        <v/>
      </c>
      <c r="BA69" s="99" t="str">
        <f t="shared" si="34"/>
        <v/>
      </c>
      <c r="BB69" s="103" t="str">
        <f t="shared" si="19"/>
        <v/>
      </c>
      <c r="BE69" s="99" t="str">
        <f t="shared" si="35"/>
        <v/>
      </c>
      <c r="BF69" s="99" t="str">
        <f t="shared" si="36"/>
        <v/>
      </c>
      <c r="BG69" s="99" t="str">
        <f t="shared" si="37"/>
        <v/>
      </c>
      <c r="BH69" s="99" t="str">
        <f t="shared" si="20"/>
        <v/>
      </c>
      <c r="BI69" s="99" t="str">
        <f t="shared" si="38"/>
        <v/>
      </c>
    </row>
    <row r="70" spans="1:61" s="103" customFormat="1" ht="23.15" customHeight="1">
      <c r="A70" s="3">
        <v>64</v>
      </c>
      <c r="B70" s="15"/>
      <c r="C70" s="5"/>
      <c r="D70" s="6"/>
      <c r="E70" s="4"/>
      <c r="F70" s="7"/>
      <c r="G70" s="8"/>
      <c r="H70" s="9"/>
      <c r="I70" s="9"/>
      <c r="J70" s="9"/>
      <c r="K70" s="9"/>
      <c r="L70" s="9"/>
      <c r="M70" s="9"/>
      <c r="N70" s="9"/>
      <c r="O70" s="9"/>
      <c r="P70" s="9"/>
      <c r="Q70" s="10"/>
      <c r="R70" s="11"/>
      <c r="S70" s="12"/>
      <c r="T70" s="10"/>
      <c r="U70" s="17"/>
      <c r="V70" s="10"/>
      <c r="W70" s="13"/>
      <c r="X70" s="14" t="str">
        <f t="shared" si="40"/>
        <v/>
      </c>
      <c r="Y70" s="102" t="str">
        <f t="shared" si="17"/>
        <v/>
      </c>
      <c r="Z70" s="99">
        <f>IF(COUNTIF($E$7:E70,E70)=1,"",COUNTIF($E$7:E70,E70))</f>
        <v>0</v>
      </c>
      <c r="AA70" s="99" t="str">
        <f t="shared" si="22"/>
        <v/>
      </c>
      <c r="AC70" s="99" t="str">
        <f t="shared" si="42"/>
        <v/>
      </c>
      <c r="AD70" s="99" t="str">
        <f t="shared" si="41"/>
        <v/>
      </c>
      <c r="AE70" s="99" t="str">
        <f t="shared" si="41"/>
        <v/>
      </c>
      <c r="AF70" s="99" t="str">
        <f t="shared" si="41"/>
        <v/>
      </c>
      <c r="AG70" s="99" t="str">
        <f t="shared" si="41"/>
        <v/>
      </c>
      <c r="AH70" s="99" t="str">
        <f t="shared" si="41"/>
        <v/>
      </c>
      <c r="AI70" s="99" t="str">
        <f t="shared" si="41"/>
        <v/>
      </c>
      <c r="AJ70" s="99" t="str">
        <f t="shared" si="41"/>
        <v/>
      </c>
      <c r="AK70" s="99" t="str">
        <f t="shared" si="41"/>
        <v/>
      </c>
      <c r="AL70" s="99" t="str">
        <f t="shared" si="41"/>
        <v/>
      </c>
      <c r="AM70" s="99" t="str">
        <f t="shared" si="41"/>
        <v/>
      </c>
      <c r="AN70" s="99" t="str">
        <f t="shared" si="41"/>
        <v/>
      </c>
      <c r="AP70" s="99" t="str">
        <f t="shared" si="23"/>
        <v/>
      </c>
      <c r="AQ70" s="99" t="str">
        <f t="shared" si="24"/>
        <v/>
      </c>
      <c r="AR70" s="99" t="str">
        <f t="shared" si="25"/>
        <v/>
      </c>
      <c r="AS70" s="99" t="str">
        <f t="shared" si="26"/>
        <v/>
      </c>
      <c r="AT70" s="99" t="str">
        <f t="shared" si="27"/>
        <v/>
      </c>
      <c r="AU70" s="99" t="str">
        <f t="shared" si="28"/>
        <v/>
      </c>
      <c r="AV70" s="99" t="str">
        <f t="shared" si="29"/>
        <v/>
      </c>
      <c r="AW70" s="99" t="str">
        <f t="shared" si="30"/>
        <v/>
      </c>
      <c r="AX70" s="99" t="str">
        <f t="shared" si="31"/>
        <v/>
      </c>
      <c r="AY70" s="99" t="str">
        <f t="shared" si="32"/>
        <v/>
      </c>
      <c r="AZ70" s="99" t="str">
        <f t="shared" si="33"/>
        <v/>
      </c>
      <c r="BA70" s="99" t="str">
        <f t="shared" si="34"/>
        <v/>
      </c>
      <c r="BB70" s="103" t="str">
        <f t="shared" si="19"/>
        <v/>
      </c>
      <c r="BE70" s="99" t="str">
        <f t="shared" si="35"/>
        <v/>
      </c>
      <c r="BF70" s="99" t="str">
        <f t="shared" si="36"/>
        <v/>
      </c>
      <c r="BG70" s="99" t="str">
        <f t="shared" si="37"/>
        <v/>
      </c>
      <c r="BH70" s="99" t="str">
        <f t="shared" si="20"/>
        <v/>
      </c>
      <c r="BI70" s="99" t="str">
        <f t="shared" si="38"/>
        <v/>
      </c>
    </row>
    <row r="71" spans="1:61" s="103" customFormat="1" ht="23.15" customHeight="1">
      <c r="A71" s="3">
        <v>65</v>
      </c>
      <c r="B71" s="15"/>
      <c r="C71" s="5"/>
      <c r="D71" s="6"/>
      <c r="E71" s="4"/>
      <c r="F71" s="7"/>
      <c r="G71" s="8"/>
      <c r="H71" s="9"/>
      <c r="I71" s="9"/>
      <c r="J71" s="9"/>
      <c r="K71" s="9"/>
      <c r="L71" s="9"/>
      <c r="M71" s="9"/>
      <c r="N71" s="9"/>
      <c r="O71" s="9"/>
      <c r="P71" s="9"/>
      <c r="Q71" s="10"/>
      <c r="R71" s="11"/>
      <c r="S71" s="12"/>
      <c r="T71" s="10"/>
      <c r="U71" s="17"/>
      <c r="V71" s="10"/>
      <c r="W71" s="13"/>
      <c r="X71" s="14" t="str">
        <f t="shared" si="40"/>
        <v/>
      </c>
      <c r="Y71" s="102" t="str">
        <f t="shared" si="17"/>
        <v/>
      </c>
      <c r="Z71" s="99">
        <f>IF(COUNTIF($E$7:E71,E71)=1,"",COUNTIF($E$7:E71,E71))</f>
        <v>0</v>
      </c>
      <c r="AA71" s="99" t="str">
        <f t="shared" ref="AA71:AA107" si="43">IFERROR(IF(OR(W71=$S$119,W71=$S$122),W71,INDEX($B$144:$C$149,MATCH(BB71,$B$144:$B$149,0),2)),"")</f>
        <v/>
      </c>
      <c r="AC71" s="99" t="str">
        <f t="shared" si="42"/>
        <v/>
      </c>
      <c r="AD71" s="99" t="str">
        <f t="shared" si="41"/>
        <v/>
      </c>
      <c r="AE71" s="99" t="str">
        <f t="shared" si="41"/>
        <v/>
      </c>
      <c r="AF71" s="99" t="str">
        <f t="shared" si="41"/>
        <v/>
      </c>
      <c r="AG71" s="99" t="str">
        <f t="shared" si="41"/>
        <v/>
      </c>
      <c r="AH71" s="99" t="str">
        <f t="shared" si="41"/>
        <v/>
      </c>
      <c r="AI71" s="99" t="str">
        <f t="shared" si="41"/>
        <v/>
      </c>
      <c r="AJ71" s="99" t="str">
        <f t="shared" si="41"/>
        <v/>
      </c>
      <c r="AK71" s="99" t="str">
        <f t="shared" si="41"/>
        <v/>
      </c>
      <c r="AL71" s="99" t="str">
        <f t="shared" si="41"/>
        <v/>
      </c>
      <c r="AM71" s="99" t="str">
        <f t="shared" si="41"/>
        <v/>
      </c>
      <c r="AN71" s="99" t="str">
        <f t="shared" si="41"/>
        <v/>
      </c>
      <c r="AP71" s="99" t="str">
        <f t="shared" ref="AP71:AP106" si="44">IF(AND($H71="有",AC71="○"),"A",IF(AC71="●","B",IF(AND(AC71="○",OR($L71="有",$M71="有",$N71="有")),"C",IF(AND(AC71="○",$O71="有"),"D",IF(OR(AND(AC71="○",$P71="有"),AND(AC71="○",$W71=$S$129,$O71="")),"E",IF(AND(AC71="○",OR($W71=$S$132,$W71=$S$133,$W71=$S$131,$W71=$S$139)),"F",""))))))</f>
        <v/>
      </c>
      <c r="AQ71" s="99" t="str">
        <f t="shared" ref="AQ71:AQ106" si="45">IF(AND($H71="有",AD71="○"),"A",IF(AD71="●","B",IF(AND(AD71="○",OR($L71="有",$M71="有",$N71="有")),"C",IF(AND(AD71="○",$O71="有"),"D",IF(OR(AND(AD71="○",$P71="有"),AND(AD71="○",$W71=$S$129,$O71="")),"E",IF(AND(AD71="○",OR($W71=$S$132,$W71=$S$133,$W71=$S$131,$W71=$S$139)),"F",""))))))</f>
        <v/>
      </c>
      <c r="AR71" s="99" t="str">
        <f t="shared" ref="AR71:AR106" si="46">IF(AND($H71="有",AE71="○"),"A",IF(AE71="●","B",IF(AND(AE71="○",OR($L71="有",$M71="有",$N71="有")),"C",IF(AND(AE71="○",$O71="有"),"D",IF(OR(AND(AE71="○",$P71="有"),AND(AE71="○",$W71=$S$129,$O71="")),"E",IF(AND(AE71="○",OR($W71=$S$132,$W71=$S$133,$W71=$S$131,$W71=$S$139)),"F",""))))))</f>
        <v/>
      </c>
      <c r="AS71" s="99" t="str">
        <f t="shared" ref="AS71:AS106" si="47">IF(AND($H71="有",AF71="○"),"A",IF(AF71="●","B",IF(AND(AF71="○",OR($L71="有",$M71="有",$N71="有")),"C",IF(AND(AF71="○",$O71="有"),"D",IF(OR(AND(AF71="○",$P71="有"),AND(AF71="○",$W71=$S$129,$O71="")),"E",IF(AND(AF71="○",OR($W71=$S$132,$W71=$S$133,$W71=$S$131,$W71=$S$139)),"F",""))))))</f>
        <v/>
      </c>
      <c r="AT71" s="99" t="str">
        <f t="shared" ref="AT71:AT106" si="48">IF(AND($H71="有",AG71="○"),"A",IF(AG71="●","B",IF(AND(AG71="○",OR($L71="有",$M71="有",$N71="有")),"C",IF(AND(AG71="○",$O71="有"),"D",IF(OR(AND(AG71="○",$P71="有"),AND(AG71="○",$W71=$S$129,$O71="")),"E",IF(AND(AG71="○",OR($W71=$S$132,$W71=$S$133,$W71=$S$131,$W71=$S$139)),"F",""))))))</f>
        <v/>
      </c>
      <c r="AU71" s="99" t="str">
        <f t="shared" ref="AU71:AU106" si="49">IF(AND($H71="有",AH71="○"),"A",IF(AH71="●","B",IF(AND(AH71="○",OR($L71="有",$M71="有",$N71="有")),"C",IF(AND(AH71="○",$O71="有"),"D",IF(OR(AND(AH71="○",$P71="有"),AND(AH71="○",$W71=$S$129,$O71="")),"E",IF(AND(AH71="○",OR($W71=$S$132,$W71=$S$133,$W71=$S$131,$W71=$S$139)),"F",""))))))</f>
        <v/>
      </c>
      <c r="AV71" s="99" t="str">
        <f t="shared" ref="AV71:AV106" si="50">IF(AND($H71="有",AI71="○"),"A",IF(AI71="●","B",IF(AND(AI71="○",OR($L71="有",$M71="有",$N71="有")),"C",IF(AND(AI71="○",$O71="有"),"D",IF(OR(AND(AI71="○",$P71="有"),AND(AI71="○",$W71=$S$129,$O71="")),"E",IF(AND(AI71="○",OR($W71=$S$132,$W71=$S$133,$W71=$S$131,$W71=$S$139)),"F",""))))))</f>
        <v/>
      </c>
      <c r="AW71" s="99" t="str">
        <f t="shared" ref="AW71:AW106" si="51">IF(AND($H71="有",AJ71="○"),"A",IF(AJ71="●","B",IF(AND(AJ71="○",OR($L71="有",$M71="有",$N71="有")),"C",IF(AND(AJ71="○",$O71="有"),"D",IF(OR(AND(AJ71="○",$P71="有"),AND(AJ71="○",$W71=$S$129,$O71="")),"E",IF(AND(AJ71="○",OR($W71=$S$132,$W71=$S$133,$W71=$S$131,$W71=$S$139)),"F",""))))))</f>
        <v/>
      </c>
      <c r="AX71" s="99" t="str">
        <f t="shared" ref="AX71:AX106" si="52">IF(AND($H71="有",AK71="○"),"A",IF(AK71="●","B",IF(AND(AK71="○",OR($L71="有",$M71="有",$N71="有")),"C",IF(AND(AK71="○",$O71="有"),"D",IF(OR(AND(AK71="○",$P71="有"),AND(AK71="○",$W71=$S$129,$O71="")),"E",IF(AND(AK71="○",OR($W71=$S$132,$W71=$S$133,$W71=$S$131,$W71=$S$139)),"F",""))))))</f>
        <v/>
      </c>
      <c r="AY71" s="99" t="str">
        <f t="shared" ref="AY71:AY106" si="53">IF(AND($H71="有",AL71="○"),"A",IF(AL71="●","B",IF(AND(AL71="○",OR($L71="有",$M71="有",$N71="有")),"C",IF(AND(AL71="○",$O71="有"),"D",IF(OR(AND(AL71="○",$P71="有"),AND(AL71="○",$W71=$S$129,$O71="")),"E",IF(AND(AL71="○",OR($W71=$S$132,$W71=$S$133,$W71=$S$131,$W71=$S$139)),"F",""))))))</f>
        <v/>
      </c>
      <c r="AZ71" s="99" t="str">
        <f t="shared" ref="AZ71:AZ106" si="54">IF(AND($H71="有",AM71="○"),"A",IF(AM71="●","B",IF(AND(AM71="○",OR($L71="有",$M71="有",$N71="有")),"C",IF(AND(AM71="○",$O71="有"),"D",IF(OR(AND(AM71="○",$P71="有"),AND(AM71="○",$W71=$S$129,$O71="")),"E",IF(AND(AM71="○",OR($W71=$S$132,$W71=$S$133,$W71=$S$131,$W71=$S$139)),"F",""))))))</f>
        <v/>
      </c>
      <c r="BA71" s="99" t="str">
        <f t="shared" ref="BA71:BA106" si="55">IF(AND($H71="有",AN71="○"),"A",IF(AN71="●","B",IF(AND(AN71="○",OR($L71="有",$M71="有",$N71="有")),"C",IF(AND(AN71="○",$O71="有"),"D",IF(OR(AND(AN71="○",$P71="有"),AND(AN71="○",$W71=$S$129,$O71="")),"E",IF(AND(AN71="○",OR($W71=$S$132,$W71=$S$133,$W71=$S$131,$W71=$S$139)),"F",""))))))</f>
        <v/>
      </c>
      <c r="BB71" s="103" t="str">
        <f t="shared" si="19"/>
        <v/>
      </c>
      <c r="BE71" s="99" t="str">
        <f t="shared" ref="BE71:BE106" si="56">IF(B71="園長","園長",IF(C71="正","正規職員",IF(AND(C71="パート",D71="常"),"常勤的非常勤",IF(AND(C71="パート",D71="非"),"短時間非常勤",IF(AND(C71="嘱託等",D71="常"),"嘱託常勤",IF(AND(C71="嘱託等",D71="非"),"嘱託非常勤",""))))))</f>
        <v/>
      </c>
      <c r="BF71" s="99" t="str">
        <f t="shared" ref="BF71:BF106" si="57">IF(AND(OR(I71="有",J71="有",K71="有"),R71&lt;&gt;""),"○","")</f>
        <v/>
      </c>
      <c r="BG71" s="99" t="str">
        <f t="shared" ref="BG71:BG102" si="58">IF(AND(BF71="",R71&lt;&gt;""),"○","")</f>
        <v/>
      </c>
      <c r="BH71" s="99" t="str">
        <f t="shared" si="20"/>
        <v/>
      </c>
      <c r="BI71" s="99" t="str">
        <f t="shared" ref="BI71:BI106" si="59">IF($S71="","",IF($R71&lt;&gt;"",IF($S71&gt;=$BI$5,"○",""),""))</f>
        <v/>
      </c>
    </row>
    <row r="72" spans="1:61" s="103" customFormat="1" ht="23.15" customHeight="1">
      <c r="A72" s="3">
        <v>66</v>
      </c>
      <c r="B72" s="15"/>
      <c r="C72" s="5"/>
      <c r="D72" s="6"/>
      <c r="E72" s="4"/>
      <c r="F72" s="7"/>
      <c r="G72" s="8"/>
      <c r="H72" s="9"/>
      <c r="I72" s="9"/>
      <c r="J72" s="9"/>
      <c r="K72" s="9"/>
      <c r="L72" s="9"/>
      <c r="M72" s="9"/>
      <c r="N72" s="9"/>
      <c r="O72" s="9"/>
      <c r="P72" s="9"/>
      <c r="Q72" s="10"/>
      <c r="R72" s="11"/>
      <c r="S72" s="12"/>
      <c r="T72" s="10"/>
      <c r="U72" s="17"/>
      <c r="V72" s="10"/>
      <c r="W72" s="13"/>
      <c r="X72" s="14" t="str">
        <f t="shared" ref="X72:X106" si="60">IF(W72=$S$138,"→内容を記載してください","")</f>
        <v/>
      </c>
      <c r="Y72" s="102" t="str">
        <f t="shared" ref="Y72:Y106" si="61">IF(E72="","",CONCATENATE(E72,Z72," (",AA72,")"))</f>
        <v/>
      </c>
      <c r="Z72" s="99">
        <f>IF(COUNTIF($E$7:E72,E72)=1,"",COUNTIF($E$7:E72,E72))</f>
        <v>0</v>
      </c>
      <c r="AA72" s="99" t="str">
        <f t="shared" si="43"/>
        <v/>
      </c>
      <c r="AC72" s="99" t="str">
        <f t="shared" si="42"/>
        <v/>
      </c>
      <c r="AD72" s="99" t="str">
        <f t="shared" si="41"/>
        <v/>
      </c>
      <c r="AE72" s="99" t="str">
        <f t="shared" si="41"/>
        <v/>
      </c>
      <c r="AF72" s="99" t="str">
        <f t="shared" si="41"/>
        <v/>
      </c>
      <c r="AG72" s="99" t="str">
        <f t="shared" si="41"/>
        <v/>
      </c>
      <c r="AH72" s="99" t="str">
        <f t="shared" si="41"/>
        <v/>
      </c>
      <c r="AI72" s="99" t="str">
        <f t="shared" si="41"/>
        <v/>
      </c>
      <c r="AJ72" s="99" t="str">
        <f t="shared" si="41"/>
        <v/>
      </c>
      <c r="AK72" s="99" t="str">
        <f t="shared" si="41"/>
        <v/>
      </c>
      <c r="AL72" s="99" t="str">
        <f t="shared" si="41"/>
        <v/>
      </c>
      <c r="AM72" s="99" t="str">
        <f t="shared" si="41"/>
        <v/>
      </c>
      <c r="AN72" s="99" t="str">
        <f t="shared" si="41"/>
        <v/>
      </c>
      <c r="AP72" s="99" t="str">
        <f t="shared" si="44"/>
        <v/>
      </c>
      <c r="AQ72" s="99" t="str">
        <f t="shared" si="45"/>
        <v/>
      </c>
      <c r="AR72" s="99" t="str">
        <f t="shared" si="46"/>
        <v/>
      </c>
      <c r="AS72" s="99" t="str">
        <f t="shared" si="47"/>
        <v/>
      </c>
      <c r="AT72" s="99" t="str">
        <f t="shared" si="48"/>
        <v/>
      </c>
      <c r="AU72" s="99" t="str">
        <f t="shared" si="49"/>
        <v/>
      </c>
      <c r="AV72" s="99" t="str">
        <f t="shared" si="50"/>
        <v/>
      </c>
      <c r="AW72" s="99" t="str">
        <f t="shared" si="51"/>
        <v/>
      </c>
      <c r="AX72" s="99" t="str">
        <f t="shared" si="52"/>
        <v/>
      </c>
      <c r="AY72" s="99" t="str">
        <f t="shared" si="53"/>
        <v/>
      </c>
      <c r="AZ72" s="99" t="str">
        <f t="shared" si="54"/>
        <v/>
      </c>
      <c r="BA72" s="99" t="str">
        <f t="shared" si="55"/>
        <v/>
      </c>
      <c r="BB72" s="103" t="str">
        <f t="shared" ref="BB72:BB106" si="62">IF(BA72="",IF(AZ72="",IF(AY72="",IF(AX72="",IF(AW72="",IF(AV72="",IF(AU72="",IF(AT72="",IF(AS72="",IF(AR72="",IF(AQ72="",AP72,AQ72),AR72),AS72),AT72),AU72),AV72),AW72),AX72),AY72),AZ72),BA72)</f>
        <v/>
      </c>
      <c r="BE72" s="99" t="str">
        <f t="shared" si="56"/>
        <v/>
      </c>
      <c r="BF72" s="99" t="str">
        <f t="shared" si="57"/>
        <v/>
      </c>
      <c r="BG72" s="99" t="str">
        <f t="shared" si="58"/>
        <v/>
      </c>
      <c r="BH72" s="99" t="str">
        <f t="shared" ref="BH72:BH106" si="63">IF(OR(BF72="○",BG72="○"),"○","")</f>
        <v/>
      </c>
      <c r="BI72" s="99" t="str">
        <f t="shared" si="59"/>
        <v/>
      </c>
    </row>
    <row r="73" spans="1:61" s="103" customFormat="1" ht="23.15" customHeight="1">
      <c r="A73" s="3">
        <v>67</v>
      </c>
      <c r="B73" s="15"/>
      <c r="C73" s="5"/>
      <c r="D73" s="6"/>
      <c r="E73" s="4"/>
      <c r="F73" s="7"/>
      <c r="G73" s="8"/>
      <c r="H73" s="9"/>
      <c r="I73" s="9"/>
      <c r="J73" s="9"/>
      <c r="K73" s="9"/>
      <c r="L73" s="9"/>
      <c r="M73" s="9"/>
      <c r="N73" s="9"/>
      <c r="O73" s="9"/>
      <c r="P73" s="9"/>
      <c r="Q73" s="10"/>
      <c r="R73" s="11"/>
      <c r="S73" s="12"/>
      <c r="T73" s="10"/>
      <c r="U73" s="17"/>
      <c r="V73" s="10"/>
      <c r="W73" s="13"/>
      <c r="X73" s="14" t="str">
        <f t="shared" si="60"/>
        <v/>
      </c>
      <c r="Y73" s="102" t="str">
        <f t="shared" si="61"/>
        <v/>
      </c>
      <c r="Z73" s="99">
        <f>IF(COUNTIF($E$7:E73,E73)=1,"",COUNTIF($E$7:E73,E73))</f>
        <v>0</v>
      </c>
      <c r="AA73" s="99" t="str">
        <f t="shared" si="43"/>
        <v/>
      </c>
      <c r="AC73" s="99" t="str">
        <f t="shared" si="42"/>
        <v/>
      </c>
      <c r="AD73" s="99" t="str">
        <f t="shared" si="41"/>
        <v/>
      </c>
      <c r="AE73" s="99" t="str">
        <f t="shared" si="41"/>
        <v/>
      </c>
      <c r="AF73" s="99" t="str">
        <f t="shared" si="41"/>
        <v/>
      </c>
      <c r="AG73" s="99" t="str">
        <f t="shared" si="41"/>
        <v/>
      </c>
      <c r="AH73" s="99" t="str">
        <f t="shared" si="41"/>
        <v/>
      </c>
      <c r="AI73" s="99" t="str">
        <f t="shared" si="41"/>
        <v/>
      </c>
      <c r="AJ73" s="99" t="str">
        <f t="shared" si="41"/>
        <v/>
      </c>
      <c r="AK73" s="99" t="str">
        <f t="shared" si="41"/>
        <v/>
      </c>
      <c r="AL73" s="99" t="str">
        <f t="shared" si="41"/>
        <v/>
      </c>
      <c r="AM73" s="99" t="str">
        <f t="shared" si="41"/>
        <v/>
      </c>
      <c r="AN73" s="99" t="str">
        <f t="shared" si="41"/>
        <v/>
      </c>
      <c r="AP73" s="99" t="str">
        <f t="shared" si="44"/>
        <v/>
      </c>
      <c r="AQ73" s="99" t="str">
        <f t="shared" si="45"/>
        <v/>
      </c>
      <c r="AR73" s="99" t="str">
        <f t="shared" si="46"/>
        <v/>
      </c>
      <c r="AS73" s="99" t="str">
        <f t="shared" si="47"/>
        <v/>
      </c>
      <c r="AT73" s="99" t="str">
        <f t="shared" si="48"/>
        <v/>
      </c>
      <c r="AU73" s="99" t="str">
        <f t="shared" si="49"/>
        <v/>
      </c>
      <c r="AV73" s="99" t="str">
        <f t="shared" si="50"/>
        <v/>
      </c>
      <c r="AW73" s="99" t="str">
        <f t="shared" si="51"/>
        <v/>
      </c>
      <c r="AX73" s="99" t="str">
        <f t="shared" si="52"/>
        <v/>
      </c>
      <c r="AY73" s="99" t="str">
        <f t="shared" si="53"/>
        <v/>
      </c>
      <c r="AZ73" s="99" t="str">
        <f t="shared" si="54"/>
        <v/>
      </c>
      <c r="BA73" s="99" t="str">
        <f t="shared" si="55"/>
        <v/>
      </c>
      <c r="BB73" s="103" t="str">
        <f t="shared" si="62"/>
        <v/>
      </c>
      <c r="BE73" s="99" t="str">
        <f t="shared" si="56"/>
        <v/>
      </c>
      <c r="BF73" s="99" t="str">
        <f t="shared" si="57"/>
        <v/>
      </c>
      <c r="BG73" s="99" t="str">
        <f t="shared" si="58"/>
        <v/>
      </c>
      <c r="BH73" s="99" t="str">
        <f t="shared" si="63"/>
        <v/>
      </c>
      <c r="BI73" s="99" t="str">
        <f t="shared" si="59"/>
        <v/>
      </c>
    </row>
    <row r="74" spans="1:61" s="103" customFormat="1" ht="23.15" customHeight="1">
      <c r="A74" s="3">
        <v>68</v>
      </c>
      <c r="B74" s="15"/>
      <c r="C74" s="5"/>
      <c r="D74" s="6"/>
      <c r="E74" s="4"/>
      <c r="F74" s="7"/>
      <c r="G74" s="8"/>
      <c r="H74" s="9"/>
      <c r="I74" s="9"/>
      <c r="J74" s="9"/>
      <c r="K74" s="9"/>
      <c r="L74" s="9"/>
      <c r="M74" s="9"/>
      <c r="N74" s="9"/>
      <c r="O74" s="9"/>
      <c r="P74" s="9"/>
      <c r="Q74" s="10"/>
      <c r="R74" s="11"/>
      <c r="S74" s="12"/>
      <c r="T74" s="10"/>
      <c r="U74" s="17"/>
      <c r="V74" s="10"/>
      <c r="W74" s="13"/>
      <c r="X74" s="14" t="str">
        <f t="shared" si="60"/>
        <v/>
      </c>
      <c r="Y74" s="102" t="str">
        <f t="shared" si="61"/>
        <v/>
      </c>
      <c r="Z74" s="99">
        <f>IF(COUNTIF($E$7:E74,E74)=1,"",COUNTIF($E$7:E74,E74))</f>
        <v>0</v>
      </c>
      <c r="AA74" s="99" t="str">
        <f t="shared" si="43"/>
        <v/>
      </c>
      <c r="AC74" s="99" t="str">
        <f t="shared" si="42"/>
        <v/>
      </c>
      <c r="AD74" s="99" t="str">
        <f t="shared" si="41"/>
        <v/>
      </c>
      <c r="AE74" s="99" t="str">
        <f t="shared" si="41"/>
        <v/>
      </c>
      <c r="AF74" s="99" t="str">
        <f t="shared" si="41"/>
        <v/>
      </c>
      <c r="AG74" s="99" t="str">
        <f t="shared" si="41"/>
        <v/>
      </c>
      <c r="AH74" s="99" t="str">
        <f t="shared" si="41"/>
        <v/>
      </c>
      <c r="AI74" s="99" t="str">
        <f t="shared" si="41"/>
        <v/>
      </c>
      <c r="AJ74" s="99" t="str">
        <f t="shared" si="41"/>
        <v/>
      </c>
      <c r="AK74" s="99" t="str">
        <f t="shared" si="41"/>
        <v/>
      </c>
      <c r="AL74" s="99" t="str">
        <f t="shared" si="41"/>
        <v/>
      </c>
      <c r="AM74" s="99" t="str">
        <f t="shared" si="41"/>
        <v/>
      </c>
      <c r="AN74" s="99" t="str">
        <f t="shared" si="41"/>
        <v/>
      </c>
      <c r="AP74" s="99" t="str">
        <f t="shared" si="44"/>
        <v/>
      </c>
      <c r="AQ74" s="99" t="str">
        <f t="shared" si="45"/>
        <v/>
      </c>
      <c r="AR74" s="99" t="str">
        <f t="shared" si="46"/>
        <v/>
      </c>
      <c r="AS74" s="99" t="str">
        <f t="shared" si="47"/>
        <v/>
      </c>
      <c r="AT74" s="99" t="str">
        <f t="shared" si="48"/>
        <v/>
      </c>
      <c r="AU74" s="99" t="str">
        <f t="shared" si="49"/>
        <v/>
      </c>
      <c r="AV74" s="99" t="str">
        <f t="shared" si="50"/>
        <v/>
      </c>
      <c r="AW74" s="99" t="str">
        <f t="shared" si="51"/>
        <v/>
      </c>
      <c r="AX74" s="99" t="str">
        <f t="shared" si="52"/>
        <v/>
      </c>
      <c r="AY74" s="99" t="str">
        <f t="shared" si="53"/>
        <v/>
      </c>
      <c r="AZ74" s="99" t="str">
        <f t="shared" si="54"/>
        <v/>
      </c>
      <c r="BA74" s="99" t="str">
        <f t="shared" si="55"/>
        <v/>
      </c>
      <c r="BB74" s="103" t="str">
        <f t="shared" si="62"/>
        <v/>
      </c>
      <c r="BE74" s="99" t="str">
        <f t="shared" si="56"/>
        <v/>
      </c>
      <c r="BF74" s="99" t="str">
        <f t="shared" si="57"/>
        <v/>
      </c>
      <c r="BG74" s="99" t="str">
        <f t="shared" si="58"/>
        <v/>
      </c>
      <c r="BH74" s="99" t="str">
        <f t="shared" si="63"/>
        <v/>
      </c>
      <c r="BI74" s="99" t="str">
        <f t="shared" si="59"/>
        <v/>
      </c>
    </row>
    <row r="75" spans="1:61" s="103" customFormat="1" ht="23.15" customHeight="1">
      <c r="A75" s="3">
        <v>69</v>
      </c>
      <c r="B75" s="15"/>
      <c r="C75" s="5"/>
      <c r="D75" s="6"/>
      <c r="E75" s="4"/>
      <c r="F75" s="7"/>
      <c r="G75" s="8"/>
      <c r="H75" s="9"/>
      <c r="I75" s="9"/>
      <c r="J75" s="9"/>
      <c r="K75" s="9"/>
      <c r="L75" s="9"/>
      <c r="M75" s="9"/>
      <c r="N75" s="9"/>
      <c r="O75" s="9"/>
      <c r="P75" s="9"/>
      <c r="Q75" s="10"/>
      <c r="R75" s="11"/>
      <c r="S75" s="12"/>
      <c r="T75" s="10"/>
      <c r="U75" s="17"/>
      <c r="V75" s="10"/>
      <c r="W75" s="13"/>
      <c r="X75" s="14" t="str">
        <f t="shared" si="60"/>
        <v/>
      </c>
      <c r="Y75" s="102" t="str">
        <f t="shared" si="61"/>
        <v/>
      </c>
      <c r="Z75" s="99">
        <f>IF(COUNTIF($E$7:E75,E75)=1,"",COUNTIF($E$7:E75,E75))</f>
        <v>0</v>
      </c>
      <c r="AA75" s="99" t="str">
        <f t="shared" si="43"/>
        <v/>
      </c>
      <c r="AC75" s="99" t="str">
        <f t="shared" si="42"/>
        <v/>
      </c>
      <c r="AD75" s="99" t="str">
        <f t="shared" si="41"/>
        <v/>
      </c>
      <c r="AE75" s="99" t="str">
        <f t="shared" si="41"/>
        <v/>
      </c>
      <c r="AF75" s="99" t="str">
        <f t="shared" si="41"/>
        <v/>
      </c>
      <c r="AG75" s="99" t="str">
        <f t="shared" si="41"/>
        <v/>
      </c>
      <c r="AH75" s="99" t="str">
        <f t="shared" si="41"/>
        <v/>
      </c>
      <c r="AI75" s="99" t="str">
        <f t="shared" si="41"/>
        <v/>
      </c>
      <c r="AJ75" s="99" t="str">
        <f t="shared" si="41"/>
        <v/>
      </c>
      <c r="AK75" s="99" t="str">
        <f t="shared" si="41"/>
        <v/>
      </c>
      <c r="AL75" s="99" t="str">
        <f t="shared" si="41"/>
        <v/>
      </c>
      <c r="AM75" s="99" t="str">
        <f t="shared" si="41"/>
        <v/>
      </c>
      <c r="AN75" s="99" t="str">
        <f t="shared" si="41"/>
        <v/>
      </c>
      <c r="AP75" s="99" t="str">
        <f t="shared" si="44"/>
        <v/>
      </c>
      <c r="AQ75" s="99" t="str">
        <f t="shared" si="45"/>
        <v/>
      </c>
      <c r="AR75" s="99" t="str">
        <f t="shared" si="46"/>
        <v/>
      </c>
      <c r="AS75" s="99" t="str">
        <f t="shared" si="47"/>
        <v/>
      </c>
      <c r="AT75" s="99" t="str">
        <f t="shared" si="48"/>
        <v/>
      </c>
      <c r="AU75" s="99" t="str">
        <f t="shared" si="49"/>
        <v/>
      </c>
      <c r="AV75" s="99" t="str">
        <f t="shared" si="50"/>
        <v/>
      </c>
      <c r="AW75" s="99" t="str">
        <f t="shared" si="51"/>
        <v/>
      </c>
      <c r="AX75" s="99" t="str">
        <f t="shared" si="52"/>
        <v/>
      </c>
      <c r="AY75" s="99" t="str">
        <f t="shared" si="53"/>
        <v/>
      </c>
      <c r="AZ75" s="99" t="str">
        <f t="shared" si="54"/>
        <v/>
      </c>
      <c r="BA75" s="99" t="str">
        <f t="shared" si="55"/>
        <v/>
      </c>
      <c r="BB75" s="103" t="str">
        <f t="shared" si="62"/>
        <v/>
      </c>
      <c r="BE75" s="99" t="str">
        <f t="shared" si="56"/>
        <v/>
      </c>
      <c r="BF75" s="99" t="str">
        <f t="shared" si="57"/>
        <v/>
      </c>
      <c r="BG75" s="99" t="str">
        <f t="shared" si="58"/>
        <v/>
      </c>
      <c r="BH75" s="99" t="str">
        <f t="shared" si="63"/>
        <v/>
      </c>
      <c r="BI75" s="99" t="str">
        <f t="shared" si="59"/>
        <v/>
      </c>
    </row>
    <row r="76" spans="1:61" s="103" customFormat="1" ht="23.15" customHeight="1">
      <c r="A76" s="3">
        <v>70</v>
      </c>
      <c r="B76" s="15"/>
      <c r="C76" s="5"/>
      <c r="D76" s="6"/>
      <c r="E76" s="4"/>
      <c r="F76" s="7"/>
      <c r="G76" s="8"/>
      <c r="H76" s="9"/>
      <c r="I76" s="9"/>
      <c r="J76" s="9"/>
      <c r="K76" s="9"/>
      <c r="L76" s="9"/>
      <c r="M76" s="9"/>
      <c r="N76" s="9"/>
      <c r="O76" s="9"/>
      <c r="P76" s="9"/>
      <c r="Q76" s="10"/>
      <c r="R76" s="11"/>
      <c r="S76" s="12"/>
      <c r="T76" s="10"/>
      <c r="U76" s="17"/>
      <c r="V76" s="10"/>
      <c r="W76" s="13"/>
      <c r="X76" s="14" t="str">
        <f t="shared" si="60"/>
        <v/>
      </c>
      <c r="Y76" s="102" t="str">
        <f t="shared" si="61"/>
        <v/>
      </c>
      <c r="Z76" s="99">
        <f>IF(COUNTIF($E$7:E76,E76)=1,"",COUNTIF($E$7:E76,E76))</f>
        <v>0</v>
      </c>
      <c r="AA76" s="99" t="str">
        <f t="shared" si="43"/>
        <v/>
      </c>
      <c r="AC76" s="99" t="str">
        <f t="shared" si="42"/>
        <v/>
      </c>
      <c r="AD76" s="99" t="str">
        <f t="shared" si="41"/>
        <v/>
      </c>
      <c r="AE76" s="99" t="str">
        <f t="shared" si="41"/>
        <v/>
      </c>
      <c r="AF76" s="99" t="str">
        <f t="shared" si="41"/>
        <v/>
      </c>
      <c r="AG76" s="99" t="str">
        <f t="shared" si="41"/>
        <v/>
      </c>
      <c r="AH76" s="99" t="str">
        <f t="shared" si="41"/>
        <v/>
      </c>
      <c r="AI76" s="99" t="str">
        <f t="shared" si="41"/>
        <v/>
      </c>
      <c r="AJ76" s="99" t="str">
        <f t="shared" si="41"/>
        <v/>
      </c>
      <c r="AK76" s="99" t="str">
        <f t="shared" si="41"/>
        <v/>
      </c>
      <c r="AL76" s="99" t="str">
        <f t="shared" si="41"/>
        <v/>
      </c>
      <c r="AM76" s="99" t="str">
        <f t="shared" si="41"/>
        <v/>
      </c>
      <c r="AN76" s="99" t="str">
        <f t="shared" si="41"/>
        <v/>
      </c>
      <c r="AP76" s="99" t="str">
        <f t="shared" si="44"/>
        <v/>
      </c>
      <c r="AQ76" s="99" t="str">
        <f t="shared" si="45"/>
        <v/>
      </c>
      <c r="AR76" s="99" t="str">
        <f t="shared" si="46"/>
        <v/>
      </c>
      <c r="AS76" s="99" t="str">
        <f t="shared" si="47"/>
        <v/>
      </c>
      <c r="AT76" s="99" t="str">
        <f t="shared" si="48"/>
        <v/>
      </c>
      <c r="AU76" s="99" t="str">
        <f t="shared" si="49"/>
        <v/>
      </c>
      <c r="AV76" s="99" t="str">
        <f t="shared" si="50"/>
        <v/>
      </c>
      <c r="AW76" s="99" t="str">
        <f t="shared" si="51"/>
        <v/>
      </c>
      <c r="AX76" s="99" t="str">
        <f t="shared" si="52"/>
        <v/>
      </c>
      <c r="AY76" s="99" t="str">
        <f t="shared" si="53"/>
        <v/>
      </c>
      <c r="AZ76" s="99" t="str">
        <f t="shared" si="54"/>
        <v/>
      </c>
      <c r="BA76" s="99" t="str">
        <f t="shared" si="55"/>
        <v/>
      </c>
      <c r="BB76" s="103" t="str">
        <f t="shared" si="62"/>
        <v/>
      </c>
      <c r="BE76" s="99" t="str">
        <f t="shared" si="56"/>
        <v/>
      </c>
      <c r="BF76" s="99" t="str">
        <f t="shared" si="57"/>
        <v/>
      </c>
      <c r="BG76" s="99" t="str">
        <f t="shared" si="58"/>
        <v/>
      </c>
      <c r="BH76" s="99" t="str">
        <f t="shared" si="63"/>
        <v/>
      </c>
      <c r="BI76" s="99" t="str">
        <f t="shared" si="59"/>
        <v/>
      </c>
    </row>
    <row r="77" spans="1:61" s="103" customFormat="1" ht="23.15" customHeight="1">
      <c r="A77" s="3">
        <v>71</v>
      </c>
      <c r="B77" s="15"/>
      <c r="C77" s="5"/>
      <c r="D77" s="6"/>
      <c r="E77" s="4"/>
      <c r="F77" s="7"/>
      <c r="G77" s="8"/>
      <c r="H77" s="9"/>
      <c r="I77" s="9"/>
      <c r="J77" s="9"/>
      <c r="K77" s="9"/>
      <c r="L77" s="9"/>
      <c r="M77" s="9"/>
      <c r="N77" s="9"/>
      <c r="O77" s="9"/>
      <c r="P77" s="9"/>
      <c r="Q77" s="10"/>
      <c r="R77" s="11"/>
      <c r="S77" s="12"/>
      <c r="T77" s="10"/>
      <c r="U77" s="17"/>
      <c r="V77" s="10"/>
      <c r="W77" s="13"/>
      <c r="X77" s="14" t="str">
        <f t="shared" si="60"/>
        <v/>
      </c>
      <c r="Y77" s="102" t="str">
        <f t="shared" si="61"/>
        <v/>
      </c>
      <c r="Z77" s="99">
        <f>IF(COUNTIF($E$7:E77,E77)=1,"",COUNTIF($E$7:E77,E77))</f>
        <v>0</v>
      </c>
      <c r="AA77" s="99" t="str">
        <f t="shared" si="43"/>
        <v/>
      </c>
      <c r="AC77" s="99" t="str">
        <f t="shared" si="42"/>
        <v/>
      </c>
      <c r="AD77" s="99" t="str">
        <f t="shared" si="41"/>
        <v/>
      </c>
      <c r="AE77" s="99" t="str">
        <f t="shared" si="41"/>
        <v/>
      </c>
      <c r="AF77" s="99" t="str">
        <f t="shared" si="41"/>
        <v/>
      </c>
      <c r="AG77" s="99" t="str">
        <f t="shared" si="41"/>
        <v/>
      </c>
      <c r="AH77" s="99" t="str">
        <f t="shared" si="41"/>
        <v/>
      </c>
      <c r="AI77" s="99" t="str">
        <f t="shared" si="41"/>
        <v/>
      </c>
      <c r="AJ77" s="99" t="str">
        <f t="shared" si="41"/>
        <v/>
      </c>
      <c r="AK77" s="99" t="str">
        <f t="shared" si="41"/>
        <v/>
      </c>
      <c r="AL77" s="99" t="str">
        <f t="shared" si="41"/>
        <v/>
      </c>
      <c r="AM77" s="99" t="str">
        <f t="shared" si="41"/>
        <v/>
      </c>
      <c r="AN77" s="99" t="str">
        <f t="shared" si="41"/>
        <v/>
      </c>
      <c r="AP77" s="99" t="str">
        <f t="shared" si="44"/>
        <v/>
      </c>
      <c r="AQ77" s="99" t="str">
        <f t="shared" si="45"/>
        <v/>
      </c>
      <c r="AR77" s="99" t="str">
        <f t="shared" si="46"/>
        <v/>
      </c>
      <c r="AS77" s="99" t="str">
        <f t="shared" si="47"/>
        <v/>
      </c>
      <c r="AT77" s="99" t="str">
        <f t="shared" si="48"/>
        <v/>
      </c>
      <c r="AU77" s="99" t="str">
        <f t="shared" si="49"/>
        <v/>
      </c>
      <c r="AV77" s="99" t="str">
        <f t="shared" si="50"/>
        <v/>
      </c>
      <c r="AW77" s="99" t="str">
        <f t="shared" si="51"/>
        <v/>
      </c>
      <c r="AX77" s="99" t="str">
        <f t="shared" si="52"/>
        <v/>
      </c>
      <c r="AY77" s="99" t="str">
        <f t="shared" si="53"/>
        <v/>
      </c>
      <c r="AZ77" s="99" t="str">
        <f t="shared" si="54"/>
        <v/>
      </c>
      <c r="BA77" s="99" t="str">
        <f t="shared" si="55"/>
        <v/>
      </c>
      <c r="BB77" s="103" t="str">
        <f t="shared" si="62"/>
        <v/>
      </c>
      <c r="BE77" s="99" t="str">
        <f t="shared" si="56"/>
        <v/>
      </c>
      <c r="BF77" s="99" t="str">
        <f t="shared" si="57"/>
        <v/>
      </c>
      <c r="BG77" s="99" t="str">
        <f t="shared" si="58"/>
        <v/>
      </c>
      <c r="BH77" s="99" t="str">
        <f t="shared" si="63"/>
        <v/>
      </c>
      <c r="BI77" s="99" t="str">
        <f t="shared" si="59"/>
        <v/>
      </c>
    </row>
    <row r="78" spans="1:61" s="103" customFormat="1" ht="23.15" customHeight="1">
      <c r="A78" s="3">
        <v>72</v>
      </c>
      <c r="B78" s="15"/>
      <c r="C78" s="5"/>
      <c r="D78" s="6"/>
      <c r="E78" s="4"/>
      <c r="F78" s="7"/>
      <c r="G78" s="8"/>
      <c r="H78" s="9"/>
      <c r="I78" s="9"/>
      <c r="J78" s="9"/>
      <c r="K78" s="9"/>
      <c r="L78" s="9"/>
      <c r="M78" s="9"/>
      <c r="N78" s="9"/>
      <c r="O78" s="9"/>
      <c r="P78" s="9"/>
      <c r="Q78" s="10"/>
      <c r="R78" s="11"/>
      <c r="S78" s="12"/>
      <c r="T78" s="10"/>
      <c r="U78" s="17"/>
      <c r="V78" s="10"/>
      <c r="W78" s="13"/>
      <c r="X78" s="14" t="str">
        <f t="shared" si="60"/>
        <v/>
      </c>
      <c r="Y78" s="102" t="str">
        <f t="shared" si="61"/>
        <v/>
      </c>
      <c r="Z78" s="99">
        <f>IF(COUNTIF($E$7:E78,E78)=1,"",COUNTIF($E$7:E78,E78))</f>
        <v>0</v>
      </c>
      <c r="AA78" s="99" t="str">
        <f t="shared" si="43"/>
        <v/>
      </c>
      <c r="AC78" s="99" t="str">
        <f t="shared" si="42"/>
        <v/>
      </c>
      <c r="AD78" s="99" t="str">
        <f t="shared" si="41"/>
        <v/>
      </c>
      <c r="AE78" s="99" t="str">
        <f t="shared" si="41"/>
        <v/>
      </c>
      <c r="AF78" s="99" t="str">
        <f t="shared" si="41"/>
        <v/>
      </c>
      <c r="AG78" s="99" t="str">
        <f t="shared" si="41"/>
        <v/>
      </c>
      <c r="AH78" s="99" t="str">
        <f t="shared" si="41"/>
        <v/>
      </c>
      <c r="AI78" s="99" t="str">
        <f t="shared" si="41"/>
        <v/>
      </c>
      <c r="AJ78" s="99" t="str">
        <f t="shared" si="41"/>
        <v/>
      </c>
      <c r="AK78" s="99" t="str">
        <f t="shared" si="41"/>
        <v/>
      </c>
      <c r="AL78" s="99" t="str">
        <f t="shared" si="41"/>
        <v/>
      </c>
      <c r="AM78" s="99" t="str">
        <f t="shared" si="41"/>
        <v/>
      </c>
      <c r="AN78" s="99" t="str">
        <f t="shared" si="41"/>
        <v/>
      </c>
      <c r="AP78" s="99" t="str">
        <f t="shared" si="44"/>
        <v/>
      </c>
      <c r="AQ78" s="99" t="str">
        <f t="shared" si="45"/>
        <v/>
      </c>
      <c r="AR78" s="99" t="str">
        <f t="shared" si="46"/>
        <v/>
      </c>
      <c r="AS78" s="99" t="str">
        <f t="shared" si="47"/>
        <v/>
      </c>
      <c r="AT78" s="99" t="str">
        <f t="shared" si="48"/>
        <v/>
      </c>
      <c r="AU78" s="99" t="str">
        <f t="shared" si="49"/>
        <v/>
      </c>
      <c r="AV78" s="99" t="str">
        <f t="shared" si="50"/>
        <v/>
      </c>
      <c r="AW78" s="99" t="str">
        <f t="shared" si="51"/>
        <v/>
      </c>
      <c r="AX78" s="99" t="str">
        <f t="shared" si="52"/>
        <v/>
      </c>
      <c r="AY78" s="99" t="str">
        <f t="shared" si="53"/>
        <v/>
      </c>
      <c r="AZ78" s="99" t="str">
        <f t="shared" si="54"/>
        <v/>
      </c>
      <c r="BA78" s="99" t="str">
        <f t="shared" si="55"/>
        <v/>
      </c>
      <c r="BB78" s="103" t="str">
        <f t="shared" si="62"/>
        <v/>
      </c>
      <c r="BE78" s="99" t="str">
        <f t="shared" si="56"/>
        <v/>
      </c>
      <c r="BF78" s="99" t="str">
        <f t="shared" si="57"/>
        <v/>
      </c>
      <c r="BG78" s="99" t="str">
        <f t="shared" si="58"/>
        <v/>
      </c>
      <c r="BH78" s="99" t="str">
        <f t="shared" si="63"/>
        <v/>
      </c>
      <c r="BI78" s="99" t="str">
        <f t="shared" si="59"/>
        <v/>
      </c>
    </row>
    <row r="79" spans="1:61" s="103" customFormat="1" ht="23.15" customHeight="1">
      <c r="A79" s="3">
        <v>73</v>
      </c>
      <c r="B79" s="15"/>
      <c r="C79" s="5"/>
      <c r="D79" s="6"/>
      <c r="E79" s="4"/>
      <c r="F79" s="7"/>
      <c r="G79" s="8"/>
      <c r="H79" s="9"/>
      <c r="I79" s="9"/>
      <c r="J79" s="9"/>
      <c r="K79" s="9"/>
      <c r="L79" s="9"/>
      <c r="M79" s="9"/>
      <c r="N79" s="9"/>
      <c r="O79" s="9"/>
      <c r="P79" s="9"/>
      <c r="Q79" s="10"/>
      <c r="R79" s="11"/>
      <c r="S79" s="12"/>
      <c r="T79" s="10"/>
      <c r="U79" s="17"/>
      <c r="V79" s="10"/>
      <c r="W79" s="13"/>
      <c r="X79" s="14" t="str">
        <f t="shared" si="60"/>
        <v/>
      </c>
      <c r="Y79" s="102" t="str">
        <f t="shared" si="61"/>
        <v/>
      </c>
      <c r="Z79" s="99">
        <f>IF(COUNTIF($E$7:E79,E79)=1,"",COUNTIF($E$7:E79,E79))</f>
        <v>0</v>
      </c>
      <c r="AA79" s="99" t="str">
        <f t="shared" si="43"/>
        <v/>
      </c>
      <c r="AC79" s="99" t="str">
        <f t="shared" si="42"/>
        <v/>
      </c>
      <c r="AD79" s="99" t="str">
        <f t="shared" si="41"/>
        <v/>
      </c>
      <c r="AE79" s="99" t="str">
        <f t="shared" si="41"/>
        <v/>
      </c>
      <c r="AF79" s="99" t="str">
        <f t="shared" si="41"/>
        <v/>
      </c>
      <c r="AG79" s="99" t="str">
        <f t="shared" si="41"/>
        <v/>
      </c>
      <c r="AH79" s="99" t="str">
        <f t="shared" si="41"/>
        <v/>
      </c>
      <c r="AI79" s="99" t="str">
        <f t="shared" si="41"/>
        <v/>
      </c>
      <c r="AJ79" s="99" t="str">
        <f t="shared" si="41"/>
        <v/>
      </c>
      <c r="AK79" s="99" t="str">
        <f t="shared" si="41"/>
        <v/>
      </c>
      <c r="AL79" s="99" t="str">
        <f t="shared" si="41"/>
        <v/>
      </c>
      <c r="AM79" s="99" t="str">
        <f t="shared" si="41"/>
        <v/>
      </c>
      <c r="AN79" s="99" t="str">
        <f t="shared" si="41"/>
        <v/>
      </c>
      <c r="AP79" s="99" t="str">
        <f t="shared" si="44"/>
        <v/>
      </c>
      <c r="AQ79" s="99" t="str">
        <f t="shared" si="45"/>
        <v/>
      </c>
      <c r="AR79" s="99" t="str">
        <f t="shared" si="46"/>
        <v/>
      </c>
      <c r="AS79" s="99" t="str">
        <f t="shared" si="47"/>
        <v/>
      </c>
      <c r="AT79" s="99" t="str">
        <f t="shared" si="48"/>
        <v/>
      </c>
      <c r="AU79" s="99" t="str">
        <f t="shared" si="49"/>
        <v/>
      </c>
      <c r="AV79" s="99" t="str">
        <f t="shared" si="50"/>
        <v/>
      </c>
      <c r="AW79" s="99" t="str">
        <f t="shared" si="51"/>
        <v/>
      </c>
      <c r="AX79" s="99" t="str">
        <f t="shared" si="52"/>
        <v/>
      </c>
      <c r="AY79" s="99" t="str">
        <f t="shared" si="53"/>
        <v/>
      </c>
      <c r="AZ79" s="99" t="str">
        <f t="shared" si="54"/>
        <v/>
      </c>
      <c r="BA79" s="99" t="str">
        <f t="shared" si="55"/>
        <v/>
      </c>
      <c r="BB79" s="103" t="str">
        <f t="shared" si="62"/>
        <v/>
      </c>
      <c r="BE79" s="99" t="str">
        <f t="shared" si="56"/>
        <v/>
      </c>
      <c r="BF79" s="99" t="str">
        <f t="shared" si="57"/>
        <v/>
      </c>
      <c r="BG79" s="99" t="str">
        <f t="shared" si="58"/>
        <v/>
      </c>
      <c r="BH79" s="99" t="str">
        <f t="shared" si="63"/>
        <v/>
      </c>
      <c r="BI79" s="99" t="str">
        <f t="shared" si="59"/>
        <v/>
      </c>
    </row>
    <row r="80" spans="1:61" s="103" customFormat="1" ht="23.15" customHeight="1">
      <c r="A80" s="3">
        <v>74</v>
      </c>
      <c r="B80" s="15"/>
      <c r="C80" s="5"/>
      <c r="D80" s="6"/>
      <c r="E80" s="4"/>
      <c r="F80" s="7"/>
      <c r="G80" s="8"/>
      <c r="H80" s="9"/>
      <c r="I80" s="9"/>
      <c r="J80" s="9"/>
      <c r="K80" s="9"/>
      <c r="L80" s="9"/>
      <c r="M80" s="9"/>
      <c r="N80" s="9"/>
      <c r="O80" s="9"/>
      <c r="P80" s="9"/>
      <c r="Q80" s="10"/>
      <c r="R80" s="11"/>
      <c r="S80" s="12"/>
      <c r="T80" s="10"/>
      <c r="U80" s="17"/>
      <c r="V80" s="10"/>
      <c r="W80" s="13"/>
      <c r="X80" s="14" t="str">
        <f t="shared" si="60"/>
        <v/>
      </c>
      <c r="Y80" s="102" t="str">
        <f t="shared" si="61"/>
        <v/>
      </c>
      <c r="Z80" s="99">
        <f>IF(COUNTIF($E$7:E80,E80)=1,"",COUNTIF($E$7:E80,E80))</f>
        <v>0</v>
      </c>
      <c r="AA80" s="99" t="str">
        <f t="shared" si="43"/>
        <v/>
      </c>
      <c r="AC80" s="99" t="str">
        <f t="shared" si="42"/>
        <v/>
      </c>
      <c r="AD80" s="99" t="str">
        <f t="shared" si="41"/>
        <v/>
      </c>
      <c r="AE80" s="99" t="str">
        <f t="shared" si="41"/>
        <v/>
      </c>
      <c r="AF80" s="99" t="str">
        <f t="shared" si="41"/>
        <v/>
      </c>
      <c r="AG80" s="99" t="str">
        <f t="shared" si="41"/>
        <v/>
      </c>
      <c r="AH80" s="99" t="str">
        <f t="shared" si="41"/>
        <v/>
      </c>
      <c r="AI80" s="99" t="str">
        <f t="shared" si="41"/>
        <v/>
      </c>
      <c r="AJ80" s="99" t="str">
        <f t="shared" si="41"/>
        <v/>
      </c>
      <c r="AK80" s="99" t="str">
        <f t="shared" si="41"/>
        <v/>
      </c>
      <c r="AL80" s="99" t="str">
        <f t="shared" si="41"/>
        <v/>
      </c>
      <c r="AM80" s="99" t="str">
        <f t="shared" si="41"/>
        <v/>
      </c>
      <c r="AN80" s="99" t="str">
        <f t="shared" si="41"/>
        <v/>
      </c>
      <c r="AP80" s="99" t="str">
        <f t="shared" si="44"/>
        <v/>
      </c>
      <c r="AQ80" s="99" t="str">
        <f t="shared" si="45"/>
        <v/>
      </c>
      <c r="AR80" s="99" t="str">
        <f t="shared" si="46"/>
        <v/>
      </c>
      <c r="AS80" s="99" t="str">
        <f t="shared" si="47"/>
        <v/>
      </c>
      <c r="AT80" s="99" t="str">
        <f t="shared" si="48"/>
        <v/>
      </c>
      <c r="AU80" s="99" t="str">
        <f t="shared" si="49"/>
        <v/>
      </c>
      <c r="AV80" s="99" t="str">
        <f t="shared" si="50"/>
        <v/>
      </c>
      <c r="AW80" s="99" t="str">
        <f t="shared" si="51"/>
        <v/>
      </c>
      <c r="AX80" s="99" t="str">
        <f t="shared" si="52"/>
        <v/>
      </c>
      <c r="AY80" s="99" t="str">
        <f t="shared" si="53"/>
        <v/>
      </c>
      <c r="AZ80" s="99" t="str">
        <f t="shared" si="54"/>
        <v/>
      </c>
      <c r="BA80" s="99" t="str">
        <f t="shared" si="55"/>
        <v/>
      </c>
      <c r="BB80" s="103" t="str">
        <f t="shared" si="62"/>
        <v/>
      </c>
      <c r="BE80" s="99" t="str">
        <f t="shared" si="56"/>
        <v/>
      </c>
      <c r="BF80" s="99" t="str">
        <f t="shared" si="57"/>
        <v/>
      </c>
      <c r="BG80" s="99" t="str">
        <f t="shared" si="58"/>
        <v/>
      </c>
      <c r="BH80" s="99" t="str">
        <f t="shared" si="63"/>
        <v/>
      </c>
      <c r="BI80" s="99" t="str">
        <f t="shared" si="59"/>
        <v/>
      </c>
    </row>
    <row r="81" spans="1:61" s="103" customFormat="1" ht="23.15" customHeight="1">
      <c r="A81" s="3">
        <v>75</v>
      </c>
      <c r="B81" s="15"/>
      <c r="C81" s="5"/>
      <c r="D81" s="6"/>
      <c r="E81" s="4"/>
      <c r="F81" s="7"/>
      <c r="G81" s="8"/>
      <c r="H81" s="9"/>
      <c r="I81" s="9"/>
      <c r="J81" s="9"/>
      <c r="K81" s="9"/>
      <c r="L81" s="9"/>
      <c r="M81" s="9"/>
      <c r="N81" s="9"/>
      <c r="O81" s="9"/>
      <c r="P81" s="9"/>
      <c r="Q81" s="10"/>
      <c r="R81" s="11"/>
      <c r="S81" s="12"/>
      <c r="T81" s="10"/>
      <c r="U81" s="17"/>
      <c r="V81" s="10"/>
      <c r="W81" s="13"/>
      <c r="X81" s="14" t="str">
        <f t="shared" si="60"/>
        <v/>
      </c>
      <c r="Y81" s="102" t="str">
        <f t="shared" si="61"/>
        <v/>
      </c>
      <c r="Z81" s="99">
        <f>IF(COUNTIF($E$7:E81,E81)=1,"",COUNTIF($E$7:E81,E81))</f>
        <v>0</v>
      </c>
      <c r="AA81" s="99" t="str">
        <f t="shared" si="43"/>
        <v/>
      </c>
      <c r="AC81" s="99" t="str">
        <f t="shared" si="42"/>
        <v/>
      </c>
      <c r="AD81" s="99" t="str">
        <f t="shared" si="41"/>
        <v/>
      </c>
      <c r="AE81" s="99" t="str">
        <f t="shared" si="41"/>
        <v/>
      </c>
      <c r="AF81" s="99" t="str">
        <f t="shared" si="41"/>
        <v/>
      </c>
      <c r="AG81" s="99" t="str">
        <f t="shared" si="41"/>
        <v/>
      </c>
      <c r="AH81" s="99" t="str">
        <f t="shared" si="41"/>
        <v/>
      </c>
      <c r="AI81" s="99" t="str">
        <f t="shared" si="41"/>
        <v/>
      </c>
      <c r="AJ81" s="99" t="str">
        <f t="shared" si="41"/>
        <v/>
      </c>
      <c r="AK81" s="99" t="str">
        <f t="shared" si="41"/>
        <v/>
      </c>
      <c r="AL81" s="99" t="str">
        <f t="shared" si="41"/>
        <v/>
      </c>
      <c r="AM81" s="99" t="str">
        <f t="shared" si="41"/>
        <v/>
      </c>
      <c r="AN81" s="99" t="str">
        <f t="shared" si="41"/>
        <v/>
      </c>
      <c r="AP81" s="99" t="str">
        <f t="shared" si="44"/>
        <v/>
      </c>
      <c r="AQ81" s="99" t="str">
        <f t="shared" si="45"/>
        <v/>
      </c>
      <c r="AR81" s="99" t="str">
        <f t="shared" si="46"/>
        <v/>
      </c>
      <c r="AS81" s="99" t="str">
        <f t="shared" si="47"/>
        <v/>
      </c>
      <c r="AT81" s="99" t="str">
        <f t="shared" si="48"/>
        <v/>
      </c>
      <c r="AU81" s="99" t="str">
        <f t="shared" si="49"/>
        <v/>
      </c>
      <c r="AV81" s="99" t="str">
        <f t="shared" si="50"/>
        <v/>
      </c>
      <c r="AW81" s="99" t="str">
        <f t="shared" si="51"/>
        <v/>
      </c>
      <c r="AX81" s="99" t="str">
        <f t="shared" si="52"/>
        <v/>
      </c>
      <c r="AY81" s="99" t="str">
        <f t="shared" si="53"/>
        <v/>
      </c>
      <c r="AZ81" s="99" t="str">
        <f t="shared" si="54"/>
        <v/>
      </c>
      <c r="BA81" s="99" t="str">
        <f t="shared" si="55"/>
        <v/>
      </c>
      <c r="BB81" s="103" t="str">
        <f t="shared" si="62"/>
        <v/>
      </c>
      <c r="BE81" s="99" t="str">
        <f t="shared" si="56"/>
        <v/>
      </c>
      <c r="BF81" s="99" t="str">
        <f t="shared" si="57"/>
        <v/>
      </c>
      <c r="BG81" s="99" t="str">
        <f t="shared" si="58"/>
        <v/>
      </c>
      <c r="BH81" s="99" t="str">
        <f t="shared" si="63"/>
        <v/>
      </c>
      <c r="BI81" s="99" t="str">
        <f t="shared" si="59"/>
        <v/>
      </c>
    </row>
    <row r="82" spans="1:61" s="103" customFormat="1" ht="23.15" customHeight="1">
      <c r="A82" s="3">
        <v>76</v>
      </c>
      <c r="B82" s="15"/>
      <c r="C82" s="5"/>
      <c r="D82" s="6"/>
      <c r="E82" s="4"/>
      <c r="F82" s="7"/>
      <c r="G82" s="8"/>
      <c r="H82" s="9"/>
      <c r="I82" s="9"/>
      <c r="J82" s="9"/>
      <c r="K82" s="9"/>
      <c r="L82" s="9"/>
      <c r="M82" s="9"/>
      <c r="N82" s="9"/>
      <c r="O82" s="9"/>
      <c r="P82" s="9"/>
      <c r="Q82" s="10"/>
      <c r="R82" s="11"/>
      <c r="S82" s="12"/>
      <c r="T82" s="10"/>
      <c r="U82" s="17"/>
      <c r="V82" s="10"/>
      <c r="W82" s="13"/>
      <c r="X82" s="14" t="str">
        <f t="shared" si="60"/>
        <v/>
      </c>
      <c r="Y82" s="102" t="str">
        <f t="shared" si="61"/>
        <v/>
      </c>
      <c r="Z82" s="99">
        <f>IF(COUNTIF($E$7:E82,E82)=1,"",COUNTIF($E$7:E82,E82))</f>
        <v>0</v>
      </c>
      <c r="AA82" s="99" t="str">
        <f t="shared" si="43"/>
        <v/>
      </c>
      <c r="AC82" s="99" t="str">
        <f t="shared" si="42"/>
        <v/>
      </c>
      <c r="AD82" s="99" t="str">
        <f t="shared" si="41"/>
        <v/>
      </c>
      <c r="AE82" s="99" t="str">
        <f t="shared" si="41"/>
        <v/>
      </c>
      <c r="AF82" s="99" t="str">
        <f t="shared" si="41"/>
        <v/>
      </c>
      <c r="AG82" s="99" t="str">
        <f t="shared" si="41"/>
        <v/>
      </c>
      <c r="AH82" s="99" t="str">
        <f t="shared" si="41"/>
        <v/>
      </c>
      <c r="AI82" s="99" t="str">
        <f t="shared" si="41"/>
        <v/>
      </c>
      <c r="AJ82" s="99" t="str">
        <f t="shared" si="41"/>
        <v/>
      </c>
      <c r="AK82" s="99" t="str">
        <f t="shared" si="41"/>
        <v/>
      </c>
      <c r="AL82" s="99" t="str">
        <f t="shared" si="41"/>
        <v/>
      </c>
      <c r="AM82" s="99" t="str">
        <f t="shared" si="41"/>
        <v/>
      </c>
      <c r="AN82" s="99" t="str">
        <f t="shared" si="41"/>
        <v/>
      </c>
      <c r="AP82" s="99" t="str">
        <f t="shared" si="44"/>
        <v/>
      </c>
      <c r="AQ82" s="99" t="str">
        <f t="shared" si="45"/>
        <v/>
      </c>
      <c r="AR82" s="99" t="str">
        <f t="shared" si="46"/>
        <v/>
      </c>
      <c r="AS82" s="99" t="str">
        <f t="shared" si="47"/>
        <v/>
      </c>
      <c r="AT82" s="99" t="str">
        <f t="shared" si="48"/>
        <v/>
      </c>
      <c r="AU82" s="99" t="str">
        <f t="shared" si="49"/>
        <v/>
      </c>
      <c r="AV82" s="99" t="str">
        <f t="shared" si="50"/>
        <v/>
      </c>
      <c r="AW82" s="99" t="str">
        <f t="shared" si="51"/>
        <v/>
      </c>
      <c r="AX82" s="99" t="str">
        <f t="shared" si="52"/>
        <v/>
      </c>
      <c r="AY82" s="99" t="str">
        <f t="shared" si="53"/>
        <v/>
      </c>
      <c r="AZ82" s="99" t="str">
        <f t="shared" si="54"/>
        <v/>
      </c>
      <c r="BA82" s="99" t="str">
        <f t="shared" si="55"/>
        <v/>
      </c>
      <c r="BB82" s="103" t="str">
        <f t="shared" si="62"/>
        <v/>
      </c>
      <c r="BE82" s="99" t="str">
        <f t="shared" si="56"/>
        <v/>
      </c>
      <c r="BF82" s="99" t="str">
        <f t="shared" si="57"/>
        <v/>
      </c>
      <c r="BG82" s="99" t="str">
        <f t="shared" si="58"/>
        <v/>
      </c>
      <c r="BH82" s="99" t="str">
        <f t="shared" si="63"/>
        <v/>
      </c>
      <c r="BI82" s="99" t="str">
        <f t="shared" si="59"/>
        <v/>
      </c>
    </row>
    <row r="83" spans="1:61" s="103" customFormat="1" ht="23.15" customHeight="1">
      <c r="A83" s="3">
        <v>77</v>
      </c>
      <c r="B83" s="15"/>
      <c r="C83" s="5"/>
      <c r="D83" s="6"/>
      <c r="E83" s="4"/>
      <c r="F83" s="7"/>
      <c r="G83" s="8"/>
      <c r="H83" s="9"/>
      <c r="I83" s="9"/>
      <c r="J83" s="9"/>
      <c r="K83" s="9"/>
      <c r="L83" s="9"/>
      <c r="M83" s="9"/>
      <c r="N83" s="9"/>
      <c r="O83" s="9"/>
      <c r="P83" s="9"/>
      <c r="Q83" s="10"/>
      <c r="R83" s="11"/>
      <c r="S83" s="12"/>
      <c r="T83" s="10"/>
      <c r="U83" s="17"/>
      <c r="V83" s="10"/>
      <c r="W83" s="13"/>
      <c r="X83" s="14" t="str">
        <f t="shared" si="60"/>
        <v/>
      </c>
      <c r="Y83" s="102" t="str">
        <f t="shared" si="61"/>
        <v/>
      </c>
      <c r="Z83" s="99">
        <f>IF(COUNTIF($E$7:E83,E83)=1,"",COUNTIF($E$7:E83,E83))</f>
        <v>0</v>
      </c>
      <c r="AA83" s="99" t="str">
        <f t="shared" si="43"/>
        <v/>
      </c>
      <c r="AC83" s="99" t="str">
        <f t="shared" si="42"/>
        <v/>
      </c>
      <c r="AD83" s="99" t="str">
        <f t="shared" si="41"/>
        <v/>
      </c>
      <c r="AE83" s="99" t="str">
        <f t="shared" si="41"/>
        <v/>
      </c>
      <c r="AF83" s="99" t="str">
        <f t="shared" si="41"/>
        <v/>
      </c>
      <c r="AG83" s="99" t="str">
        <f t="shared" si="41"/>
        <v/>
      </c>
      <c r="AH83" s="99" t="str">
        <f t="shared" si="41"/>
        <v/>
      </c>
      <c r="AI83" s="99" t="str">
        <f t="shared" si="41"/>
        <v/>
      </c>
      <c r="AJ83" s="99" t="str">
        <f t="shared" si="41"/>
        <v/>
      </c>
      <c r="AK83" s="99" t="str">
        <f t="shared" si="41"/>
        <v/>
      </c>
      <c r="AL83" s="99" t="str">
        <f t="shared" si="41"/>
        <v/>
      </c>
      <c r="AM83" s="99" t="str">
        <f t="shared" si="41"/>
        <v/>
      </c>
      <c r="AN83" s="99" t="str">
        <f t="shared" si="41"/>
        <v/>
      </c>
      <c r="AP83" s="99" t="str">
        <f t="shared" si="44"/>
        <v/>
      </c>
      <c r="AQ83" s="99" t="str">
        <f t="shared" si="45"/>
        <v/>
      </c>
      <c r="AR83" s="99" t="str">
        <f t="shared" si="46"/>
        <v/>
      </c>
      <c r="AS83" s="99" t="str">
        <f t="shared" si="47"/>
        <v/>
      </c>
      <c r="AT83" s="99" t="str">
        <f t="shared" si="48"/>
        <v/>
      </c>
      <c r="AU83" s="99" t="str">
        <f t="shared" si="49"/>
        <v/>
      </c>
      <c r="AV83" s="99" t="str">
        <f t="shared" si="50"/>
        <v/>
      </c>
      <c r="AW83" s="99" t="str">
        <f t="shared" si="51"/>
        <v/>
      </c>
      <c r="AX83" s="99" t="str">
        <f t="shared" si="52"/>
        <v/>
      </c>
      <c r="AY83" s="99" t="str">
        <f t="shared" si="53"/>
        <v/>
      </c>
      <c r="AZ83" s="99" t="str">
        <f t="shared" si="54"/>
        <v/>
      </c>
      <c r="BA83" s="99" t="str">
        <f t="shared" si="55"/>
        <v/>
      </c>
      <c r="BB83" s="103" t="str">
        <f t="shared" si="62"/>
        <v/>
      </c>
      <c r="BE83" s="99" t="str">
        <f t="shared" si="56"/>
        <v/>
      </c>
      <c r="BF83" s="99" t="str">
        <f t="shared" si="57"/>
        <v/>
      </c>
      <c r="BG83" s="99" t="str">
        <f t="shared" si="58"/>
        <v/>
      </c>
      <c r="BH83" s="99" t="str">
        <f t="shared" si="63"/>
        <v/>
      </c>
      <c r="BI83" s="99" t="str">
        <f t="shared" si="59"/>
        <v/>
      </c>
    </row>
    <row r="84" spans="1:61" s="103" customFormat="1" ht="23.15" customHeight="1">
      <c r="A84" s="3">
        <v>78</v>
      </c>
      <c r="B84" s="15"/>
      <c r="C84" s="5"/>
      <c r="D84" s="6"/>
      <c r="E84" s="4"/>
      <c r="F84" s="7"/>
      <c r="G84" s="8"/>
      <c r="H84" s="9"/>
      <c r="I84" s="9"/>
      <c r="J84" s="9"/>
      <c r="K84" s="9"/>
      <c r="L84" s="9"/>
      <c r="M84" s="9"/>
      <c r="N84" s="9"/>
      <c r="O84" s="9"/>
      <c r="P84" s="9"/>
      <c r="Q84" s="10"/>
      <c r="R84" s="11"/>
      <c r="S84" s="12"/>
      <c r="T84" s="10"/>
      <c r="U84" s="17"/>
      <c r="V84" s="10"/>
      <c r="W84" s="13"/>
      <c r="X84" s="14" t="str">
        <f t="shared" si="60"/>
        <v/>
      </c>
      <c r="Y84" s="102" t="str">
        <f t="shared" si="61"/>
        <v/>
      </c>
      <c r="Z84" s="99">
        <f>IF(COUNTIF($E$7:E84,E84)=1,"",COUNTIF($E$7:E84,E84))</f>
        <v>0</v>
      </c>
      <c r="AA84" s="99" t="str">
        <f t="shared" si="43"/>
        <v/>
      </c>
      <c r="AC84" s="99" t="str">
        <f t="shared" si="42"/>
        <v/>
      </c>
      <c r="AD84" s="99" t="str">
        <f t="shared" si="41"/>
        <v/>
      </c>
      <c r="AE84" s="99" t="str">
        <f t="shared" si="41"/>
        <v/>
      </c>
      <c r="AF84" s="99" t="str">
        <f t="shared" si="41"/>
        <v/>
      </c>
      <c r="AG84" s="99" t="str">
        <f t="shared" si="41"/>
        <v/>
      </c>
      <c r="AH84" s="99" t="str">
        <f t="shared" ref="AD84:AN106" si="64">IF(OR($W84=$S$137,$W84=$S$130,$W84=$S$134,$W84=$S$135,$W84=$S$136,$W84=$S$138),"",IF($S84="","",IF($U84="",IF($R84="",IF($S84&lt;=AH$6,"○",""),IF(AND($R84&lt;=AH$6,$S84&lt;=AH$6),"●",IF($S84&lt;=AH$6,"○",""))),IF($U84&gt;=AH$6,IF($R84="",IF($S84&lt;=AH$6,"○",""),IF(AND($R84&lt;=AH$6,$S84&lt;=AH$6),"●",IF($S84&lt;=AH$6,"○",""))),""))))</f>
        <v/>
      </c>
      <c r="AI84" s="99" t="str">
        <f t="shared" si="64"/>
        <v/>
      </c>
      <c r="AJ84" s="99" t="str">
        <f t="shared" si="64"/>
        <v/>
      </c>
      <c r="AK84" s="99" t="str">
        <f t="shared" si="64"/>
        <v/>
      </c>
      <c r="AL84" s="99" t="str">
        <f t="shared" si="64"/>
        <v/>
      </c>
      <c r="AM84" s="99" t="str">
        <f t="shared" si="64"/>
        <v/>
      </c>
      <c r="AN84" s="99" t="str">
        <f t="shared" si="64"/>
        <v/>
      </c>
      <c r="AP84" s="99" t="str">
        <f t="shared" si="44"/>
        <v/>
      </c>
      <c r="AQ84" s="99" t="str">
        <f t="shared" si="45"/>
        <v/>
      </c>
      <c r="AR84" s="99" t="str">
        <f t="shared" si="46"/>
        <v/>
      </c>
      <c r="AS84" s="99" t="str">
        <f t="shared" si="47"/>
        <v/>
      </c>
      <c r="AT84" s="99" t="str">
        <f t="shared" si="48"/>
        <v/>
      </c>
      <c r="AU84" s="99" t="str">
        <f t="shared" si="49"/>
        <v/>
      </c>
      <c r="AV84" s="99" t="str">
        <f t="shared" si="50"/>
        <v/>
      </c>
      <c r="AW84" s="99" t="str">
        <f t="shared" si="51"/>
        <v/>
      </c>
      <c r="AX84" s="99" t="str">
        <f t="shared" si="52"/>
        <v/>
      </c>
      <c r="AY84" s="99" t="str">
        <f t="shared" si="53"/>
        <v/>
      </c>
      <c r="AZ84" s="99" t="str">
        <f t="shared" si="54"/>
        <v/>
      </c>
      <c r="BA84" s="99" t="str">
        <f t="shared" si="55"/>
        <v/>
      </c>
      <c r="BB84" s="103" t="str">
        <f t="shared" si="62"/>
        <v/>
      </c>
      <c r="BE84" s="99" t="str">
        <f t="shared" si="56"/>
        <v/>
      </c>
      <c r="BF84" s="99" t="str">
        <f t="shared" si="57"/>
        <v/>
      </c>
      <c r="BG84" s="99" t="str">
        <f t="shared" si="58"/>
        <v/>
      </c>
      <c r="BH84" s="99" t="str">
        <f t="shared" si="63"/>
        <v/>
      </c>
      <c r="BI84" s="99" t="str">
        <f t="shared" si="59"/>
        <v/>
      </c>
    </row>
    <row r="85" spans="1:61" s="103" customFormat="1" ht="23.15" customHeight="1">
      <c r="A85" s="3">
        <v>79</v>
      </c>
      <c r="B85" s="15"/>
      <c r="C85" s="5"/>
      <c r="D85" s="6"/>
      <c r="E85" s="4"/>
      <c r="F85" s="7"/>
      <c r="G85" s="8"/>
      <c r="H85" s="9"/>
      <c r="I85" s="9"/>
      <c r="J85" s="9"/>
      <c r="K85" s="9"/>
      <c r="L85" s="9"/>
      <c r="M85" s="9"/>
      <c r="N85" s="9"/>
      <c r="O85" s="9"/>
      <c r="P85" s="9"/>
      <c r="Q85" s="10"/>
      <c r="R85" s="11"/>
      <c r="S85" s="12"/>
      <c r="T85" s="10"/>
      <c r="U85" s="17"/>
      <c r="V85" s="10"/>
      <c r="W85" s="13"/>
      <c r="X85" s="14" t="str">
        <f t="shared" si="60"/>
        <v/>
      </c>
      <c r="Y85" s="102" t="str">
        <f t="shared" si="61"/>
        <v/>
      </c>
      <c r="Z85" s="99">
        <f>IF(COUNTIF($E$7:E85,E85)=1,"",COUNTIF($E$7:E85,E85))</f>
        <v>0</v>
      </c>
      <c r="AA85" s="99" t="str">
        <f t="shared" si="43"/>
        <v/>
      </c>
      <c r="AC85" s="99" t="str">
        <f t="shared" si="42"/>
        <v/>
      </c>
      <c r="AD85" s="99" t="str">
        <f t="shared" si="64"/>
        <v/>
      </c>
      <c r="AE85" s="99" t="str">
        <f t="shared" si="64"/>
        <v/>
      </c>
      <c r="AF85" s="99" t="str">
        <f t="shared" si="64"/>
        <v/>
      </c>
      <c r="AG85" s="99" t="str">
        <f t="shared" si="64"/>
        <v/>
      </c>
      <c r="AH85" s="99" t="str">
        <f t="shared" si="64"/>
        <v/>
      </c>
      <c r="AI85" s="99" t="str">
        <f t="shared" si="64"/>
        <v/>
      </c>
      <c r="AJ85" s="99" t="str">
        <f t="shared" si="64"/>
        <v/>
      </c>
      <c r="AK85" s="99" t="str">
        <f t="shared" si="64"/>
        <v/>
      </c>
      <c r="AL85" s="99" t="str">
        <f t="shared" si="64"/>
        <v/>
      </c>
      <c r="AM85" s="99" t="str">
        <f t="shared" si="64"/>
        <v/>
      </c>
      <c r="AN85" s="99" t="str">
        <f t="shared" si="64"/>
        <v/>
      </c>
      <c r="AP85" s="99" t="str">
        <f t="shared" si="44"/>
        <v/>
      </c>
      <c r="AQ85" s="99" t="str">
        <f t="shared" si="45"/>
        <v/>
      </c>
      <c r="AR85" s="99" t="str">
        <f t="shared" si="46"/>
        <v/>
      </c>
      <c r="AS85" s="99" t="str">
        <f t="shared" si="47"/>
        <v/>
      </c>
      <c r="AT85" s="99" t="str">
        <f t="shared" si="48"/>
        <v/>
      </c>
      <c r="AU85" s="99" t="str">
        <f t="shared" si="49"/>
        <v/>
      </c>
      <c r="AV85" s="99" t="str">
        <f t="shared" si="50"/>
        <v/>
      </c>
      <c r="AW85" s="99" t="str">
        <f t="shared" si="51"/>
        <v/>
      </c>
      <c r="AX85" s="99" t="str">
        <f t="shared" si="52"/>
        <v/>
      </c>
      <c r="AY85" s="99" t="str">
        <f t="shared" si="53"/>
        <v/>
      </c>
      <c r="AZ85" s="99" t="str">
        <f t="shared" si="54"/>
        <v/>
      </c>
      <c r="BA85" s="99" t="str">
        <f t="shared" si="55"/>
        <v/>
      </c>
      <c r="BB85" s="103" t="str">
        <f t="shared" si="62"/>
        <v/>
      </c>
      <c r="BE85" s="99" t="str">
        <f t="shared" si="56"/>
        <v/>
      </c>
      <c r="BF85" s="99" t="str">
        <f t="shared" si="57"/>
        <v/>
      </c>
      <c r="BG85" s="99" t="str">
        <f t="shared" si="58"/>
        <v/>
      </c>
      <c r="BH85" s="99" t="str">
        <f t="shared" si="63"/>
        <v/>
      </c>
      <c r="BI85" s="99" t="str">
        <f t="shared" si="59"/>
        <v/>
      </c>
    </row>
    <row r="86" spans="1:61" s="103" customFormat="1" ht="23.15" customHeight="1">
      <c r="A86" s="3">
        <v>80</v>
      </c>
      <c r="B86" s="15"/>
      <c r="C86" s="5"/>
      <c r="D86" s="6"/>
      <c r="E86" s="4"/>
      <c r="F86" s="7"/>
      <c r="G86" s="8"/>
      <c r="H86" s="9"/>
      <c r="I86" s="9"/>
      <c r="J86" s="9"/>
      <c r="K86" s="9"/>
      <c r="L86" s="9"/>
      <c r="M86" s="9"/>
      <c r="N86" s="9"/>
      <c r="O86" s="9"/>
      <c r="P86" s="9"/>
      <c r="Q86" s="10"/>
      <c r="R86" s="11"/>
      <c r="S86" s="12"/>
      <c r="T86" s="10"/>
      <c r="U86" s="17"/>
      <c r="V86" s="10"/>
      <c r="W86" s="13"/>
      <c r="X86" s="14" t="str">
        <f t="shared" si="60"/>
        <v/>
      </c>
      <c r="Y86" s="102" t="str">
        <f t="shared" si="61"/>
        <v/>
      </c>
      <c r="Z86" s="99">
        <f>IF(COUNTIF($E$7:E86,E86)=1,"",COUNTIF($E$7:E86,E86))</f>
        <v>0</v>
      </c>
      <c r="AA86" s="99" t="str">
        <f t="shared" si="43"/>
        <v/>
      </c>
      <c r="AC86" s="99" t="str">
        <f t="shared" si="42"/>
        <v/>
      </c>
      <c r="AD86" s="99" t="str">
        <f t="shared" si="64"/>
        <v/>
      </c>
      <c r="AE86" s="99" t="str">
        <f t="shared" si="64"/>
        <v/>
      </c>
      <c r="AF86" s="99" t="str">
        <f t="shared" si="64"/>
        <v/>
      </c>
      <c r="AG86" s="99" t="str">
        <f t="shared" si="64"/>
        <v/>
      </c>
      <c r="AH86" s="99" t="str">
        <f t="shared" si="64"/>
        <v/>
      </c>
      <c r="AI86" s="99" t="str">
        <f t="shared" si="64"/>
        <v/>
      </c>
      <c r="AJ86" s="99" t="str">
        <f t="shared" si="64"/>
        <v/>
      </c>
      <c r="AK86" s="99" t="str">
        <f t="shared" si="64"/>
        <v/>
      </c>
      <c r="AL86" s="99" t="str">
        <f t="shared" si="64"/>
        <v/>
      </c>
      <c r="AM86" s="99" t="str">
        <f t="shared" si="64"/>
        <v/>
      </c>
      <c r="AN86" s="99" t="str">
        <f t="shared" si="64"/>
        <v/>
      </c>
      <c r="AP86" s="99" t="str">
        <f t="shared" si="44"/>
        <v/>
      </c>
      <c r="AQ86" s="99" t="str">
        <f t="shared" si="45"/>
        <v/>
      </c>
      <c r="AR86" s="99" t="str">
        <f t="shared" si="46"/>
        <v/>
      </c>
      <c r="AS86" s="99" t="str">
        <f t="shared" si="47"/>
        <v/>
      </c>
      <c r="AT86" s="99" t="str">
        <f t="shared" si="48"/>
        <v/>
      </c>
      <c r="AU86" s="99" t="str">
        <f t="shared" si="49"/>
        <v/>
      </c>
      <c r="AV86" s="99" t="str">
        <f t="shared" si="50"/>
        <v/>
      </c>
      <c r="AW86" s="99" t="str">
        <f t="shared" si="51"/>
        <v/>
      </c>
      <c r="AX86" s="99" t="str">
        <f t="shared" si="52"/>
        <v/>
      </c>
      <c r="AY86" s="99" t="str">
        <f t="shared" si="53"/>
        <v/>
      </c>
      <c r="AZ86" s="99" t="str">
        <f t="shared" si="54"/>
        <v/>
      </c>
      <c r="BA86" s="99" t="str">
        <f t="shared" si="55"/>
        <v/>
      </c>
      <c r="BB86" s="103" t="str">
        <f t="shared" si="62"/>
        <v/>
      </c>
      <c r="BE86" s="99" t="str">
        <f t="shared" si="56"/>
        <v/>
      </c>
      <c r="BF86" s="99" t="str">
        <f t="shared" si="57"/>
        <v/>
      </c>
      <c r="BG86" s="99" t="str">
        <f t="shared" si="58"/>
        <v/>
      </c>
      <c r="BH86" s="99" t="str">
        <f t="shared" si="63"/>
        <v/>
      </c>
      <c r="BI86" s="99" t="str">
        <f t="shared" si="59"/>
        <v/>
      </c>
    </row>
    <row r="87" spans="1:61" s="103" customFormat="1" ht="23.15" customHeight="1">
      <c r="A87" s="3">
        <v>81</v>
      </c>
      <c r="B87" s="15"/>
      <c r="C87" s="5"/>
      <c r="D87" s="6"/>
      <c r="E87" s="4"/>
      <c r="F87" s="7"/>
      <c r="G87" s="8"/>
      <c r="H87" s="9"/>
      <c r="I87" s="9"/>
      <c r="J87" s="9"/>
      <c r="K87" s="9"/>
      <c r="L87" s="9"/>
      <c r="M87" s="9"/>
      <c r="N87" s="9"/>
      <c r="O87" s="9"/>
      <c r="P87" s="9"/>
      <c r="Q87" s="10"/>
      <c r="R87" s="11"/>
      <c r="S87" s="12"/>
      <c r="T87" s="10"/>
      <c r="U87" s="17"/>
      <c r="V87" s="10"/>
      <c r="W87" s="13"/>
      <c r="X87" s="14" t="str">
        <f t="shared" si="60"/>
        <v/>
      </c>
      <c r="Y87" s="102" t="str">
        <f t="shared" si="61"/>
        <v/>
      </c>
      <c r="Z87" s="99">
        <f>IF(COUNTIF($E$7:E87,E87)=1,"",COUNTIF($E$7:E87,E87))</f>
        <v>0</v>
      </c>
      <c r="AA87" s="99" t="str">
        <f t="shared" si="43"/>
        <v/>
      </c>
      <c r="AC87" s="99" t="str">
        <f t="shared" si="42"/>
        <v/>
      </c>
      <c r="AD87" s="99" t="str">
        <f t="shared" si="64"/>
        <v/>
      </c>
      <c r="AE87" s="99" t="str">
        <f t="shared" si="64"/>
        <v/>
      </c>
      <c r="AF87" s="99" t="str">
        <f t="shared" si="64"/>
        <v/>
      </c>
      <c r="AG87" s="99" t="str">
        <f t="shared" si="64"/>
        <v/>
      </c>
      <c r="AH87" s="99" t="str">
        <f t="shared" si="64"/>
        <v/>
      </c>
      <c r="AI87" s="99" t="str">
        <f t="shared" si="64"/>
        <v/>
      </c>
      <c r="AJ87" s="99" t="str">
        <f t="shared" si="64"/>
        <v/>
      </c>
      <c r="AK87" s="99" t="str">
        <f t="shared" si="64"/>
        <v/>
      </c>
      <c r="AL87" s="99" t="str">
        <f t="shared" si="64"/>
        <v/>
      </c>
      <c r="AM87" s="99" t="str">
        <f t="shared" si="64"/>
        <v/>
      </c>
      <c r="AN87" s="99" t="str">
        <f t="shared" si="64"/>
        <v/>
      </c>
      <c r="AP87" s="99" t="str">
        <f t="shared" si="44"/>
        <v/>
      </c>
      <c r="AQ87" s="99" t="str">
        <f t="shared" si="45"/>
        <v/>
      </c>
      <c r="AR87" s="99" t="str">
        <f t="shared" si="46"/>
        <v/>
      </c>
      <c r="AS87" s="99" t="str">
        <f t="shared" si="47"/>
        <v/>
      </c>
      <c r="AT87" s="99" t="str">
        <f t="shared" si="48"/>
        <v/>
      </c>
      <c r="AU87" s="99" t="str">
        <f t="shared" si="49"/>
        <v/>
      </c>
      <c r="AV87" s="99" t="str">
        <f t="shared" si="50"/>
        <v/>
      </c>
      <c r="AW87" s="99" t="str">
        <f t="shared" si="51"/>
        <v/>
      </c>
      <c r="AX87" s="99" t="str">
        <f t="shared" si="52"/>
        <v/>
      </c>
      <c r="AY87" s="99" t="str">
        <f t="shared" si="53"/>
        <v/>
      </c>
      <c r="AZ87" s="99" t="str">
        <f t="shared" si="54"/>
        <v/>
      </c>
      <c r="BA87" s="99" t="str">
        <f t="shared" si="55"/>
        <v/>
      </c>
      <c r="BB87" s="103" t="str">
        <f t="shared" si="62"/>
        <v/>
      </c>
      <c r="BE87" s="99" t="str">
        <f t="shared" si="56"/>
        <v/>
      </c>
      <c r="BF87" s="99" t="str">
        <f t="shared" si="57"/>
        <v/>
      </c>
      <c r="BG87" s="99" t="str">
        <f t="shared" si="58"/>
        <v/>
      </c>
      <c r="BH87" s="99" t="str">
        <f t="shared" si="63"/>
        <v/>
      </c>
      <c r="BI87" s="99" t="str">
        <f t="shared" si="59"/>
        <v/>
      </c>
    </row>
    <row r="88" spans="1:61" s="103" customFormat="1" ht="23.15" customHeight="1">
      <c r="A88" s="3">
        <v>82</v>
      </c>
      <c r="B88" s="15"/>
      <c r="C88" s="5"/>
      <c r="D88" s="6"/>
      <c r="E88" s="4"/>
      <c r="F88" s="7"/>
      <c r="G88" s="8"/>
      <c r="H88" s="9"/>
      <c r="I88" s="9"/>
      <c r="J88" s="9"/>
      <c r="K88" s="9"/>
      <c r="L88" s="9"/>
      <c r="M88" s="9"/>
      <c r="N88" s="9"/>
      <c r="O88" s="9"/>
      <c r="P88" s="9"/>
      <c r="Q88" s="10"/>
      <c r="R88" s="11"/>
      <c r="S88" s="12"/>
      <c r="T88" s="10"/>
      <c r="U88" s="17"/>
      <c r="V88" s="10"/>
      <c r="W88" s="13"/>
      <c r="X88" s="14" t="str">
        <f t="shared" si="60"/>
        <v/>
      </c>
      <c r="Y88" s="102" t="str">
        <f t="shared" si="61"/>
        <v/>
      </c>
      <c r="Z88" s="99">
        <f>IF(COUNTIF($E$7:E88,E88)=1,"",COUNTIF($E$7:E88,E88))</f>
        <v>0</v>
      </c>
      <c r="AA88" s="99" t="str">
        <f t="shared" si="43"/>
        <v/>
      </c>
      <c r="AC88" s="99" t="str">
        <f t="shared" si="42"/>
        <v/>
      </c>
      <c r="AD88" s="99" t="str">
        <f t="shared" si="64"/>
        <v/>
      </c>
      <c r="AE88" s="99" t="str">
        <f t="shared" si="64"/>
        <v/>
      </c>
      <c r="AF88" s="99" t="str">
        <f t="shared" si="64"/>
        <v/>
      </c>
      <c r="AG88" s="99" t="str">
        <f t="shared" si="64"/>
        <v/>
      </c>
      <c r="AH88" s="99" t="str">
        <f t="shared" si="64"/>
        <v/>
      </c>
      <c r="AI88" s="99" t="str">
        <f t="shared" si="64"/>
        <v/>
      </c>
      <c r="AJ88" s="99" t="str">
        <f t="shared" si="64"/>
        <v/>
      </c>
      <c r="AK88" s="99" t="str">
        <f t="shared" si="64"/>
        <v/>
      </c>
      <c r="AL88" s="99" t="str">
        <f t="shared" si="64"/>
        <v/>
      </c>
      <c r="AM88" s="99" t="str">
        <f t="shared" si="64"/>
        <v/>
      </c>
      <c r="AN88" s="99" t="str">
        <f t="shared" si="64"/>
        <v/>
      </c>
      <c r="AP88" s="99" t="str">
        <f t="shared" si="44"/>
        <v/>
      </c>
      <c r="AQ88" s="99" t="str">
        <f t="shared" si="45"/>
        <v/>
      </c>
      <c r="AR88" s="99" t="str">
        <f t="shared" si="46"/>
        <v/>
      </c>
      <c r="AS88" s="99" t="str">
        <f t="shared" si="47"/>
        <v/>
      </c>
      <c r="AT88" s="99" t="str">
        <f t="shared" si="48"/>
        <v/>
      </c>
      <c r="AU88" s="99" t="str">
        <f t="shared" si="49"/>
        <v/>
      </c>
      <c r="AV88" s="99" t="str">
        <f t="shared" si="50"/>
        <v/>
      </c>
      <c r="AW88" s="99" t="str">
        <f t="shared" si="51"/>
        <v/>
      </c>
      <c r="AX88" s="99" t="str">
        <f t="shared" si="52"/>
        <v/>
      </c>
      <c r="AY88" s="99" t="str">
        <f t="shared" si="53"/>
        <v/>
      </c>
      <c r="AZ88" s="99" t="str">
        <f t="shared" si="54"/>
        <v/>
      </c>
      <c r="BA88" s="99" t="str">
        <f t="shared" si="55"/>
        <v/>
      </c>
      <c r="BB88" s="103" t="str">
        <f t="shared" si="62"/>
        <v/>
      </c>
      <c r="BE88" s="99" t="str">
        <f t="shared" si="56"/>
        <v/>
      </c>
      <c r="BF88" s="99" t="str">
        <f t="shared" si="57"/>
        <v/>
      </c>
      <c r="BG88" s="99" t="str">
        <f t="shared" si="58"/>
        <v/>
      </c>
      <c r="BH88" s="99" t="str">
        <f t="shared" si="63"/>
        <v/>
      </c>
      <c r="BI88" s="99" t="str">
        <f t="shared" si="59"/>
        <v/>
      </c>
    </row>
    <row r="89" spans="1:61" s="103" customFormat="1" ht="23.15" customHeight="1">
      <c r="A89" s="3">
        <v>83</v>
      </c>
      <c r="B89" s="15"/>
      <c r="C89" s="5"/>
      <c r="D89" s="6"/>
      <c r="E89" s="4"/>
      <c r="F89" s="7"/>
      <c r="G89" s="8"/>
      <c r="H89" s="9"/>
      <c r="I89" s="9"/>
      <c r="J89" s="9"/>
      <c r="K89" s="9"/>
      <c r="L89" s="9"/>
      <c r="M89" s="9"/>
      <c r="N89" s="9"/>
      <c r="O89" s="9"/>
      <c r="P89" s="9"/>
      <c r="Q89" s="10"/>
      <c r="R89" s="11"/>
      <c r="S89" s="12"/>
      <c r="T89" s="10"/>
      <c r="U89" s="17"/>
      <c r="V89" s="10"/>
      <c r="W89" s="13"/>
      <c r="X89" s="14" t="str">
        <f t="shared" si="60"/>
        <v/>
      </c>
      <c r="Y89" s="102" t="str">
        <f t="shared" si="61"/>
        <v/>
      </c>
      <c r="Z89" s="99">
        <f>IF(COUNTIF($E$7:E89,E89)=1,"",COUNTIF($E$7:E89,E89))</f>
        <v>0</v>
      </c>
      <c r="AA89" s="99" t="str">
        <f t="shared" si="43"/>
        <v/>
      </c>
      <c r="AC89" s="99" t="str">
        <f t="shared" si="42"/>
        <v/>
      </c>
      <c r="AD89" s="99" t="str">
        <f t="shared" si="64"/>
        <v/>
      </c>
      <c r="AE89" s="99" t="str">
        <f t="shared" si="64"/>
        <v/>
      </c>
      <c r="AF89" s="99" t="str">
        <f t="shared" si="64"/>
        <v/>
      </c>
      <c r="AG89" s="99" t="str">
        <f t="shared" si="64"/>
        <v/>
      </c>
      <c r="AH89" s="99" t="str">
        <f t="shared" si="64"/>
        <v/>
      </c>
      <c r="AI89" s="99" t="str">
        <f t="shared" si="64"/>
        <v/>
      </c>
      <c r="AJ89" s="99" t="str">
        <f t="shared" si="64"/>
        <v/>
      </c>
      <c r="AK89" s="99" t="str">
        <f t="shared" si="64"/>
        <v/>
      </c>
      <c r="AL89" s="99" t="str">
        <f t="shared" si="64"/>
        <v/>
      </c>
      <c r="AM89" s="99" t="str">
        <f t="shared" si="64"/>
        <v/>
      </c>
      <c r="AN89" s="99" t="str">
        <f t="shared" si="64"/>
        <v/>
      </c>
      <c r="AP89" s="99" t="str">
        <f t="shared" si="44"/>
        <v/>
      </c>
      <c r="AQ89" s="99" t="str">
        <f t="shared" si="45"/>
        <v/>
      </c>
      <c r="AR89" s="99" t="str">
        <f t="shared" si="46"/>
        <v/>
      </c>
      <c r="AS89" s="99" t="str">
        <f t="shared" si="47"/>
        <v/>
      </c>
      <c r="AT89" s="99" t="str">
        <f t="shared" si="48"/>
        <v/>
      </c>
      <c r="AU89" s="99" t="str">
        <f t="shared" si="49"/>
        <v/>
      </c>
      <c r="AV89" s="99" t="str">
        <f t="shared" si="50"/>
        <v/>
      </c>
      <c r="AW89" s="99" t="str">
        <f t="shared" si="51"/>
        <v/>
      </c>
      <c r="AX89" s="99" t="str">
        <f t="shared" si="52"/>
        <v/>
      </c>
      <c r="AY89" s="99" t="str">
        <f t="shared" si="53"/>
        <v/>
      </c>
      <c r="AZ89" s="99" t="str">
        <f t="shared" si="54"/>
        <v/>
      </c>
      <c r="BA89" s="99" t="str">
        <f t="shared" si="55"/>
        <v/>
      </c>
      <c r="BB89" s="103" t="str">
        <f t="shared" si="62"/>
        <v/>
      </c>
      <c r="BE89" s="99" t="str">
        <f t="shared" si="56"/>
        <v/>
      </c>
      <c r="BF89" s="99" t="str">
        <f t="shared" si="57"/>
        <v/>
      </c>
      <c r="BG89" s="99" t="str">
        <f t="shared" si="58"/>
        <v/>
      </c>
      <c r="BH89" s="99" t="str">
        <f t="shared" si="63"/>
        <v/>
      </c>
      <c r="BI89" s="99" t="str">
        <f t="shared" si="59"/>
        <v/>
      </c>
    </row>
    <row r="90" spans="1:61" s="103" customFormat="1" ht="23.15" customHeight="1">
      <c r="A90" s="3">
        <v>84</v>
      </c>
      <c r="B90" s="15"/>
      <c r="C90" s="5"/>
      <c r="D90" s="6"/>
      <c r="E90" s="4"/>
      <c r="F90" s="7"/>
      <c r="G90" s="8"/>
      <c r="H90" s="9"/>
      <c r="I90" s="9"/>
      <c r="J90" s="9"/>
      <c r="K90" s="9"/>
      <c r="L90" s="9"/>
      <c r="M90" s="9"/>
      <c r="N90" s="9"/>
      <c r="O90" s="9"/>
      <c r="P90" s="9"/>
      <c r="Q90" s="10"/>
      <c r="R90" s="11"/>
      <c r="S90" s="12"/>
      <c r="T90" s="10"/>
      <c r="U90" s="17"/>
      <c r="V90" s="10"/>
      <c r="W90" s="13"/>
      <c r="X90" s="14" t="str">
        <f t="shared" si="60"/>
        <v/>
      </c>
      <c r="Y90" s="102" t="str">
        <f t="shared" si="61"/>
        <v/>
      </c>
      <c r="Z90" s="99">
        <f>IF(COUNTIF($E$7:E90,E90)=1,"",COUNTIF($E$7:E90,E90))</f>
        <v>0</v>
      </c>
      <c r="AA90" s="99" t="str">
        <f t="shared" si="43"/>
        <v/>
      </c>
      <c r="AC90" s="99" t="str">
        <f t="shared" si="42"/>
        <v/>
      </c>
      <c r="AD90" s="99" t="str">
        <f t="shared" si="64"/>
        <v/>
      </c>
      <c r="AE90" s="99" t="str">
        <f t="shared" si="64"/>
        <v/>
      </c>
      <c r="AF90" s="99" t="str">
        <f t="shared" si="64"/>
        <v/>
      </c>
      <c r="AG90" s="99" t="str">
        <f t="shared" si="64"/>
        <v/>
      </c>
      <c r="AH90" s="99" t="str">
        <f t="shared" si="64"/>
        <v/>
      </c>
      <c r="AI90" s="99" t="str">
        <f t="shared" si="64"/>
        <v/>
      </c>
      <c r="AJ90" s="99" t="str">
        <f t="shared" si="64"/>
        <v/>
      </c>
      <c r="AK90" s="99" t="str">
        <f t="shared" si="64"/>
        <v/>
      </c>
      <c r="AL90" s="99" t="str">
        <f t="shared" si="64"/>
        <v/>
      </c>
      <c r="AM90" s="99" t="str">
        <f t="shared" si="64"/>
        <v/>
      </c>
      <c r="AN90" s="99" t="str">
        <f t="shared" si="64"/>
        <v/>
      </c>
      <c r="AP90" s="99" t="str">
        <f t="shared" si="44"/>
        <v/>
      </c>
      <c r="AQ90" s="99" t="str">
        <f t="shared" si="45"/>
        <v/>
      </c>
      <c r="AR90" s="99" t="str">
        <f t="shared" si="46"/>
        <v/>
      </c>
      <c r="AS90" s="99" t="str">
        <f t="shared" si="47"/>
        <v/>
      </c>
      <c r="AT90" s="99" t="str">
        <f t="shared" si="48"/>
        <v/>
      </c>
      <c r="AU90" s="99" t="str">
        <f t="shared" si="49"/>
        <v/>
      </c>
      <c r="AV90" s="99" t="str">
        <f t="shared" si="50"/>
        <v/>
      </c>
      <c r="AW90" s="99" t="str">
        <f t="shared" si="51"/>
        <v/>
      </c>
      <c r="AX90" s="99" t="str">
        <f t="shared" si="52"/>
        <v/>
      </c>
      <c r="AY90" s="99" t="str">
        <f t="shared" si="53"/>
        <v/>
      </c>
      <c r="AZ90" s="99" t="str">
        <f t="shared" si="54"/>
        <v/>
      </c>
      <c r="BA90" s="99" t="str">
        <f t="shared" si="55"/>
        <v/>
      </c>
      <c r="BB90" s="103" t="str">
        <f t="shared" si="62"/>
        <v/>
      </c>
      <c r="BE90" s="99" t="str">
        <f t="shared" si="56"/>
        <v/>
      </c>
      <c r="BF90" s="99" t="str">
        <f t="shared" si="57"/>
        <v/>
      </c>
      <c r="BG90" s="99" t="str">
        <f t="shared" si="58"/>
        <v/>
      </c>
      <c r="BH90" s="99" t="str">
        <f t="shared" si="63"/>
        <v/>
      </c>
      <c r="BI90" s="99" t="str">
        <f t="shared" si="59"/>
        <v/>
      </c>
    </row>
    <row r="91" spans="1:61" s="103" customFormat="1" ht="23.15" customHeight="1">
      <c r="A91" s="3">
        <v>85</v>
      </c>
      <c r="B91" s="15"/>
      <c r="C91" s="5"/>
      <c r="D91" s="6"/>
      <c r="E91" s="4"/>
      <c r="F91" s="7"/>
      <c r="G91" s="8"/>
      <c r="H91" s="9"/>
      <c r="I91" s="9"/>
      <c r="J91" s="9"/>
      <c r="K91" s="9"/>
      <c r="L91" s="9"/>
      <c r="M91" s="9"/>
      <c r="N91" s="9"/>
      <c r="O91" s="9"/>
      <c r="P91" s="9"/>
      <c r="Q91" s="10"/>
      <c r="R91" s="11"/>
      <c r="S91" s="12"/>
      <c r="T91" s="10"/>
      <c r="U91" s="17"/>
      <c r="V91" s="10"/>
      <c r="W91" s="13"/>
      <c r="X91" s="14" t="str">
        <f t="shared" si="60"/>
        <v/>
      </c>
      <c r="Y91" s="102" t="str">
        <f t="shared" si="61"/>
        <v/>
      </c>
      <c r="Z91" s="99">
        <f>IF(COUNTIF($E$7:E91,E91)=1,"",COUNTIF($E$7:E91,E91))</f>
        <v>0</v>
      </c>
      <c r="AA91" s="99" t="str">
        <f t="shared" si="43"/>
        <v/>
      </c>
      <c r="AC91" s="99" t="str">
        <f t="shared" si="42"/>
        <v/>
      </c>
      <c r="AD91" s="99" t="str">
        <f t="shared" si="64"/>
        <v/>
      </c>
      <c r="AE91" s="99" t="str">
        <f t="shared" si="64"/>
        <v/>
      </c>
      <c r="AF91" s="99" t="str">
        <f t="shared" si="64"/>
        <v/>
      </c>
      <c r="AG91" s="99" t="str">
        <f t="shared" si="64"/>
        <v/>
      </c>
      <c r="AH91" s="99" t="str">
        <f t="shared" si="64"/>
        <v/>
      </c>
      <c r="AI91" s="99" t="str">
        <f t="shared" si="64"/>
        <v/>
      </c>
      <c r="AJ91" s="99" t="str">
        <f t="shared" si="64"/>
        <v/>
      </c>
      <c r="AK91" s="99" t="str">
        <f t="shared" si="64"/>
        <v/>
      </c>
      <c r="AL91" s="99" t="str">
        <f t="shared" si="64"/>
        <v/>
      </c>
      <c r="AM91" s="99" t="str">
        <f t="shared" si="64"/>
        <v/>
      </c>
      <c r="AN91" s="99" t="str">
        <f t="shared" si="64"/>
        <v/>
      </c>
      <c r="AP91" s="99" t="str">
        <f t="shared" si="44"/>
        <v/>
      </c>
      <c r="AQ91" s="99" t="str">
        <f t="shared" si="45"/>
        <v/>
      </c>
      <c r="AR91" s="99" t="str">
        <f t="shared" si="46"/>
        <v/>
      </c>
      <c r="AS91" s="99" t="str">
        <f t="shared" si="47"/>
        <v/>
      </c>
      <c r="AT91" s="99" t="str">
        <f t="shared" si="48"/>
        <v/>
      </c>
      <c r="AU91" s="99" t="str">
        <f t="shared" si="49"/>
        <v/>
      </c>
      <c r="AV91" s="99" t="str">
        <f t="shared" si="50"/>
        <v/>
      </c>
      <c r="AW91" s="99" t="str">
        <f t="shared" si="51"/>
        <v/>
      </c>
      <c r="AX91" s="99" t="str">
        <f t="shared" si="52"/>
        <v/>
      </c>
      <c r="AY91" s="99" t="str">
        <f t="shared" si="53"/>
        <v/>
      </c>
      <c r="AZ91" s="99" t="str">
        <f t="shared" si="54"/>
        <v/>
      </c>
      <c r="BA91" s="99" t="str">
        <f t="shared" si="55"/>
        <v/>
      </c>
      <c r="BB91" s="103" t="str">
        <f t="shared" si="62"/>
        <v/>
      </c>
      <c r="BE91" s="99" t="str">
        <f t="shared" si="56"/>
        <v/>
      </c>
      <c r="BF91" s="99" t="str">
        <f t="shared" si="57"/>
        <v/>
      </c>
      <c r="BG91" s="99" t="str">
        <f t="shared" si="58"/>
        <v/>
      </c>
      <c r="BH91" s="99" t="str">
        <f t="shared" si="63"/>
        <v/>
      </c>
      <c r="BI91" s="99" t="str">
        <f t="shared" si="59"/>
        <v/>
      </c>
    </row>
    <row r="92" spans="1:61" s="103" customFormat="1" ht="23.15" customHeight="1">
      <c r="A92" s="3">
        <v>86</v>
      </c>
      <c r="B92" s="15"/>
      <c r="C92" s="5"/>
      <c r="D92" s="6"/>
      <c r="E92" s="4"/>
      <c r="F92" s="7"/>
      <c r="G92" s="8"/>
      <c r="H92" s="9"/>
      <c r="I92" s="9"/>
      <c r="J92" s="9"/>
      <c r="K92" s="9"/>
      <c r="L92" s="9"/>
      <c r="M92" s="9"/>
      <c r="N92" s="9"/>
      <c r="O92" s="9"/>
      <c r="P92" s="9"/>
      <c r="Q92" s="10"/>
      <c r="R92" s="11"/>
      <c r="S92" s="12"/>
      <c r="T92" s="10"/>
      <c r="U92" s="17"/>
      <c r="V92" s="10"/>
      <c r="W92" s="13"/>
      <c r="X92" s="14" t="str">
        <f t="shared" si="60"/>
        <v/>
      </c>
      <c r="Y92" s="102" t="str">
        <f t="shared" si="61"/>
        <v/>
      </c>
      <c r="Z92" s="99">
        <f>IF(COUNTIF($E$7:E92,E92)=1,"",COUNTIF($E$7:E92,E92))</f>
        <v>0</v>
      </c>
      <c r="AA92" s="99" t="str">
        <f t="shared" si="43"/>
        <v/>
      </c>
      <c r="AC92" s="99" t="str">
        <f t="shared" si="42"/>
        <v/>
      </c>
      <c r="AD92" s="99" t="str">
        <f t="shared" si="64"/>
        <v/>
      </c>
      <c r="AE92" s="99" t="str">
        <f t="shared" si="64"/>
        <v/>
      </c>
      <c r="AF92" s="99" t="str">
        <f t="shared" si="64"/>
        <v/>
      </c>
      <c r="AG92" s="99" t="str">
        <f t="shared" si="64"/>
        <v/>
      </c>
      <c r="AH92" s="99" t="str">
        <f t="shared" si="64"/>
        <v/>
      </c>
      <c r="AI92" s="99" t="str">
        <f t="shared" si="64"/>
        <v/>
      </c>
      <c r="AJ92" s="99" t="str">
        <f t="shared" si="64"/>
        <v/>
      </c>
      <c r="AK92" s="99" t="str">
        <f t="shared" si="64"/>
        <v/>
      </c>
      <c r="AL92" s="99" t="str">
        <f t="shared" si="64"/>
        <v/>
      </c>
      <c r="AM92" s="99" t="str">
        <f t="shared" si="64"/>
        <v/>
      </c>
      <c r="AN92" s="99" t="str">
        <f t="shared" si="64"/>
        <v/>
      </c>
      <c r="AP92" s="99" t="str">
        <f t="shared" si="44"/>
        <v/>
      </c>
      <c r="AQ92" s="99" t="str">
        <f t="shared" si="45"/>
        <v/>
      </c>
      <c r="AR92" s="99" t="str">
        <f t="shared" si="46"/>
        <v/>
      </c>
      <c r="AS92" s="99" t="str">
        <f t="shared" si="47"/>
        <v/>
      </c>
      <c r="AT92" s="99" t="str">
        <f t="shared" si="48"/>
        <v/>
      </c>
      <c r="AU92" s="99" t="str">
        <f t="shared" si="49"/>
        <v/>
      </c>
      <c r="AV92" s="99" t="str">
        <f t="shared" si="50"/>
        <v/>
      </c>
      <c r="AW92" s="99" t="str">
        <f t="shared" si="51"/>
        <v/>
      </c>
      <c r="AX92" s="99" t="str">
        <f t="shared" si="52"/>
        <v/>
      </c>
      <c r="AY92" s="99" t="str">
        <f t="shared" si="53"/>
        <v/>
      </c>
      <c r="AZ92" s="99" t="str">
        <f t="shared" si="54"/>
        <v/>
      </c>
      <c r="BA92" s="99" t="str">
        <f t="shared" si="55"/>
        <v/>
      </c>
      <c r="BB92" s="103" t="str">
        <f t="shared" si="62"/>
        <v/>
      </c>
      <c r="BE92" s="99" t="str">
        <f t="shared" si="56"/>
        <v/>
      </c>
      <c r="BF92" s="99" t="str">
        <f t="shared" si="57"/>
        <v/>
      </c>
      <c r="BG92" s="99" t="str">
        <f t="shared" si="58"/>
        <v/>
      </c>
      <c r="BH92" s="99" t="str">
        <f t="shared" si="63"/>
        <v/>
      </c>
      <c r="BI92" s="99" t="str">
        <f t="shared" si="59"/>
        <v/>
      </c>
    </row>
    <row r="93" spans="1:61" s="103" customFormat="1" ht="23.15" customHeight="1">
      <c r="A93" s="3">
        <v>87</v>
      </c>
      <c r="B93" s="15"/>
      <c r="C93" s="5"/>
      <c r="D93" s="6"/>
      <c r="E93" s="4"/>
      <c r="F93" s="7"/>
      <c r="G93" s="8"/>
      <c r="H93" s="9"/>
      <c r="I93" s="9"/>
      <c r="J93" s="9"/>
      <c r="K93" s="9"/>
      <c r="L93" s="9"/>
      <c r="M93" s="9"/>
      <c r="N93" s="9"/>
      <c r="O93" s="9"/>
      <c r="P93" s="9"/>
      <c r="Q93" s="10"/>
      <c r="R93" s="11"/>
      <c r="S93" s="12"/>
      <c r="T93" s="10"/>
      <c r="U93" s="17"/>
      <c r="V93" s="10"/>
      <c r="W93" s="13"/>
      <c r="X93" s="14" t="str">
        <f t="shared" si="60"/>
        <v/>
      </c>
      <c r="Y93" s="102" t="str">
        <f t="shared" si="61"/>
        <v/>
      </c>
      <c r="Z93" s="99">
        <f>IF(COUNTIF($E$7:E93,E93)=1,"",COUNTIF($E$7:E93,E93))</f>
        <v>0</v>
      </c>
      <c r="AA93" s="99" t="str">
        <f t="shared" si="43"/>
        <v/>
      </c>
      <c r="AC93" s="99" t="str">
        <f t="shared" si="42"/>
        <v/>
      </c>
      <c r="AD93" s="99" t="str">
        <f t="shared" si="64"/>
        <v/>
      </c>
      <c r="AE93" s="99" t="str">
        <f t="shared" si="64"/>
        <v/>
      </c>
      <c r="AF93" s="99" t="str">
        <f t="shared" si="64"/>
        <v/>
      </c>
      <c r="AG93" s="99" t="str">
        <f t="shared" si="64"/>
        <v/>
      </c>
      <c r="AH93" s="99" t="str">
        <f t="shared" si="64"/>
        <v/>
      </c>
      <c r="AI93" s="99" t="str">
        <f t="shared" si="64"/>
        <v/>
      </c>
      <c r="AJ93" s="99" t="str">
        <f t="shared" si="64"/>
        <v/>
      </c>
      <c r="AK93" s="99" t="str">
        <f t="shared" si="64"/>
        <v/>
      </c>
      <c r="AL93" s="99" t="str">
        <f t="shared" si="64"/>
        <v/>
      </c>
      <c r="AM93" s="99" t="str">
        <f t="shared" si="64"/>
        <v/>
      </c>
      <c r="AN93" s="99" t="str">
        <f t="shared" si="64"/>
        <v/>
      </c>
      <c r="AP93" s="99" t="str">
        <f t="shared" si="44"/>
        <v/>
      </c>
      <c r="AQ93" s="99" t="str">
        <f t="shared" si="45"/>
        <v/>
      </c>
      <c r="AR93" s="99" t="str">
        <f t="shared" si="46"/>
        <v/>
      </c>
      <c r="AS93" s="99" t="str">
        <f t="shared" si="47"/>
        <v/>
      </c>
      <c r="AT93" s="99" t="str">
        <f t="shared" si="48"/>
        <v/>
      </c>
      <c r="AU93" s="99" t="str">
        <f t="shared" si="49"/>
        <v/>
      </c>
      <c r="AV93" s="99" t="str">
        <f t="shared" si="50"/>
        <v/>
      </c>
      <c r="AW93" s="99" t="str">
        <f t="shared" si="51"/>
        <v/>
      </c>
      <c r="AX93" s="99" t="str">
        <f t="shared" si="52"/>
        <v/>
      </c>
      <c r="AY93" s="99" t="str">
        <f t="shared" si="53"/>
        <v/>
      </c>
      <c r="AZ93" s="99" t="str">
        <f t="shared" si="54"/>
        <v/>
      </c>
      <c r="BA93" s="99" t="str">
        <f t="shared" si="55"/>
        <v/>
      </c>
      <c r="BB93" s="103" t="str">
        <f t="shared" si="62"/>
        <v/>
      </c>
      <c r="BE93" s="99" t="str">
        <f t="shared" si="56"/>
        <v/>
      </c>
      <c r="BF93" s="99" t="str">
        <f t="shared" si="57"/>
        <v/>
      </c>
      <c r="BG93" s="99" t="str">
        <f t="shared" si="58"/>
        <v/>
      </c>
      <c r="BH93" s="99" t="str">
        <f t="shared" si="63"/>
        <v/>
      </c>
      <c r="BI93" s="99" t="str">
        <f t="shared" si="59"/>
        <v/>
      </c>
    </row>
    <row r="94" spans="1:61" s="103" customFormat="1" ht="23.15" customHeight="1">
      <c r="A94" s="3">
        <v>88</v>
      </c>
      <c r="B94" s="15"/>
      <c r="C94" s="5"/>
      <c r="D94" s="6"/>
      <c r="E94" s="4"/>
      <c r="F94" s="7"/>
      <c r="G94" s="8"/>
      <c r="H94" s="9"/>
      <c r="I94" s="9"/>
      <c r="J94" s="9"/>
      <c r="K94" s="9"/>
      <c r="L94" s="9"/>
      <c r="M94" s="9"/>
      <c r="N94" s="9"/>
      <c r="O94" s="9"/>
      <c r="P94" s="9"/>
      <c r="Q94" s="10"/>
      <c r="R94" s="11"/>
      <c r="S94" s="12"/>
      <c r="T94" s="10"/>
      <c r="U94" s="17"/>
      <c r="V94" s="10"/>
      <c r="W94" s="13"/>
      <c r="X94" s="14" t="str">
        <f t="shared" si="60"/>
        <v/>
      </c>
      <c r="Y94" s="102" t="str">
        <f t="shared" si="61"/>
        <v/>
      </c>
      <c r="Z94" s="99">
        <f>IF(COUNTIF($E$7:E94,E94)=1,"",COUNTIF($E$7:E94,E94))</f>
        <v>0</v>
      </c>
      <c r="AA94" s="99" t="str">
        <f t="shared" si="43"/>
        <v/>
      </c>
      <c r="AC94" s="99" t="str">
        <f t="shared" si="42"/>
        <v/>
      </c>
      <c r="AD94" s="99" t="str">
        <f t="shared" si="64"/>
        <v/>
      </c>
      <c r="AE94" s="99" t="str">
        <f t="shared" si="64"/>
        <v/>
      </c>
      <c r="AF94" s="99" t="str">
        <f t="shared" si="64"/>
        <v/>
      </c>
      <c r="AG94" s="99" t="str">
        <f t="shared" si="64"/>
        <v/>
      </c>
      <c r="AH94" s="99" t="str">
        <f t="shared" si="64"/>
        <v/>
      </c>
      <c r="AI94" s="99" t="str">
        <f t="shared" si="64"/>
        <v/>
      </c>
      <c r="AJ94" s="99" t="str">
        <f t="shared" si="64"/>
        <v/>
      </c>
      <c r="AK94" s="99" t="str">
        <f t="shared" si="64"/>
        <v/>
      </c>
      <c r="AL94" s="99" t="str">
        <f t="shared" si="64"/>
        <v/>
      </c>
      <c r="AM94" s="99" t="str">
        <f t="shared" si="64"/>
        <v/>
      </c>
      <c r="AN94" s="99" t="str">
        <f t="shared" si="64"/>
        <v/>
      </c>
      <c r="AP94" s="99" t="str">
        <f t="shared" si="44"/>
        <v/>
      </c>
      <c r="AQ94" s="99" t="str">
        <f t="shared" si="45"/>
        <v/>
      </c>
      <c r="AR94" s="99" t="str">
        <f t="shared" si="46"/>
        <v/>
      </c>
      <c r="AS94" s="99" t="str">
        <f t="shared" si="47"/>
        <v/>
      </c>
      <c r="AT94" s="99" t="str">
        <f t="shared" si="48"/>
        <v/>
      </c>
      <c r="AU94" s="99" t="str">
        <f t="shared" si="49"/>
        <v/>
      </c>
      <c r="AV94" s="99" t="str">
        <f t="shared" si="50"/>
        <v/>
      </c>
      <c r="AW94" s="99" t="str">
        <f t="shared" si="51"/>
        <v/>
      </c>
      <c r="AX94" s="99" t="str">
        <f t="shared" si="52"/>
        <v/>
      </c>
      <c r="AY94" s="99" t="str">
        <f t="shared" si="53"/>
        <v/>
      </c>
      <c r="AZ94" s="99" t="str">
        <f t="shared" si="54"/>
        <v/>
      </c>
      <c r="BA94" s="99" t="str">
        <f t="shared" si="55"/>
        <v/>
      </c>
      <c r="BB94" s="103" t="str">
        <f t="shared" si="62"/>
        <v/>
      </c>
      <c r="BE94" s="99" t="str">
        <f t="shared" si="56"/>
        <v/>
      </c>
      <c r="BF94" s="99" t="str">
        <f t="shared" si="57"/>
        <v/>
      </c>
      <c r="BG94" s="99" t="str">
        <f t="shared" si="58"/>
        <v/>
      </c>
      <c r="BH94" s="99" t="str">
        <f t="shared" si="63"/>
        <v/>
      </c>
      <c r="BI94" s="99" t="str">
        <f t="shared" si="59"/>
        <v/>
      </c>
    </row>
    <row r="95" spans="1:61" s="103" customFormat="1" ht="23.15" customHeight="1">
      <c r="A95" s="3">
        <v>89</v>
      </c>
      <c r="B95" s="15"/>
      <c r="C95" s="5"/>
      <c r="D95" s="6"/>
      <c r="E95" s="4"/>
      <c r="F95" s="7"/>
      <c r="G95" s="8"/>
      <c r="H95" s="9"/>
      <c r="I95" s="9"/>
      <c r="J95" s="9"/>
      <c r="K95" s="9"/>
      <c r="L95" s="9"/>
      <c r="M95" s="9"/>
      <c r="N95" s="9"/>
      <c r="O95" s="9"/>
      <c r="P95" s="9"/>
      <c r="Q95" s="10"/>
      <c r="R95" s="11"/>
      <c r="S95" s="12"/>
      <c r="T95" s="10"/>
      <c r="U95" s="17"/>
      <c r="V95" s="10"/>
      <c r="W95" s="13"/>
      <c r="X95" s="14" t="str">
        <f t="shared" si="60"/>
        <v/>
      </c>
      <c r="Y95" s="102" t="str">
        <f t="shared" si="61"/>
        <v/>
      </c>
      <c r="Z95" s="99">
        <f>IF(COUNTIF($E$7:E95,E95)=1,"",COUNTIF($E$7:E95,E95))</f>
        <v>0</v>
      </c>
      <c r="AA95" s="99" t="str">
        <f t="shared" si="43"/>
        <v/>
      </c>
      <c r="AC95" s="99" t="str">
        <f t="shared" si="42"/>
        <v/>
      </c>
      <c r="AD95" s="99" t="str">
        <f t="shared" si="64"/>
        <v/>
      </c>
      <c r="AE95" s="99" t="str">
        <f t="shared" si="64"/>
        <v/>
      </c>
      <c r="AF95" s="99" t="str">
        <f t="shared" si="64"/>
        <v/>
      </c>
      <c r="AG95" s="99" t="str">
        <f t="shared" si="64"/>
        <v/>
      </c>
      <c r="AH95" s="99" t="str">
        <f t="shared" si="64"/>
        <v/>
      </c>
      <c r="AI95" s="99" t="str">
        <f t="shared" si="64"/>
        <v/>
      </c>
      <c r="AJ95" s="99" t="str">
        <f t="shared" si="64"/>
        <v/>
      </c>
      <c r="AK95" s="99" t="str">
        <f t="shared" si="64"/>
        <v/>
      </c>
      <c r="AL95" s="99" t="str">
        <f t="shared" si="64"/>
        <v/>
      </c>
      <c r="AM95" s="99" t="str">
        <f t="shared" si="64"/>
        <v/>
      </c>
      <c r="AN95" s="99" t="str">
        <f t="shared" si="64"/>
        <v/>
      </c>
      <c r="AP95" s="99" t="str">
        <f t="shared" si="44"/>
        <v/>
      </c>
      <c r="AQ95" s="99" t="str">
        <f t="shared" si="45"/>
        <v/>
      </c>
      <c r="AR95" s="99" t="str">
        <f t="shared" si="46"/>
        <v/>
      </c>
      <c r="AS95" s="99" t="str">
        <f t="shared" si="47"/>
        <v/>
      </c>
      <c r="AT95" s="99" t="str">
        <f t="shared" si="48"/>
        <v/>
      </c>
      <c r="AU95" s="99" t="str">
        <f t="shared" si="49"/>
        <v/>
      </c>
      <c r="AV95" s="99" t="str">
        <f t="shared" si="50"/>
        <v/>
      </c>
      <c r="AW95" s="99" t="str">
        <f t="shared" si="51"/>
        <v/>
      </c>
      <c r="AX95" s="99" t="str">
        <f t="shared" si="52"/>
        <v/>
      </c>
      <c r="AY95" s="99" t="str">
        <f t="shared" si="53"/>
        <v/>
      </c>
      <c r="AZ95" s="99" t="str">
        <f t="shared" si="54"/>
        <v/>
      </c>
      <c r="BA95" s="99" t="str">
        <f t="shared" si="55"/>
        <v/>
      </c>
      <c r="BB95" s="103" t="str">
        <f t="shared" si="62"/>
        <v/>
      </c>
      <c r="BE95" s="99" t="str">
        <f t="shared" si="56"/>
        <v/>
      </c>
      <c r="BF95" s="99" t="str">
        <f t="shared" si="57"/>
        <v/>
      </c>
      <c r="BG95" s="99" t="str">
        <f t="shared" si="58"/>
        <v/>
      </c>
      <c r="BH95" s="99" t="str">
        <f t="shared" si="63"/>
        <v/>
      </c>
      <c r="BI95" s="99" t="str">
        <f t="shared" si="59"/>
        <v/>
      </c>
    </row>
    <row r="96" spans="1:61" s="103" customFormat="1" ht="23.15" customHeight="1">
      <c r="A96" s="3">
        <v>90</v>
      </c>
      <c r="B96" s="15"/>
      <c r="C96" s="5"/>
      <c r="D96" s="6"/>
      <c r="E96" s="4"/>
      <c r="F96" s="7"/>
      <c r="G96" s="8"/>
      <c r="H96" s="9"/>
      <c r="I96" s="9"/>
      <c r="J96" s="9"/>
      <c r="K96" s="9"/>
      <c r="L96" s="9"/>
      <c r="M96" s="9"/>
      <c r="N96" s="9"/>
      <c r="O96" s="9"/>
      <c r="P96" s="9"/>
      <c r="Q96" s="10"/>
      <c r="R96" s="11"/>
      <c r="S96" s="12"/>
      <c r="T96" s="10"/>
      <c r="U96" s="17"/>
      <c r="V96" s="10"/>
      <c r="W96" s="13"/>
      <c r="X96" s="14" t="str">
        <f t="shared" si="60"/>
        <v/>
      </c>
      <c r="Y96" s="102" t="str">
        <f t="shared" si="61"/>
        <v/>
      </c>
      <c r="Z96" s="99">
        <f>IF(COUNTIF($E$7:E96,E96)=1,"",COUNTIF($E$7:E96,E96))</f>
        <v>0</v>
      </c>
      <c r="AA96" s="99" t="str">
        <f t="shared" si="43"/>
        <v/>
      </c>
      <c r="AC96" s="99" t="str">
        <f t="shared" si="42"/>
        <v/>
      </c>
      <c r="AD96" s="99" t="str">
        <f t="shared" si="64"/>
        <v/>
      </c>
      <c r="AE96" s="99" t="str">
        <f t="shared" si="64"/>
        <v/>
      </c>
      <c r="AF96" s="99" t="str">
        <f t="shared" si="64"/>
        <v/>
      </c>
      <c r="AG96" s="99" t="str">
        <f t="shared" si="64"/>
        <v/>
      </c>
      <c r="AH96" s="99" t="str">
        <f t="shared" si="64"/>
        <v/>
      </c>
      <c r="AI96" s="99" t="str">
        <f t="shared" si="64"/>
        <v/>
      </c>
      <c r="AJ96" s="99" t="str">
        <f t="shared" si="64"/>
        <v/>
      </c>
      <c r="AK96" s="99" t="str">
        <f t="shared" si="64"/>
        <v/>
      </c>
      <c r="AL96" s="99" t="str">
        <f t="shared" si="64"/>
        <v/>
      </c>
      <c r="AM96" s="99" t="str">
        <f t="shared" si="64"/>
        <v/>
      </c>
      <c r="AN96" s="99" t="str">
        <f t="shared" si="64"/>
        <v/>
      </c>
      <c r="AP96" s="99" t="str">
        <f t="shared" si="44"/>
        <v/>
      </c>
      <c r="AQ96" s="99" t="str">
        <f t="shared" si="45"/>
        <v/>
      </c>
      <c r="AR96" s="99" t="str">
        <f t="shared" si="46"/>
        <v/>
      </c>
      <c r="AS96" s="99" t="str">
        <f t="shared" si="47"/>
        <v/>
      </c>
      <c r="AT96" s="99" t="str">
        <f t="shared" si="48"/>
        <v/>
      </c>
      <c r="AU96" s="99" t="str">
        <f t="shared" si="49"/>
        <v/>
      </c>
      <c r="AV96" s="99" t="str">
        <f t="shared" si="50"/>
        <v/>
      </c>
      <c r="AW96" s="99" t="str">
        <f t="shared" si="51"/>
        <v/>
      </c>
      <c r="AX96" s="99" t="str">
        <f t="shared" si="52"/>
        <v/>
      </c>
      <c r="AY96" s="99" t="str">
        <f t="shared" si="53"/>
        <v/>
      </c>
      <c r="AZ96" s="99" t="str">
        <f t="shared" si="54"/>
        <v/>
      </c>
      <c r="BA96" s="99" t="str">
        <f t="shared" si="55"/>
        <v/>
      </c>
      <c r="BB96" s="103" t="str">
        <f t="shared" si="62"/>
        <v/>
      </c>
      <c r="BE96" s="99" t="str">
        <f t="shared" si="56"/>
        <v/>
      </c>
      <c r="BF96" s="99" t="str">
        <f t="shared" si="57"/>
        <v/>
      </c>
      <c r="BG96" s="99" t="str">
        <f t="shared" si="58"/>
        <v/>
      </c>
      <c r="BH96" s="99" t="str">
        <f t="shared" si="63"/>
        <v/>
      </c>
      <c r="BI96" s="99" t="str">
        <f t="shared" si="59"/>
        <v/>
      </c>
    </row>
    <row r="97" spans="1:61" s="103" customFormat="1" ht="23.15" customHeight="1">
      <c r="A97" s="3">
        <v>91</v>
      </c>
      <c r="B97" s="15"/>
      <c r="C97" s="5"/>
      <c r="D97" s="6"/>
      <c r="E97" s="4"/>
      <c r="F97" s="7"/>
      <c r="G97" s="8"/>
      <c r="H97" s="9"/>
      <c r="I97" s="9"/>
      <c r="J97" s="9"/>
      <c r="K97" s="9"/>
      <c r="L97" s="9"/>
      <c r="M97" s="9"/>
      <c r="N97" s="9"/>
      <c r="O97" s="9"/>
      <c r="P97" s="9"/>
      <c r="Q97" s="10"/>
      <c r="R97" s="11"/>
      <c r="S97" s="12"/>
      <c r="T97" s="10"/>
      <c r="U97" s="17"/>
      <c r="V97" s="10"/>
      <c r="W97" s="13"/>
      <c r="X97" s="14" t="str">
        <f t="shared" si="60"/>
        <v/>
      </c>
      <c r="Y97" s="102" t="str">
        <f t="shared" si="61"/>
        <v/>
      </c>
      <c r="Z97" s="99">
        <f>IF(COUNTIF($E$7:E97,E97)=1,"",COUNTIF($E$7:E97,E97))</f>
        <v>0</v>
      </c>
      <c r="AA97" s="99" t="str">
        <f t="shared" si="43"/>
        <v/>
      </c>
      <c r="AC97" s="99" t="str">
        <f t="shared" si="42"/>
        <v/>
      </c>
      <c r="AD97" s="99" t="str">
        <f t="shared" si="64"/>
        <v/>
      </c>
      <c r="AE97" s="99" t="str">
        <f t="shared" si="64"/>
        <v/>
      </c>
      <c r="AF97" s="99" t="str">
        <f t="shared" si="64"/>
        <v/>
      </c>
      <c r="AG97" s="99" t="str">
        <f t="shared" si="64"/>
        <v/>
      </c>
      <c r="AH97" s="99" t="str">
        <f t="shared" si="64"/>
        <v/>
      </c>
      <c r="AI97" s="99" t="str">
        <f t="shared" si="64"/>
        <v/>
      </c>
      <c r="AJ97" s="99" t="str">
        <f t="shared" si="64"/>
        <v/>
      </c>
      <c r="AK97" s="99" t="str">
        <f t="shared" si="64"/>
        <v/>
      </c>
      <c r="AL97" s="99" t="str">
        <f t="shared" si="64"/>
        <v/>
      </c>
      <c r="AM97" s="99" t="str">
        <f t="shared" si="64"/>
        <v/>
      </c>
      <c r="AN97" s="99" t="str">
        <f t="shared" si="64"/>
        <v/>
      </c>
      <c r="AP97" s="99" t="str">
        <f t="shared" si="44"/>
        <v/>
      </c>
      <c r="AQ97" s="99" t="str">
        <f t="shared" si="45"/>
        <v/>
      </c>
      <c r="AR97" s="99" t="str">
        <f t="shared" si="46"/>
        <v/>
      </c>
      <c r="AS97" s="99" t="str">
        <f t="shared" si="47"/>
        <v/>
      </c>
      <c r="AT97" s="99" t="str">
        <f t="shared" si="48"/>
        <v/>
      </c>
      <c r="AU97" s="99" t="str">
        <f t="shared" si="49"/>
        <v/>
      </c>
      <c r="AV97" s="99" t="str">
        <f t="shared" si="50"/>
        <v/>
      </c>
      <c r="AW97" s="99" t="str">
        <f t="shared" si="51"/>
        <v/>
      </c>
      <c r="AX97" s="99" t="str">
        <f t="shared" si="52"/>
        <v/>
      </c>
      <c r="AY97" s="99" t="str">
        <f t="shared" si="53"/>
        <v/>
      </c>
      <c r="AZ97" s="99" t="str">
        <f t="shared" si="54"/>
        <v/>
      </c>
      <c r="BA97" s="99" t="str">
        <f t="shared" si="55"/>
        <v/>
      </c>
      <c r="BB97" s="103" t="str">
        <f t="shared" si="62"/>
        <v/>
      </c>
      <c r="BE97" s="99" t="str">
        <f t="shared" si="56"/>
        <v/>
      </c>
      <c r="BF97" s="99" t="str">
        <f t="shared" si="57"/>
        <v/>
      </c>
      <c r="BG97" s="99" t="str">
        <f t="shared" si="58"/>
        <v/>
      </c>
      <c r="BH97" s="99" t="str">
        <f t="shared" si="63"/>
        <v/>
      </c>
      <c r="BI97" s="99" t="str">
        <f t="shared" si="59"/>
        <v/>
      </c>
    </row>
    <row r="98" spans="1:61" s="103" customFormat="1" ht="23.15" customHeight="1">
      <c r="A98" s="3">
        <v>92</v>
      </c>
      <c r="B98" s="15"/>
      <c r="C98" s="5"/>
      <c r="D98" s="6"/>
      <c r="E98" s="4"/>
      <c r="F98" s="7"/>
      <c r="G98" s="8"/>
      <c r="H98" s="9"/>
      <c r="I98" s="9"/>
      <c r="J98" s="9"/>
      <c r="K98" s="9"/>
      <c r="L98" s="9"/>
      <c r="M98" s="9"/>
      <c r="N98" s="9"/>
      <c r="O98" s="9"/>
      <c r="P98" s="9"/>
      <c r="Q98" s="10"/>
      <c r="R98" s="11"/>
      <c r="S98" s="12"/>
      <c r="T98" s="10"/>
      <c r="U98" s="17"/>
      <c r="V98" s="10"/>
      <c r="W98" s="13"/>
      <c r="X98" s="14" t="str">
        <f t="shared" si="60"/>
        <v/>
      </c>
      <c r="Y98" s="102" t="str">
        <f t="shared" si="61"/>
        <v/>
      </c>
      <c r="Z98" s="99">
        <f>IF(COUNTIF($E$7:E98,E98)=1,"",COUNTIF($E$7:E98,E98))</f>
        <v>0</v>
      </c>
      <c r="AA98" s="99" t="str">
        <f t="shared" si="43"/>
        <v/>
      </c>
      <c r="AC98" s="99" t="str">
        <f t="shared" si="42"/>
        <v/>
      </c>
      <c r="AD98" s="99" t="str">
        <f t="shared" si="64"/>
        <v/>
      </c>
      <c r="AE98" s="99" t="str">
        <f t="shared" si="64"/>
        <v/>
      </c>
      <c r="AF98" s="99" t="str">
        <f t="shared" si="64"/>
        <v/>
      </c>
      <c r="AG98" s="99" t="str">
        <f t="shared" si="64"/>
        <v/>
      </c>
      <c r="AH98" s="99" t="str">
        <f t="shared" si="64"/>
        <v/>
      </c>
      <c r="AI98" s="99" t="str">
        <f t="shared" si="64"/>
        <v/>
      </c>
      <c r="AJ98" s="99" t="str">
        <f t="shared" si="64"/>
        <v/>
      </c>
      <c r="AK98" s="99" t="str">
        <f t="shared" si="64"/>
        <v/>
      </c>
      <c r="AL98" s="99" t="str">
        <f t="shared" si="64"/>
        <v/>
      </c>
      <c r="AM98" s="99" t="str">
        <f t="shared" si="64"/>
        <v/>
      </c>
      <c r="AN98" s="99" t="str">
        <f t="shared" si="64"/>
        <v/>
      </c>
      <c r="AP98" s="99" t="str">
        <f t="shared" si="44"/>
        <v/>
      </c>
      <c r="AQ98" s="99" t="str">
        <f t="shared" si="45"/>
        <v/>
      </c>
      <c r="AR98" s="99" t="str">
        <f t="shared" si="46"/>
        <v/>
      </c>
      <c r="AS98" s="99" t="str">
        <f t="shared" si="47"/>
        <v/>
      </c>
      <c r="AT98" s="99" t="str">
        <f t="shared" si="48"/>
        <v/>
      </c>
      <c r="AU98" s="99" t="str">
        <f t="shared" si="49"/>
        <v/>
      </c>
      <c r="AV98" s="99" t="str">
        <f t="shared" si="50"/>
        <v/>
      </c>
      <c r="AW98" s="99" t="str">
        <f t="shared" si="51"/>
        <v/>
      </c>
      <c r="AX98" s="99" t="str">
        <f t="shared" si="52"/>
        <v/>
      </c>
      <c r="AY98" s="99" t="str">
        <f t="shared" si="53"/>
        <v/>
      </c>
      <c r="AZ98" s="99" t="str">
        <f t="shared" si="54"/>
        <v/>
      </c>
      <c r="BA98" s="99" t="str">
        <f t="shared" si="55"/>
        <v/>
      </c>
      <c r="BB98" s="103" t="str">
        <f t="shared" si="62"/>
        <v/>
      </c>
      <c r="BE98" s="99" t="str">
        <f t="shared" si="56"/>
        <v/>
      </c>
      <c r="BF98" s="99" t="str">
        <f t="shared" si="57"/>
        <v/>
      </c>
      <c r="BG98" s="99" t="str">
        <f t="shared" si="58"/>
        <v/>
      </c>
      <c r="BH98" s="99" t="str">
        <f t="shared" si="63"/>
        <v/>
      </c>
      <c r="BI98" s="99" t="str">
        <f t="shared" si="59"/>
        <v/>
      </c>
    </row>
    <row r="99" spans="1:61" s="103" customFormat="1" ht="23.15" customHeight="1">
      <c r="A99" s="3">
        <v>93</v>
      </c>
      <c r="B99" s="15"/>
      <c r="C99" s="5"/>
      <c r="D99" s="6"/>
      <c r="E99" s="4"/>
      <c r="F99" s="7"/>
      <c r="G99" s="8"/>
      <c r="H99" s="9"/>
      <c r="I99" s="9"/>
      <c r="J99" s="9"/>
      <c r="K99" s="9"/>
      <c r="L99" s="9"/>
      <c r="M99" s="9"/>
      <c r="N99" s="9"/>
      <c r="O99" s="9"/>
      <c r="P99" s="9"/>
      <c r="Q99" s="10"/>
      <c r="R99" s="11"/>
      <c r="S99" s="12"/>
      <c r="T99" s="10"/>
      <c r="U99" s="17"/>
      <c r="V99" s="10"/>
      <c r="W99" s="13"/>
      <c r="X99" s="14" t="str">
        <f t="shared" si="60"/>
        <v/>
      </c>
      <c r="Y99" s="102" t="str">
        <f t="shared" si="61"/>
        <v/>
      </c>
      <c r="Z99" s="99">
        <f>IF(COUNTIF($E$7:E99,E99)=1,"",COUNTIF($E$7:E99,E99))</f>
        <v>0</v>
      </c>
      <c r="AA99" s="99" t="str">
        <f t="shared" si="43"/>
        <v/>
      </c>
      <c r="AC99" s="99" t="str">
        <f t="shared" si="42"/>
        <v/>
      </c>
      <c r="AD99" s="99" t="str">
        <f t="shared" si="64"/>
        <v/>
      </c>
      <c r="AE99" s="99" t="str">
        <f t="shared" si="64"/>
        <v/>
      </c>
      <c r="AF99" s="99" t="str">
        <f t="shared" si="64"/>
        <v/>
      </c>
      <c r="AG99" s="99" t="str">
        <f t="shared" si="64"/>
        <v/>
      </c>
      <c r="AH99" s="99" t="str">
        <f t="shared" si="64"/>
        <v/>
      </c>
      <c r="AI99" s="99" t="str">
        <f t="shared" si="64"/>
        <v/>
      </c>
      <c r="AJ99" s="99" t="str">
        <f t="shared" si="64"/>
        <v/>
      </c>
      <c r="AK99" s="99" t="str">
        <f t="shared" si="64"/>
        <v/>
      </c>
      <c r="AL99" s="99" t="str">
        <f t="shared" si="64"/>
        <v/>
      </c>
      <c r="AM99" s="99" t="str">
        <f t="shared" si="64"/>
        <v/>
      </c>
      <c r="AN99" s="99" t="str">
        <f t="shared" si="64"/>
        <v/>
      </c>
      <c r="AP99" s="99" t="str">
        <f t="shared" si="44"/>
        <v/>
      </c>
      <c r="AQ99" s="99" t="str">
        <f t="shared" si="45"/>
        <v/>
      </c>
      <c r="AR99" s="99" t="str">
        <f t="shared" si="46"/>
        <v/>
      </c>
      <c r="AS99" s="99" t="str">
        <f t="shared" si="47"/>
        <v/>
      </c>
      <c r="AT99" s="99" t="str">
        <f t="shared" si="48"/>
        <v/>
      </c>
      <c r="AU99" s="99" t="str">
        <f t="shared" si="49"/>
        <v/>
      </c>
      <c r="AV99" s="99" t="str">
        <f t="shared" si="50"/>
        <v/>
      </c>
      <c r="AW99" s="99" t="str">
        <f t="shared" si="51"/>
        <v/>
      </c>
      <c r="AX99" s="99" t="str">
        <f t="shared" si="52"/>
        <v/>
      </c>
      <c r="AY99" s="99" t="str">
        <f t="shared" si="53"/>
        <v/>
      </c>
      <c r="AZ99" s="99" t="str">
        <f t="shared" si="54"/>
        <v/>
      </c>
      <c r="BA99" s="99" t="str">
        <f t="shared" si="55"/>
        <v/>
      </c>
      <c r="BB99" s="103" t="str">
        <f t="shared" si="62"/>
        <v/>
      </c>
      <c r="BE99" s="99" t="str">
        <f t="shared" si="56"/>
        <v/>
      </c>
      <c r="BF99" s="99" t="str">
        <f t="shared" si="57"/>
        <v/>
      </c>
      <c r="BG99" s="99" t="str">
        <f t="shared" si="58"/>
        <v/>
      </c>
      <c r="BH99" s="99" t="str">
        <f t="shared" si="63"/>
        <v/>
      </c>
      <c r="BI99" s="99" t="str">
        <f t="shared" si="59"/>
        <v/>
      </c>
    </row>
    <row r="100" spans="1:61" s="103" customFormat="1" ht="23.15" customHeight="1">
      <c r="A100" s="3">
        <v>94</v>
      </c>
      <c r="B100" s="15"/>
      <c r="C100" s="5"/>
      <c r="D100" s="6"/>
      <c r="E100" s="4"/>
      <c r="F100" s="7"/>
      <c r="G100" s="8"/>
      <c r="H100" s="9"/>
      <c r="I100" s="9"/>
      <c r="J100" s="9"/>
      <c r="K100" s="9"/>
      <c r="L100" s="9"/>
      <c r="M100" s="9"/>
      <c r="N100" s="9"/>
      <c r="O100" s="9"/>
      <c r="P100" s="9"/>
      <c r="Q100" s="10"/>
      <c r="R100" s="11"/>
      <c r="S100" s="12"/>
      <c r="T100" s="10"/>
      <c r="U100" s="17"/>
      <c r="V100" s="10"/>
      <c r="W100" s="13"/>
      <c r="X100" s="14" t="str">
        <f t="shared" si="60"/>
        <v/>
      </c>
      <c r="Y100" s="102" t="str">
        <f t="shared" si="61"/>
        <v/>
      </c>
      <c r="Z100" s="99">
        <f>IF(COUNTIF($E$7:E100,E100)=1,"",COUNTIF($E$7:E100,E100))</f>
        <v>0</v>
      </c>
      <c r="AA100" s="99" t="str">
        <f t="shared" si="43"/>
        <v/>
      </c>
      <c r="AC100" s="99" t="str">
        <f t="shared" si="42"/>
        <v/>
      </c>
      <c r="AD100" s="99" t="str">
        <f t="shared" si="64"/>
        <v/>
      </c>
      <c r="AE100" s="99" t="str">
        <f t="shared" si="64"/>
        <v/>
      </c>
      <c r="AF100" s="99" t="str">
        <f t="shared" si="64"/>
        <v/>
      </c>
      <c r="AG100" s="99" t="str">
        <f t="shared" si="64"/>
        <v/>
      </c>
      <c r="AH100" s="99" t="str">
        <f t="shared" si="64"/>
        <v/>
      </c>
      <c r="AI100" s="99" t="str">
        <f t="shared" si="64"/>
        <v/>
      </c>
      <c r="AJ100" s="99" t="str">
        <f t="shared" si="64"/>
        <v/>
      </c>
      <c r="AK100" s="99" t="str">
        <f t="shared" si="64"/>
        <v/>
      </c>
      <c r="AL100" s="99" t="str">
        <f t="shared" si="64"/>
        <v/>
      </c>
      <c r="AM100" s="99" t="str">
        <f t="shared" si="64"/>
        <v/>
      </c>
      <c r="AN100" s="99" t="str">
        <f t="shared" si="64"/>
        <v/>
      </c>
      <c r="AP100" s="99" t="str">
        <f t="shared" si="44"/>
        <v/>
      </c>
      <c r="AQ100" s="99" t="str">
        <f t="shared" si="45"/>
        <v/>
      </c>
      <c r="AR100" s="99" t="str">
        <f t="shared" si="46"/>
        <v/>
      </c>
      <c r="AS100" s="99" t="str">
        <f t="shared" si="47"/>
        <v/>
      </c>
      <c r="AT100" s="99" t="str">
        <f t="shared" si="48"/>
        <v/>
      </c>
      <c r="AU100" s="99" t="str">
        <f t="shared" si="49"/>
        <v/>
      </c>
      <c r="AV100" s="99" t="str">
        <f t="shared" si="50"/>
        <v/>
      </c>
      <c r="AW100" s="99" t="str">
        <f t="shared" si="51"/>
        <v/>
      </c>
      <c r="AX100" s="99" t="str">
        <f t="shared" si="52"/>
        <v/>
      </c>
      <c r="AY100" s="99" t="str">
        <f t="shared" si="53"/>
        <v/>
      </c>
      <c r="AZ100" s="99" t="str">
        <f t="shared" si="54"/>
        <v/>
      </c>
      <c r="BA100" s="99" t="str">
        <f t="shared" si="55"/>
        <v/>
      </c>
      <c r="BB100" s="103" t="str">
        <f t="shared" si="62"/>
        <v/>
      </c>
      <c r="BE100" s="99" t="str">
        <f t="shared" si="56"/>
        <v/>
      </c>
      <c r="BF100" s="99" t="str">
        <f t="shared" si="57"/>
        <v/>
      </c>
      <c r="BG100" s="99" t="str">
        <f t="shared" si="58"/>
        <v/>
      </c>
      <c r="BH100" s="99" t="str">
        <f t="shared" si="63"/>
        <v/>
      </c>
      <c r="BI100" s="99" t="str">
        <f t="shared" si="59"/>
        <v/>
      </c>
    </row>
    <row r="101" spans="1:61" s="103" customFormat="1" ht="23.15" customHeight="1">
      <c r="A101" s="3">
        <v>95</v>
      </c>
      <c r="B101" s="15"/>
      <c r="C101" s="5"/>
      <c r="D101" s="6"/>
      <c r="E101" s="4"/>
      <c r="F101" s="7"/>
      <c r="G101" s="8"/>
      <c r="H101" s="9"/>
      <c r="I101" s="9"/>
      <c r="J101" s="9"/>
      <c r="K101" s="9"/>
      <c r="L101" s="9"/>
      <c r="M101" s="9"/>
      <c r="N101" s="9"/>
      <c r="O101" s="9"/>
      <c r="P101" s="9"/>
      <c r="Q101" s="10"/>
      <c r="R101" s="11"/>
      <c r="S101" s="12"/>
      <c r="T101" s="10"/>
      <c r="U101" s="17"/>
      <c r="V101" s="10"/>
      <c r="W101" s="13"/>
      <c r="X101" s="14" t="str">
        <f t="shared" si="60"/>
        <v/>
      </c>
      <c r="Y101" s="102" t="str">
        <f t="shared" si="61"/>
        <v/>
      </c>
      <c r="Z101" s="99">
        <f>IF(COUNTIF($E$7:E101,E101)=1,"",COUNTIF($E$7:E101,E101))</f>
        <v>0</v>
      </c>
      <c r="AA101" s="99" t="str">
        <f t="shared" si="43"/>
        <v/>
      </c>
      <c r="AC101" s="99" t="str">
        <f t="shared" si="42"/>
        <v/>
      </c>
      <c r="AD101" s="99" t="str">
        <f t="shared" si="64"/>
        <v/>
      </c>
      <c r="AE101" s="99" t="str">
        <f t="shared" si="64"/>
        <v/>
      </c>
      <c r="AF101" s="99" t="str">
        <f t="shared" si="64"/>
        <v/>
      </c>
      <c r="AG101" s="99" t="str">
        <f t="shared" si="64"/>
        <v/>
      </c>
      <c r="AH101" s="99" t="str">
        <f t="shared" si="64"/>
        <v/>
      </c>
      <c r="AI101" s="99" t="str">
        <f t="shared" si="64"/>
        <v/>
      </c>
      <c r="AJ101" s="99" t="str">
        <f t="shared" si="64"/>
        <v/>
      </c>
      <c r="AK101" s="99" t="str">
        <f t="shared" si="64"/>
        <v/>
      </c>
      <c r="AL101" s="99" t="str">
        <f t="shared" si="64"/>
        <v/>
      </c>
      <c r="AM101" s="99" t="str">
        <f t="shared" si="64"/>
        <v/>
      </c>
      <c r="AN101" s="99" t="str">
        <f t="shared" si="64"/>
        <v/>
      </c>
      <c r="AP101" s="99" t="str">
        <f t="shared" si="44"/>
        <v/>
      </c>
      <c r="AQ101" s="99" t="str">
        <f t="shared" si="45"/>
        <v/>
      </c>
      <c r="AR101" s="99" t="str">
        <f t="shared" si="46"/>
        <v/>
      </c>
      <c r="AS101" s="99" t="str">
        <f t="shared" si="47"/>
        <v/>
      </c>
      <c r="AT101" s="99" t="str">
        <f t="shared" si="48"/>
        <v/>
      </c>
      <c r="AU101" s="99" t="str">
        <f t="shared" si="49"/>
        <v/>
      </c>
      <c r="AV101" s="99" t="str">
        <f t="shared" si="50"/>
        <v/>
      </c>
      <c r="AW101" s="99" t="str">
        <f t="shared" si="51"/>
        <v/>
      </c>
      <c r="AX101" s="99" t="str">
        <f t="shared" si="52"/>
        <v/>
      </c>
      <c r="AY101" s="99" t="str">
        <f t="shared" si="53"/>
        <v/>
      </c>
      <c r="AZ101" s="99" t="str">
        <f t="shared" si="54"/>
        <v/>
      </c>
      <c r="BA101" s="99" t="str">
        <f t="shared" si="55"/>
        <v/>
      </c>
      <c r="BB101" s="103" t="str">
        <f t="shared" si="62"/>
        <v/>
      </c>
      <c r="BE101" s="99" t="str">
        <f t="shared" si="56"/>
        <v/>
      </c>
      <c r="BF101" s="99" t="str">
        <f t="shared" si="57"/>
        <v/>
      </c>
      <c r="BG101" s="99" t="str">
        <f t="shared" si="58"/>
        <v/>
      </c>
      <c r="BH101" s="99" t="str">
        <f t="shared" si="63"/>
        <v/>
      </c>
      <c r="BI101" s="99" t="str">
        <f t="shared" si="59"/>
        <v/>
      </c>
    </row>
    <row r="102" spans="1:61" s="103" customFormat="1" ht="23.15" customHeight="1">
      <c r="A102" s="3">
        <v>96</v>
      </c>
      <c r="B102" s="15"/>
      <c r="C102" s="5"/>
      <c r="D102" s="6"/>
      <c r="E102" s="4"/>
      <c r="F102" s="7"/>
      <c r="G102" s="8"/>
      <c r="H102" s="9"/>
      <c r="I102" s="9"/>
      <c r="J102" s="9"/>
      <c r="K102" s="9"/>
      <c r="L102" s="9"/>
      <c r="M102" s="9"/>
      <c r="N102" s="9"/>
      <c r="O102" s="9"/>
      <c r="P102" s="9"/>
      <c r="Q102" s="10"/>
      <c r="R102" s="11"/>
      <c r="S102" s="12"/>
      <c r="T102" s="10"/>
      <c r="U102" s="17"/>
      <c r="V102" s="10"/>
      <c r="W102" s="13"/>
      <c r="X102" s="14" t="str">
        <f t="shared" si="60"/>
        <v/>
      </c>
      <c r="Y102" s="102" t="str">
        <f t="shared" si="61"/>
        <v/>
      </c>
      <c r="Z102" s="99">
        <f>IF(COUNTIF($E$7:E102,E102)=1,"",COUNTIF($E$7:E102,E102))</f>
        <v>0</v>
      </c>
      <c r="AA102" s="99" t="str">
        <f t="shared" si="43"/>
        <v/>
      </c>
      <c r="AC102" s="99" t="str">
        <f t="shared" si="42"/>
        <v/>
      </c>
      <c r="AD102" s="99" t="str">
        <f t="shared" si="64"/>
        <v/>
      </c>
      <c r="AE102" s="99" t="str">
        <f t="shared" si="64"/>
        <v/>
      </c>
      <c r="AF102" s="99" t="str">
        <f t="shared" si="64"/>
        <v/>
      </c>
      <c r="AG102" s="99" t="str">
        <f t="shared" si="64"/>
        <v/>
      </c>
      <c r="AH102" s="99" t="str">
        <f t="shared" si="64"/>
        <v/>
      </c>
      <c r="AI102" s="99" t="str">
        <f t="shared" si="64"/>
        <v/>
      </c>
      <c r="AJ102" s="99" t="str">
        <f t="shared" si="64"/>
        <v/>
      </c>
      <c r="AK102" s="99" t="str">
        <f t="shared" si="64"/>
        <v/>
      </c>
      <c r="AL102" s="99" t="str">
        <f t="shared" si="64"/>
        <v/>
      </c>
      <c r="AM102" s="99" t="str">
        <f t="shared" si="64"/>
        <v/>
      </c>
      <c r="AN102" s="99" t="str">
        <f t="shared" si="64"/>
        <v/>
      </c>
      <c r="AP102" s="99" t="str">
        <f t="shared" si="44"/>
        <v/>
      </c>
      <c r="AQ102" s="99" t="str">
        <f t="shared" si="45"/>
        <v/>
      </c>
      <c r="AR102" s="99" t="str">
        <f t="shared" si="46"/>
        <v/>
      </c>
      <c r="AS102" s="99" t="str">
        <f t="shared" si="47"/>
        <v/>
      </c>
      <c r="AT102" s="99" t="str">
        <f t="shared" si="48"/>
        <v/>
      </c>
      <c r="AU102" s="99" t="str">
        <f t="shared" si="49"/>
        <v/>
      </c>
      <c r="AV102" s="99" t="str">
        <f t="shared" si="50"/>
        <v/>
      </c>
      <c r="AW102" s="99" t="str">
        <f t="shared" si="51"/>
        <v/>
      </c>
      <c r="AX102" s="99" t="str">
        <f t="shared" si="52"/>
        <v/>
      </c>
      <c r="AY102" s="99" t="str">
        <f t="shared" si="53"/>
        <v/>
      </c>
      <c r="AZ102" s="99" t="str">
        <f t="shared" si="54"/>
        <v/>
      </c>
      <c r="BA102" s="99" t="str">
        <f t="shared" si="55"/>
        <v/>
      </c>
      <c r="BB102" s="103" t="str">
        <f t="shared" si="62"/>
        <v/>
      </c>
      <c r="BE102" s="99" t="str">
        <f t="shared" si="56"/>
        <v/>
      </c>
      <c r="BF102" s="99" t="str">
        <f t="shared" si="57"/>
        <v/>
      </c>
      <c r="BG102" s="99" t="str">
        <f t="shared" si="58"/>
        <v/>
      </c>
      <c r="BH102" s="99" t="str">
        <f t="shared" si="63"/>
        <v/>
      </c>
      <c r="BI102" s="99" t="str">
        <f t="shared" si="59"/>
        <v/>
      </c>
    </row>
    <row r="103" spans="1:61" s="103" customFormat="1" ht="23.15" customHeight="1">
      <c r="A103" s="3">
        <v>97</v>
      </c>
      <c r="B103" s="15"/>
      <c r="C103" s="5"/>
      <c r="D103" s="6"/>
      <c r="E103" s="4"/>
      <c r="F103" s="7"/>
      <c r="G103" s="8"/>
      <c r="H103" s="9"/>
      <c r="I103" s="9"/>
      <c r="J103" s="9"/>
      <c r="K103" s="9"/>
      <c r="L103" s="9"/>
      <c r="M103" s="9"/>
      <c r="N103" s="9"/>
      <c r="O103" s="9"/>
      <c r="P103" s="9"/>
      <c r="Q103" s="10"/>
      <c r="R103" s="11"/>
      <c r="S103" s="12"/>
      <c r="T103" s="10"/>
      <c r="U103" s="17"/>
      <c r="V103" s="10"/>
      <c r="W103" s="13"/>
      <c r="X103" s="14" t="str">
        <f t="shared" si="60"/>
        <v/>
      </c>
      <c r="Y103" s="102" t="str">
        <f t="shared" si="61"/>
        <v/>
      </c>
      <c r="Z103" s="99">
        <f>IF(COUNTIF($E$7:E103,E103)=1,"",COUNTIF($E$7:E103,E103))</f>
        <v>0</v>
      </c>
      <c r="AA103" s="99" t="str">
        <f t="shared" si="43"/>
        <v/>
      </c>
      <c r="AC103" s="99" t="str">
        <f t="shared" si="42"/>
        <v/>
      </c>
      <c r="AD103" s="99" t="str">
        <f t="shared" si="64"/>
        <v/>
      </c>
      <c r="AE103" s="99" t="str">
        <f t="shared" si="64"/>
        <v/>
      </c>
      <c r="AF103" s="99" t="str">
        <f t="shared" si="64"/>
        <v/>
      </c>
      <c r="AG103" s="99" t="str">
        <f t="shared" si="64"/>
        <v/>
      </c>
      <c r="AH103" s="99" t="str">
        <f t="shared" si="64"/>
        <v/>
      </c>
      <c r="AI103" s="99" t="str">
        <f t="shared" si="64"/>
        <v/>
      </c>
      <c r="AJ103" s="99" t="str">
        <f t="shared" si="64"/>
        <v/>
      </c>
      <c r="AK103" s="99" t="str">
        <f t="shared" si="64"/>
        <v/>
      </c>
      <c r="AL103" s="99" t="str">
        <f t="shared" si="64"/>
        <v/>
      </c>
      <c r="AM103" s="99" t="str">
        <f t="shared" si="64"/>
        <v/>
      </c>
      <c r="AN103" s="99" t="str">
        <f t="shared" si="64"/>
        <v/>
      </c>
      <c r="AP103" s="99" t="str">
        <f t="shared" si="44"/>
        <v/>
      </c>
      <c r="AQ103" s="99" t="str">
        <f t="shared" si="45"/>
        <v/>
      </c>
      <c r="AR103" s="99" t="str">
        <f t="shared" si="46"/>
        <v/>
      </c>
      <c r="AS103" s="99" t="str">
        <f t="shared" si="47"/>
        <v/>
      </c>
      <c r="AT103" s="99" t="str">
        <f t="shared" si="48"/>
        <v/>
      </c>
      <c r="AU103" s="99" t="str">
        <f t="shared" si="49"/>
        <v/>
      </c>
      <c r="AV103" s="99" t="str">
        <f t="shared" si="50"/>
        <v/>
      </c>
      <c r="AW103" s="99" t="str">
        <f t="shared" si="51"/>
        <v/>
      </c>
      <c r="AX103" s="99" t="str">
        <f t="shared" si="52"/>
        <v/>
      </c>
      <c r="AY103" s="99" t="str">
        <f t="shared" si="53"/>
        <v/>
      </c>
      <c r="AZ103" s="99" t="str">
        <f t="shared" si="54"/>
        <v/>
      </c>
      <c r="BA103" s="99" t="str">
        <f t="shared" si="55"/>
        <v/>
      </c>
      <c r="BB103" s="103" t="str">
        <f t="shared" si="62"/>
        <v/>
      </c>
      <c r="BE103" s="99" t="str">
        <f t="shared" si="56"/>
        <v/>
      </c>
      <c r="BF103" s="99" t="str">
        <f t="shared" si="57"/>
        <v/>
      </c>
      <c r="BG103" s="99" t="str">
        <f t="shared" ref="BG103:BG106" si="65">IF(AND(BF103="",R103&lt;&gt;""),"○","")</f>
        <v/>
      </c>
      <c r="BH103" s="99" t="str">
        <f t="shared" si="63"/>
        <v/>
      </c>
      <c r="BI103" s="99" t="str">
        <f t="shared" si="59"/>
        <v/>
      </c>
    </row>
    <row r="104" spans="1:61" s="103" customFormat="1" ht="23.15" customHeight="1">
      <c r="A104" s="3">
        <v>98</v>
      </c>
      <c r="B104" s="15"/>
      <c r="C104" s="5"/>
      <c r="D104" s="6"/>
      <c r="E104" s="4"/>
      <c r="F104" s="7"/>
      <c r="G104" s="8"/>
      <c r="H104" s="9"/>
      <c r="I104" s="9"/>
      <c r="J104" s="9"/>
      <c r="K104" s="9"/>
      <c r="L104" s="9"/>
      <c r="M104" s="9"/>
      <c r="N104" s="9"/>
      <c r="O104" s="9"/>
      <c r="P104" s="9"/>
      <c r="Q104" s="10"/>
      <c r="R104" s="11"/>
      <c r="S104" s="12"/>
      <c r="T104" s="10"/>
      <c r="U104" s="17"/>
      <c r="V104" s="10"/>
      <c r="W104" s="13"/>
      <c r="X104" s="14" t="str">
        <f t="shared" si="60"/>
        <v/>
      </c>
      <c r="Y104" s="102" t="str">
        <f t="shared" si="61"/>
        <v/>
      </c>
      <c r="Z104" s="99">
        <f>IF(COUNTIF($E$7:E104,E104)=1,"",COUNTIF($E$7:E104,E104))</f>
        <v>0</v>
      </c>
      <c r="AA104" s="99" t="str">
        <f t="shared" si="43"/>
        <v/>
      </c>
      <c r="AC104" s="99" t="str">
        <f t="shared" si="42"/>
        <v/>
      </c>
      <c r="AD104" s="99" t="str">
        <f t="shared" si="64"/>
        <v/>
      </c>
      <c r="AE104" s="99" t="str">
        <f t="shared" si="64"/>
        <v/>
      </c>
      <c r="AF104" s="99" t="str">
        <f t="shared" si="64"/>
        <v/>
      </c>
      <c r="AG104" s="99" t="str">
        <f t="shared" si="64"/>
        <v/>
      </c>
      <c r="AH104" s="99" t="str">
        <f t="shared" si="64"/>
        <v/>
      </c>
      <c r="AI104" s="99" t="str">
        <f t="shared" si="64"/>
        <v/>
      </c>
      <c r="AJ104" s="99" t="str">
        <f t="shared" si="64"/>
        <v/>
      </c>
      <c r="AK104" s="99" t="str">
        <f t="shared" si="64"/>
        <v/>
      </c>
      <c r="AL104" s="99" t="str">
        <f t="shared" si="64"/>
        <v/>
      </c>
      <c r="AM104" s="99" t="str">
        <f t="shared" si="64"/>
        <v/>
      </c>
      <c r="AN104" s="99" t="str">
        <f t="shared" si="64"/>
        <v/>
      </c>
      <c r="AP104" s="99" t="str">
        <f t="shared" si="44"/>
        <v/>
      </c>
      <c r="AQ104" s="99" t="str">
        <f t="shared" si="45"/>
        <v/>
      </c>
      <c r="AR104" s="99" t="str">
        <f t="shared" si="46"/>
        <v/>
      </c>
      <c r="AS104" s="99" t="str">
        <f t="shared" si="47"/>
        <v/>
      </c>
      <c r="AT104" s="99" t="str">
        <f t="shared" si="48"/>
        <v/>
      </c>
      <c r="AU104" s="99" t="str">
        <f t="shared" si="49"/>
        <v/>
      </c>
      <c r="AV104" s="99" t="str">
        <f t="shared" si="50"/>
        <v/>
      </c>
      <c r="AW104" s="99" t="str">
        <f t="shared" si="51"/>
        <v/>
      </c>
      <c r="AX104" s="99" t="str">
        <f t="shared" si="52"/>
        <v/>
      </c>
      <c r="AY104" s="99" t="str">
        <f t="shared" si="53"/>
        <v/>
      </c>
      <c r="AZ104" s="99" t="str">
        <f t="shared" si="54"/>
        <v/>
      </c>
      <c r="BA104" s="99" t="str">
        <f t="shared" si="55"/>
        <v/>
      </c>
      <c r="BB104" s="103" t="str">
        <f t="shared" si="62"/>
        <v/>
      </c>
      <c r="BE104" s="99" t="str">
        <f t="shared" si="56"/>
        <v/>
      </c>
      <c r="BF104" s="99" t="str">
        <f t="shared" si="57"/>
        <v/>
      </c>
      <c r="BG104" s="99" t="str">
        <f t="shared" si="65"/>
        <v/>
      </c>
      <c r="BH104" s="99" t="str">
        <f t="shared" si="63"/>
        <v/>
      </c>
      <c r="BI104" s="99" t="str">
        <f t="shared" si="59"/>
        <v/>
      </c>
    </row>
    <row r="105" spans="1:61" s="103" customFormat="1" ht="23.15" customHeight="1">
      <c r="A105" s="3">
        <v>99</v>
      </c>
      <c r="B105" s="15"/>
      <c r="C105" s="5"/>
      <c r="D105" s="6"/>
      <c r="E105" s="4"/>
      <c r="F105" s="7"/>
      <c r="G105" s="8"/>
      <c r="H105" s="9"/>
      <c r="I105" s="9"/>
      <c r="J105" s="9"/>
      <c r="K105" s="9"/>
      <c r="L105" s="9"/>
      <c r="M105" s="9"/>
      <c r="N105" s="9"/>
      <c r="O105" s="9"/>
      <c r="P105" s="9"/>
      <c r="Q105" s="10"/>
      <c r="R105" s="11"/>
      <c r="S105" s="12"/>
      <c r="T105" s="10"/>
      <c r="U105" s="17"/>
      <c r="V105" s="10"/>
      <c r="W105" s="13"/>
      <c r="X105" s="14" t="str">
        <f t="shared" si="60"/>
        <v/>
      </c>
      <c r="Y105" s="102" t="str">
        <f t="shared" si="61"/>
        <v/>
      </c>
      <c r="Z105" s="99">
        <f>IF(COUNTIF($E$7:E105,E105)=1,"",COUNTIF($E$7:E105,E105))</f>
        <v>0</v>
      </c>
      <c r="AA105" s="99" t="str">
        <f t="shared" si="43"/>
        <v/>
      </c>
      <c r="AC105" s="99" t="str">
        <f t="shared" si="42"/>
        <v/>
      </c>
      <c r="AD105" s="99" t="str">
        <f t="shared" si="64"/>
        <v/>
      </c>
      <c r="AE105" s="99" t="str">
        <f t="shared" si="64"/>
        <v/>
      </c>
      <c r="AF105" s="99" t="str">
        <f t="shared" si="64"/>
        <v/>
      </c>
      <c r="AG105" s="99" t="str">
        <f t="shared" si="64"/>
        <v/>
      </c>
      <c r="AH105" s="99" t="str">
        <f t="shared" si="64"/>
        <v/>
      </c>
      <c r="AI105" s="99" t="str">
        <f t="shared" si="64"/>
        <v/>
      </c>
      <c r="AJ105" s="99" t="str">
        <f t="shared" si="64"/>
        <v/>
      </c>
      <c r="AK105" s="99" t="str">
        <f t="shared" si="64"/>
        <v/>
      </c>
      <c r="AL105" s="99" t="str">
        <f t="shared" si="64"/>
        <v/>
      </c>
      <c r="AM105" s="99" t="str">
        <f t="shared" si="64"/>
        <v/>
      </c>
      <c r="AN105" s="99" t="str">
        <f t="shared" si="64"/>
        <v/>
      </c>
      <c r="AP105" s="99" t="str">
        <f t="shared" si="44"/>
        <v/>
      </c>
      <c r="AQ105" s="99" t="str">
        <f t="shared" si="45"/>
        <v/>
      </c>
      <c r="AR105" s="99" t="str">
        <f t="shared" si="46"/>
        <v/>
      </c>
      <c r="AS105" s="99" t="str">
        <f t="shared" si="47"/>
        <v/>
      </c>
      <c r="AT105" s="99" t="str">
        <f t="shared" si="48"/>
        <v/>
      </c>
      <c r="AU105" s="99" t="str">
        <f t="shared" si="49"/>
        <v/>
      </c>
      <c r="AV105" s="99" t="str">
        <f t="shared" si="50"/>
        <v/>
      </c>
      <c r="AW105" s="99" t="str">
        <f t="shared" si="51"/>
        <v/>
      </c>
      <c r="AX105" s="99" t="str">
        <f t="shared" si="52"/>
        <v/>
      </c>
      <c r="AY105" s="99" t="str">
        <f t="shared" si="53"/>
        <v/>
      </c>
      <c r="AZ105" s="99" t="str">
        <f t="shared" si="54"/>
        <v/>
      </c>
      <c r="BA105" s="99" t="str">
        <f t="shared" si="55"/>
        <v/>
      </c>
      <c r="BB105" s="103" t="str">
        <f t="shared" si="62"/>
        <v/>
      </c>
      <c r="BE105" s="99" t="str">
        <f t="shared" si="56"/>
        <v/>
      </c>
      <c r="BF105" s="99" t="str">
        <f t="shared" si="57"/>
        <v/>
      </c>
      <c r="BG105" s="99" t="str">
        <f t="shared" si="65"/>
        <v/>
      </c>
      <c r="BH105" s="99" t="str">
        <f t="shared" si="63"/>
        <v/>
      </c>
      <c r="BI105" s="99" t="str">
        <f t="shared" si="59"/>
        <v/>
      </c>
    </row>
    <row r="106" spans="1:61" s="103" customFormat="1" ht="23.15" customHeight="1">
      <c r="A106" s="3">
        <v>100</v>
      </c>
      <c r="B106" s="15"/>
      <c r="C106" s="5"/>
      <c r="D106" s="6"/>
      <c r="E106" s="4"/>
      <c r="F106" s="7"/>
      <c r="G106" s="8"/>
      <c r="H106" s="9"/>
      <c r="I106" s="9"/>
      <c r="J106" s="9"/>
      <c r="K106" s="9"/>
      <c r="L106" s="9"/>
      <c r="M106" s="9"/>
      <c r="N106" s="9"/>
      <c r="O106" s="9"/>
      <c r="P106" s="9"/>
      <c r="Q106" s="10"/>
      <c r="R106" s="11"/>
      <c r="S106" s="12"/>
      <c r="T106" s="10"/>
      <c r="U106" s="17"/>
      <c r="V106" s="10"/>
      <c r="W106" s="13"/>
      <c r="X106" s="14" t="str">
        <f t="shared" si="60"/>
        <v/>
      </c>
      <c r="Y106" s="102" t="str">
        <f t="shared" si="61"/>
        <v/>
      </c>
      <c r="Z106" s="99">
        <f>IF(COUNTIF($E$7:E106,E106)=1,"",COUNTIF($E$7:E106,E106))</f>
        <v>0</v>
      </c>
      <c r="AA106" s="99" t="str">
        <f t="shared" si="43"/>
        <v/>
      </c>
      <c r="AC106" s="99" t="str">
        <f t="shared" si="42"/>
        <v/>
      </c>
      <c r="AD106" s="99" t="str">
        <f t="shared" si="64"/>
        <v/>
      </c>
      <c r="AE106" s="99" t="str">
        <f t="shared" si="64"/>
        <v/>
      </c>
      <c r="AF106" s="99" t="str">
        <f t="shared" si="64"/>
        <v/>
      </c>
      <c r="AG106" s="99" t="str">
        <f t="shared" si="64"/>
        <v/>
      </c>
      <c r="AH106" s="99" t="str">
        <f t="shared" si="64"/>
        <v/>
      </c>
      <c r="AI106" s="99" t="str">
        <f t="shared" si="64"/>
        <v/>
      </c>
      <c r="AJ106" s="99" t="str">
        <f t="shared" si="64"/>
        <v/>
      </c>
      <c r="AK106" s="99" t="str">
        <f t="shared" si="64"/>
        <v/>
      </c>
      <c r="AL106" s="99" t="str">
        <f t="shared" si="64"/>
        <v/>
      </c>
      <c r="AM106" s="99" t="str">
        <f t="shared" si="64"/>
        <v/>
      </c>
      <c r="AN106" s="99" t="str">
        <f t="shared" si="64"/>
        <v/>
      </c>
      <c r="AP106" s="99" t="str">
        <f t="shared" si="44"/>
        <v/>
      </c>
      <c r="AQ106" s="99" t="str">
        <f t="shared" si="45"/>
        <v/>
      </c>
      <c r="AR106" s="99" t="str">
        <f t="shared" si="46"/>
        <v/>
      </c>
      <c r="AS106" s="99" t="str">
        <f t="shared" si="47"/>
        <v/>
      </c>
      <c r="AT106" s="99" t="str">
        <f t="shared" si="48"/>
        <v/>
      </c>
      <c r="AU106" s="99" t="str">
        <f t="shared" si="49"/>
        <v/>
      </c>
      <c r="AV106" s="99" t="str">
        <f t="shared" si="50"/>
        <v/>
      </c>
      <c r="AW106" s="99" t="str">
        <f t="shared" si="51"/>
        <v/>
      </c>
      <c r="AX106" s="99" t="str">
        <f t="shared" si="52"/>
        <v/>
      </c>
      <c r="AY106" s="99" t="str">
        <f t="shared" si="53"/>
        <v/>
      </c>
      <c r="AZ106" s="99" t="str">
        <f t="shared" si="54"/>
        <v/>
      </c>
      <c r="BA106" s="99" t="str">
        <f t="shared" si="55"/>
        <v/>
      </c>
      <c r="BB106" s="103" t="str">
        <f t="shared" si="62"/>
        <v/>
      </c>
      <c r="BE106" s="99" t="str">
        <f t="shared" si="56"/>
        <v/>
      </c>
      <c r="BF106" s="99" t="str">
        <f t="shared" si="57"/>
        <v/>
      </c>
      <c r="BG106" s="99" t="str">
        <f t="shared" si="65"/>
        <v/>
      </c>
      <c r="BH106" s="99" t="str">
        <f t="shared" si="63"/>
        <v/>
      </c>
      <c r="BI106" s="99" t="str">
        <f t="shared" si="59"/>
        <v/>
      </c>
    </row>
    <row r="107" spans="1:61" s="103" customFormat="1" ht="22.5" customHeight="1" thickBot="1">
      <c r="A107" s="774" t="s">
        <v>77</v>
      </c>
      <c r="B107" s="775"/>
      <c r="C107" s="105"/>
      <c r="D107" s="106"/>
      <c r="E107" s="107"/>
      <c r="F107" s="107"/>
      <c r="G107" s="108"/>
      <c r="H107" s="100"/>
      <c r="I107" s="100"/>
      <c r="J107" s="100"/>
      <c r="K107" s="100"/>
      <c r="L107" s="100"/>
      <c r="M107" s="100"/>
      <c r="N107" s="100"/>
      <c r="O107" s="100"/>
      <c r="P107" s="100"/>
      <c r="Q107" s="108"/>
      <c r="R107" s="108"/>
      <c r="S107" s="109"/>
      <c r="T107" s="110"/>
      <c r="U107" s="111"/>
      <c r="V107" s="110"/>
      <c r="W107" s="278"/>
      <c r="X107" s="112"/>
      <c r="Y107" s="102"/>
      <c r="AA107" s="103" t="str">
        <f t="shared" si="43"/>
        <v/>
      </c>
    </row>
    <row r="108" spans="1:61" ht="30.75" customHeight="1">
      <c r="A108" s="86"/>
      <c r="B108" s="357" t="str">
        <f>CONCATENATE("※　令和",①基本情報!E8,"年4月1日以降に在籍する職員（嘱託・パートを含む）を記入してください。")</f>
        <v>※　令和7年4月1日以降に在籍する職員（嘱託・パートを含む）を記入してください。</v>
      </c>
      <c r="C108" s="357"/>
      <c r="D108" s="357"/>
      <c r="E108" s="357"/>
      <c r="F108" s="357"/>
      <c r="G108" s="357"/>
      <c r="H108" s="357"/>
      <c r="I108" s="357"/>
      <c r="J108" s="357"/>
      <c r="K108" s="357"/>
      <c r="L108" s="357"/>
      <c r="M108" s="357"/>
      <c r="N108" s="357"/>
      <c r="O108" s="357"/>
      <c r="P108" s="357"/>
      <c r="Q108" s="357"/>
      <c r="R108" s="113"/>
      <c r="S108" s="113"/>
      <c r="T108" s="114"/>
      <c r="U108" s="86"/>
      <c r="V108" s="86"/>
      <c r="W108" s="86"/>
      <c r="X108" s="86"/>
    </row>
    <row r="109" spans="1:61" ht="13.5" customHeight="1">
      <c r="A109" s="86"/>
      <c r="B109" s="358" t="s">
        <v>78</v>
      </c>
      <c r="C109" s="358"/>
      <c r="D109" s="358"/>
      <c r="E109" s="780" t="s">
        <v>1118</v>
      </c>
      <c r="F109" s="780"/>
      <c r="G109" s="780"/>
      <c r="H109" s="780"/>
      <c r="I109" s="780"/>
      <c r="J109" s="780"/>
      <c r="K109" s="780"/>
      <c r="L109" s="780"/>
      <c r="M109" s="780"/>
      <c r="N109" s="780"/>
      <c r="O109" s="780"/>
      <c r="P109" s="780"/>
      <c r="Q109" s="780"/>
      <c r="R109" s="115"/>
      <c r="S109" s="86"/>
      <c r="T109" s="86"/>
      <c r="U109" s="115"/>
      <c r="V109" s="115"/>
      <c r="W109" s="115"/>
      <c r="X109" s="115"/>
    </row>
    <row r="110" spans="1:61">
      <c r="A110" s="86"/>
      <c r="B110" s="358"/>
      <c r="C110" s="358"/>
      <c r="D110" s="358"/>
      <c r="E110" s="780" t="s">
        <v>79</v>
      </c>
      <c r="F110" s="780"/>
      <c r="G110" s="780"/>
      <c r="H110" s="780"/>
      <c r="I110" s="780"/>
      <c r="J110" s="780"/>
      <c r="K110" s="780"/>
      <c r="L110" s="780"/>
      <c r="M110" s="780"/>
      <c r="N110" s="780"/>
      <c r="O110" s="780"/>
      <c r="P110" s="780"/>
      <c r="Q110" s="780"/>
      <c r="R110" s="115"/>
      <c r="S110" s="86"/>
      <c r="T110" s="86"/>
      <c r="U110" s="115"/>
      <c r="V110" s="115"/>
      <c r="W110" s="115"/>
      <c r="X110" s="115"/>
    </row>
    <row r="111" spans="1:61" ht="12" customHeight="1">
      <c r="A111" s="86"/>
      <c r="B111" s="359"/>
      <c r="C111" s="359"/>
      <c r="D111" s="359"/>
      <c r="E111" s="780" t="s">
        <v>1119</v>
      </c>
      <c r="F111" s="780"/>
      <c r="G111" s="780"/>
      <c r="H111" s="780"/>
      <c r="I111" s="780"/>
      <c r="J111" s="780"/>
      <c r="K111" s="780"/>
      <c r="L111" s="780"/>
      <c r="M111" s="780"/>
      <c r="N111" s="780"/>
      <c r="O111" s="780"/>
      <c r="P111" s="780"/>
      <c r="Q111" s="780"/>
      <c r="R111" s="116"/>
      <c r="S111" s="116"/>
      <c r="T111" s="116"/>
      <c r="U111" s="116"/>
      <c r="V111" s="116"/>
      <c r="W111" s="116"/>
      <c r="X111" s="116"/>
    </row>
    <row r="112" spans="1:61" ht="12" customHeight="1">
      <c r="A112" s="86"/>
      <c r="B112" s="359"/>
      <c r="C112" s="359"/>
      <c r="D112" s="359"/>
      <c r="E112" s="780" t="s">
        <v>80</v>
      </c>
      <c r="F112" s="780"/>
      <c r="G112" s="780"/>
      <c r="H112" s="780"/>
      <c r="I112" s="780"/>
      <c r="J112" s="780"/>
      <c r="K112" s="780"/>
      <c r="L112" s="780"/>
      <c r="M112" s="780"/>
      <c r="N112" s="780"/>
      <c r="O112" s="780"/>
      <c r="P112" s="780"/>
      <c r="Q112" s="780"/>
      <c r="R112" s="116"/>
      <c r="S112" s="116"/>
      <c r="T112" s="116"/>
      <c r="U112" s="116"/>
      <c r="V112" s="116"/>
      <c r="W112" s="116"/>
      <c r="X112" s="116"/>
    </row>
    <row r="113" spans="1:29" ht="12" customHeight="1">
      <c r="A113" s="86"/>
      <c r="B113" s="122"/>
      <c r="C113" s="122"/>
      <c r="D113" s="122"/>
      <c r="E113" s="123"/>
      <c r="F113" s="122"/>
      <c r="G113" s="122"/>
      <c r="H113" s="124"/>
      <c r="I113" s="124"/>
      <c r="J113" s="124"/>
      <c r="K113" s="124"/>
      <c r="L113" s="124"/>
      <c r="M113" s="124"/>
      <c r="N113" s="124"/>
      <c r="O113" s="124"/>
      <c r="P113" s="123"/>
      <c r="Q113" s="123"/>
      <c r="R113" s="117"/>
      <c r="S113" s="118"/>
      <c r="T113" s="118"/>
      <c r="U113" s="118"/>
      <c r="V113" s="118"/>
      <c r="W113" s="118"/>
      <c r="X113" s="118"/>
    </row>
    <row r="114" spans="1:29" ht="12" customHeight="1">
      <c r="A114" s="86"/>
      <c r="B114" s="122"/>
      <c r="C114" s="122"/>
      <c r="D114" s="122"/>
      <c r="E114" s="123"/>
      <c r="F114" s="122"/>
      <c r="G114" s="122"/>
      <c r="H114" s="124"/>
      <c r="I114" s="124"/>
      <c r="J114" s="124"/>
      <c r="K114" s="124"/>
      <c r="L114" s="124"/>
      <c r="M114" s="124"/>
      <c r="N114" s="124"/>
      <c r="O114" s="124"/>
      <c r="P114" s="123"/>
      <c r="Q114" s="123"/>
      <c r="R114" s="117"/>
      <c r="S114" s="118"/>
      <c r="T114" s="118"/>
      <c r="U114" s="118"/>
      <c r="V114" s="118"/>
      <c r="W114" s="118"/>
      <c r="X114" s="118"/>
    </row>
    <row r="115" spans="1:29">
      <c r="A115" s="86"/>
      <c r="B115" s="121"/>
      <c r="C115" s="121"/>
      <c r="D115" s="121"/>
      <c r="E115" s="121"/>
      <c r="F115" s="125"/>
      <c r="G115" s="125"/>
      <c r="H115" s="125"/>
      <c r="I115" s="125"/>
      <c r="J115" s="125"/>
      <c r="K115" s="125"/>
      <c r="L115" s="125"/>
      <c r="M115" s="125"/>
      <c r="N115" s="125"/>
      <c r="O115" s="125"/>
      <c r="P115" s="125"/>
      <c r="Q115" s="125"/>
      <c r="R115" s="119"/>
      <c r="S115" s="118"/>
      <c r="T115" s="118"/>
      <c r="U115" s="118"/>
      <c r="V115" s="118"/>
      <c r="W115" s="118"/>
      <c r="X115" s="118"/>
    </row>
    <row r="118" spans="1:29">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row>
    <row r="119" spans="1:29">
      <c r="A119" s="120" t="s">
        <v>902</v>
      </c>
      <c r="B119" s="120"/>
      <c r="C119" s="120" t="s">
        <v>812</v>
      </c>
      <c r="D119" s="120" t="s">
        <v>813</v>
      </c>
      <c r="E119" s="120"/>
      <c r="F119" s="120" t="s">
        <v>814</v>
      </c>
      <c r="G119" s="120"/>
      <c r="H119" s="120" t="s">
        <v>815</v>
      </c>
      <c r="I119" s="120"/>
      <c r="J119" s="120"/>
      <c r="K119" s="120" t="s">
        <v>69</v>
      </c>
      <c r="L119" s="120"/>
      <c r="M119" s="120"/>
      <c r="N119" s="120"/>
      <c r="O119" s="120" t="s">
        <v>74</v>
      </c>
      <c r="P119" s="120"/>
      <c r="Q119" s="120"/>
      <c r="R119" s="120"/>
      <c r="S119" s="120" t="s">
        <v>70</v>
      </c>
      <c r="T119" s="120"/>
      <c r="U119" s="120"/>
      <c r="V119" s="120"/>
      <c r="W119" s="120"/>
      <c r="X119" s="120"/>
      <c r="Y119" s="120"/>
      <c r="Z119" s="120"/>
      <c r="AA119" s="120"/>
      <c r="AB119" s="86"/>
      <c r="AC119" s="89"/>
    </row>
    <row r="120" spans="1:29">
      <c r="A120" s="258" t="s">
        <v>903</v>
      </c>
      <c r="B120" s="120"/>
      <c r="C120" s="120" t="s">
        <v>816</v>
      </c>
      <c r="D120" s="120" t="s">
        <v>817</v>
      </c>
      <c r="E120" s="120"/>
      <c r="F120" s="120" t="s">
        <v>818</v>
      </c>
      <c r="G120" s="120"/>
      <c r="H120" s="120" t="s">
        <v>819</v>
      </c>
      <c r="I120" s="120"/>
      <c r="J120" s="120"/>
      <c r="K120" s="120" t="s">
        <v>81</v>
      </c>
      <c r="L120" s="120"/>
      <c r="M120" s="120"/>
      <c r="N120" s="120"/>
      <c r="O120" s="120" t="s">
        <v>82</v>
      </c>
      <c r="P120" s="120"/>
      <c r="Q120" s="120"/>
      <c r="R120" s="120"/>
      <c r="S120" s="120" t="s">
        <v>71</v>
      </c>
      <c r="T120" s="120"/>
      <c r="U120" s="120"/>
      <c r="V120" s="120"/>
      <c r="W120" s="120"/>
      <c r="X120" s="120"/>
      <c r="Y120" s="120"/>
      <c r="Z120" s="120"/>
      <c r="AA120" s="120"/>
      <c r="AB120" s="86"/>
      <c r="AC120" s="89"/>
    </row>
    <row r="121" spans="1:29">
      <c r="A121" s="258" t="s">
        <v>904</v>
      </c>
      <c r="B121" s="120"/>
      <c r="C121" s="120" t="s">
        <v>820</v>
      </c>
      <c r="D121" s="120"/>
      <c r="E121" s="120"/>
      <c r="F121" s="120"/>
      <c r="G121" s="120"/>
      <c r="H121" s="120"/>
      <c r="I121" s="120"/>
      <c r="J121" s="120"/>
      <c r="K121" s="120" t="s">
        <v>361</v>
      </c>
      <c r="L121" s="120"/>
      <c r="M121" s="120"/>
      <c r="N121" s="120"/>
      <c r="O121" s="120" t="s">
        <v>361</v>
      </c>
      <c r="P121" s="120"/>
      <c r="Q121" s="120"/>
      <c r="R121" s="120"/>
      <c r="S121" s="120" t="s">
        <v>916</v>
      </c>
      <c r="T121" s="120"/>
      <c r="U121" s="120"/>
      <c r="V121" s="120"/>
      <c r="W121" s="120"/>
      <c r="X121" s="120"/>
      <c r="Y121" s="120"/>
      <c r="Z121" s="120"/>
      <c r="AA121" s="120"/>
      <c r="AB121" s="86"/>
      <c r="AC121" s="89"/>
    </row>
    <row r="122" spans="1:29">
      <c r="A122" s="258" t="s">
        <v>950</v>
      </c>
      <c r="B122" s="120"/>
      <c r="C122" s="120"/>
      <c r="D122" s="120"/>
      <c r="E122" s="120"/>
      <c r="F122" s="120"/>
      <c r="G122" s="120"/>
      <c r="H122" s="120"/>
      <c r="I122" s="120"/>
      <c r="J122" s="120"/>
      <c r="K122" s="120" t="s">
        <v>83</v>
      </c>
      <c r="L122" s="120"/>
      <c r="M122" s="120"/>
      <c r="N122" s="120"/>
      <c r="O122" s="120" t="s">
        <v>83</v>
      </c>
      <c r="P122" s="120"/>
      <c r="Q122" s="120"/>
      <c r="R122" s="120"/>
      <c r="S122" s="120" t="s">
        <v>917</v>
      </c>
      <c r="T122" s="120"/>
      <c r="U122" s="199"/>
      <c r="V122" s="120"/>
      <c r="W122" s="120"/>
      <c r="X122" s="120"/>
      <c r="Y122" s="120"/>
      <c r="Z122" s="120"/>
      <c r="AA122" s="120"/>
      <c r="AB122" s="86"/>
      <c r="AC122" s="89"/>
    </row>
    <row r="123" spans="1:29">
      <c r="A123" s="258" t="s">
        <v>951</v>
      </c>
      <c r="B123" s="120"/>
      <c r="C123" s="120"/>
      <c r="D123" s="120"/>
      <c r="E123" s="120"/>
      <c r="F123" s="120"/>
      <c r="G123" s="120"/>
      <c r="H123" s="120"/>
      <c r="I123" s="120"/>
      <c r="J123" s="120"/>
      <c r="K123" s="120" t="s">
        <v>84</v>
      </c>
      <c r="L123" s="120"/>
      <c r="M123" s="120"/>
      <c r="N123" s="120"/>
      <c r="O123" s="120" t="s">
        <v>85</v>
      </c>
      <c r="P123" s="120"/>
      <c r="Q123" s="120"/>
      <c r="R123" s="120"/>
      <c r="S123" s="120" t="s">
        <v>918</v>
      </c>
      <c r="T123" s="120"/>
      <c r="U123" s="120"/>
      <c r="V123" s="120"/>
      <c r="W123" s="120"/>
      <c r="X123" s="120"/>
      <c r="Y123" s="120"/>
      <c r="Z123" s="120"/>
      <c r="AA123" s="120"/>
      <c r="AC123" s="89"/>
    </row>
    <row r="124" spans="1:29">
      <c r="A124" s="258" t="s">
        <v>952</v>
      </c>
      <c r="B124" s="120"/>
      <c r="C124" s="120"/>
      <c r="D124" s="120"/>
      <c r="E124" s="120"/>
      <c r="F124" s="120" t="s">
        <v>86</v>
      </c>
      <c r="G124" s="120"/>
      <c r="H124" s="120"/>
      <c r="I124" s="120"/>
      <c r="J124" s="120"/>
      <c r="K124" s="120" t="s">
        <v>87</v>
      </c>
      <c r="L124" s="120"/>
      <c r="M124" s="120"/>
      <c r="N124" s="120"/>
      <c r="O124" s="120" t="s">
        <v>88</v>
      </c>
      <c r="P124" s="120"/>
      <c r="Q124" s="120"/>
      <c r="R124" s="120"/>
      <c r="S124" s="120" t="s">
        <v>821</v>
      </c>
      <c r="T124" s="194" t="s">
        <v>75</v>
      </c>
      <c r="U124" s="199"/>
      <c r="V124" s="120"/>
      <c r="W124" s="120"/>
      <c r="X124" s="120"/>
      <c r="Y124" s="120"/>
      <c r="Z124" s="120"/>
      <c r="AA124" s="120"/>
      <c r="AC124" s="89"/>
    </row>
    <row r="125" spans="1:29">
      <c r="A125" s="258" t="s">
        <v>953</v>
      </c>
      <c r="B125" s="120"/>
      <c r="C125" s="120"/>
      <c r="D125" s="120"/>
      <c r="E125" s="120"/>
      <c r="F125" s="120" t="s">
        <v>89</v>
      </c>
      <c r="G125" s="120"/>
      <c r="H125" s="120"/>
      <c r="I125" s="120"/>
      <c r="J125" s="120"/>
      <c r="K125" s="120" t="s">
        <v>358</v>
      </c>
      <c r="L125" s="120"/>
      <c r="M125" s="120"/>
      <c r="N125" s="120"/>
      <c r="O125" s="120" t="s">
        <v>357</v>
      </c>
      <c r="P125" s="120"/>
      <c r="Q125" s="120"/>
      <c r="R125" s="120"/>
      <c r="S125" s="120" t="s">
        <v>54</v>
      </c>
      <c r="T125" s="195" t="s">
        <v>92</v>
      </c>
      <c r="U125" s="120"/>
      <c r="V125" s="120"/>
      <c r="W125" s="120"/>
      <c r="X125" s="120"/>
      <c r="Y125" s="120"/>
      <c r="Z125" s="120"/>
      <c r="AA125" s="120"/>
      <c r="AC125" s="89"/>
    </row>
    <row r="126" spans="1:29">
      <c r="A126" s="258" t="s">
        <v>905</v>
      </c>
      <c r="B126" s="120"/>
      <c r="C126" s="120"/>
      <c r="D126" s="120"/>
      <c r="E126" s="120"/>
      <c r="F126" s="120" t="s">
        <v>93</v>
      </c>
      <c r="G126" s="120"/>
      <c r="H126" s="120"/>
      <c r="I126" s="120"/>
      <c r="J126" s="120"/>
      <c r="K126" s="120" t="s">
        <v>827</v>
      </c>
      <c r="L126" s="120"/>
      <c r="M126" s="120"/>
      <c r="N126" s="120"/>
      <c r="O126" s="120" t="s">
        <v>828</v>
      </c>
      <c r="P126" s="120"/>
      <c r="Q126" s="120"/>
      <c r="R126" s="120"/>
      <c r="S126" s="120" t="s">
        <v>822</v>
      </c>
      <c r="T126" s="120"/>
      <c r="U126" s="120"/>
      <c r="V126" s="120"/>
      <c r="W126" s="120"/>
      <c r="X126" s="120"/>
      <c r="Y126" s="120"/>
      <c r="Z126" s="120"/>
      <c r="AA126" s="120"/>
      <c r="AC126" s="89"/>
    </row>
    <row r="127" spans="1:29">
      <c r="A127" s="258" t="s">
        <v>906</v>
      </c>
      <c r="B127" s="120"/>
      <c r="C127" s="120"/>
      <c r="D127" s="120"/>
      <c r="E127" s="120"/>
      <c r="F127" s="120" t="s">
        <v>94</v>
      </c>
      <c r="G127" s="120"/>
      <c r="H127" s="120"/>
      <c r="I127" s="120"/>
      <c r="J127" s="120"/>
      <c r="K127" s="120" t="s">
        <v>90</v>
      </c>
      <c r="L127" s="120"/>
      <c r="M127" s="120"/>
      <c r="N127" s="120"/>
      <c r="O127" s="120" t="s">
        <v>90</v>
      </c>
      <c r="P127" s="120"/>
      <c r="Q127" s="120"/>
      <c r="R127" s="120"/>
      <c r="S127" s="120" t="s">
        <v>1243</v>
      </c>
      <c r="T127" s="120"/>
      <c r="U127" s="120"/>
      <c r="V127" s="120"/>
      <c r="W127" s="120"/>
      <c r="X127" s="120"/>
      <c r="Y127" s="120"/>
      <c r="Z127" s="120"/>
      <c r="AA127" s="120"/>
      <c r="AC127" s="89"/>
    </row>
    <row r="128" spans="1:29">
      <c r="A128" s="258" t="s">
        <v>907</v>
      </c>
      <c r="B128" s="120"/>
      <c r="C128" s="120"/>
      <c r="D128" s="120"/>
      <c r="E128" s="120"/>
      <c r="F128" s="120" t="s">
        <v>95</v>
      </c>
      <c r="G128" s="120"/>
      <c r="H128" s="120"/>
      <c r="I128" s="120"/>
      <c r="J128" s="120"/>
      <c r="K128" s="120" t="s">
        <v>91</v>
      </c>
      <c r="L128" s="120"/>
      <c r="M128" s="120"/>
      <c r="N128" s="120"/>
      <c r="O128" s="120" t="s">
        <v>91</v>
      </c>
      <c r="P128" s="120"/>
      <c r="Q128" s="120"/>
      <c r="R128" s="120"/>
      <c r="S128" s="120" t="s">
        <v>823</v>
      </c>
      <c r="T128" s="120"/>
      <c r="U128" s="120"/>
      <c r="V128" s="120"/>
      <c r="W128" s="120"/>
      <c r="X128" s="120"/>
      <c r="Y128" s="120"/>
      <c r="Z128" s="120"/>
      <c r="AA128" s="120"/>
      <c r="AC128" s="89"/>
    </row>
    <row r="129" spans="1:64">
      <c r="A129" s="258" t="s">
        <v>908</v>
      </c>
      <c r="B129" s="120"/>
      <c r="C129" s="120"/>
      <c r="D129" s="120"/>
      <c r="E129" s="120"/>
      <c r="F129" s="120" t="s">
        <v>96</v>
      </c>
      <c r="G129" s="120"/>
      <c r="H129" s="120"/>
      <c r="I129" s="120"/>
      <c r="J129" s="120"/>
      <c r="K129" s="120"/>
      <c r="L129" s="120"/>
      <c r="M129" s="120"/>
      <c r="N129" s="120"/>
      <c r="O129" s="120"/>
      <c r="P129" s="120"/>
      <c r="Q129" s="120"/>
      <c r="R129" s="120"/>
      <c r="S129" s="120" t="s">
        <v>76</v>
      </c>
      <c r="T129" s="120"/>
      <c r="U129" s="120"/>
      <c r="V129" s="120"/>
      <c r="W129" s="120"/>
      <c r="X129" s="120"/>
      <c r="Y129" s="120"/>
      <c r="Z129" s="120"/>
      <c r="AA129" s="120"/>
      <c r="AC129" s="89"/>
    </row>
    <row r="130" spans="1:64">
      <c r="A130" s="258" t="s">
        <v>909</v>
      </c>
      <c r="B130" s="120"/>
      <c r="C130" s="120"/>
      <c r="D130" s="120"/>
      <c r="E130" s="120"/>
      <c r="F130" s="120" t="s">
        <v>97</v>
      </c>
      <c r="G130" s="120"/>
      <c r="H130" s="120"/>
      <c r="I130" s="120"/>
      <c r="J130" s="120"/>
      <c r="K130" s="120"/>
      <c r="L130" s="120"/>
      <c r="M130" s="120"/>
      <c r="N130" s="120"/>
      <c r="O130" s="120"/>
      <c r="P130" s="120"/>
      <c r="Q130" s="120"/>
      <c r="R130" s="120"/>
      <c r="S130" s="120" t="s">
        <v>360</v>
      </c>
      <c r="T130" s="194" t="s">
        <v>73</v>
      </c>
      <c r="U130" s="120"/>
      <c r="V130" s="120"/>
      <c r="W130" s="120"/>
      <c r="X130" s="120"/>
      <c r="Y130" s="120"/>
      <c r="Z130" s="120"/>
      <c r="AA130" s="120"/>
      <c r="AC130" s="89"/>
    </row>
    <row r="131" spans="1:64">
      <c r="A131" s="258" t="s">
        <v>910</v>
      </c>
      <c r="B131" s="120"/>
      <c r="C131" s="120"/>
      <c r="D131" s="120"/>
      <c r="E131" s="120"/>
      <c r="F131" s="120" t="s">
        <v>98</v>
      </c>
      <c r="G131" s="120"/>
      <c r="H131" s="120"/>
      <c r="I131" s="120"/>
      <c r="J131" s="120"/>
      <c r="K131" s="120"/>
      <c r="L131" s="120"/>
      <c r="M131" s="120"/>
      <c r="N131" s="120"/>
      <c r="O131" s="120"/>
      <c r="P131" s="120"/>
      <c r="Q131" s="120"/>
      <c r="R131" s="120"/>
      <c r="S131" s="254" t="s">
        <v>919</v>
      </c>
      <c r="T131" s="195" t="s">
        <v>72</v>
      </c>
      <c r="U131" s="120"/>
      <c r="V131" s="120"/>
      <c r="W131" s="120"/>
      <c r="X131" s="120"/>
      <c r="Y131" s="120"/>
      <c r="Z131" s="120"/>
      <c r="AA131" s="120"/>
      <c r="AC131" s="89"/>
    </row>
    <row r="132" spans="1:64">
      <c r="A132" s="258" t="s">
        <v>911</v>
      </c>
      <c r="B132" s="120"/>
      <c r="C132" s="120"/>
      <c r="D132" s="120"/>
      <c r="E132" s="120"/>
      <c r="F132" s="120"/>
      <c r="G132" s="120"/>
      <c r="H132" s="120"/>
      <c r="I132" s="120"/>
      <c r="J132" s="120"/>
      <c r="K132" s="120"/>
      <c r="L132" s="120"/>
      <c r="M132" s="120"/>
      <c r="N132" s="120"/>
      <c r="O132" s="120"/>
      <c r="P132" s="120"/>
      <c r="Q132" s="120"/>
      <c r="R132" s="120"/>
      <c r="S132" s="254" t="s">
        <v>784</v>
      </c>
      <c r="T132" s="195" t="s">
        <v>99</v>
      </c>
      <c r="U132" s="120"/>
      <c r="V132" s="120"/>
      <c r="W132" s="120"/>
      <c r="X132" s="120"/>
      <c r="Y132" s="120"/>
      <c r="Z132" s="120"/>
      <c r="AA132" s="120"/>
      <c r="AC132" s="89"/>
    </row>
    <row r="133" spans="1:64">
      <c r="A133" s="258" t="s">
        <v>912</v>
      </c>
      <c r="B133" s="120"/>
      <c r="C133" s="120"/>
      <c r="D133" s="120"/>
      <c r="E133" s="120"/>
      <c r="F133" s="120"/>
      <c r="G133" s="120"/>
      <c r="H133" s="120"/>
      <c r="I133" s="120"/>
      <c r="J133" s="120"/>
      <c r="K133" s="120"/>
      <c r="L133" s="120"/>
      <c r="M133" s="120"/>
      <c r="N133" s="120"/>
      <c r="O133" s="120"/>
      <c r="P133" s="120"/>
      <c r="Q133" s="120"/>
      <c r="R133" s="120"/>
      <c r="S133" s="254" t="s">
        <v>785</v>
      </c>
      <c r="T133" s="195" t="s">
        <v>100</v>
      </c>
      <c r="U133" s="120"/>
      <c r="V133" s="120"/>
      <c r="W133" s="120"/>
      <c r="X133" s="120"/>
      <c r="Y133" s="120"/>
      <c r="Z133" s="120"/>
      <c r="AA133" s="120"/>
      <c r="AC133" s="89"/>
    </row>
    <row r="134" spans="1:64">
      <c r="A134" s="258" t="s">
        <v>913</v>
      </c>
      <c r="B134" s="120"/>
      <c r="C134" s="120"/>
      <c r="D134" s="120"/>
      <c r="E134" s="120"/>
      <c r="F134" s="120"/>
      <c r="G134" s="120"/>
      <c r="H134" s="120"/>
      <c r="I134" s="120"/>
      <c r="J134" s="120"/>
      <c r="K134" s="120"/>
      <c r="L134" s="120"/>
      <c r="M134" s="120"/>
      <c r="N134" s="120"/>
      <c r="O134" s="120"/>
      <c r="P134" s="120"/>
      <c r="Q134" s="120"/>
      <c r="R134" s="120"/>
      <c r="S134" s="254" t="s">
        <v>1094</v>
      </c>
      <c r="T134" s="120"/>
      <c r="U134" s="120"/>
      <c r="V134" s="120"/>
      <c r="W134" s="120"/>
      <c r="X134" s="120"/>
      <c r="Y134" s="120"/>
      <c r="Z134" s="120"/>
      <c r="AA134" s="120"/>
      <c r="AC134" s="89"/>
    </row>
    <row r="135" spans="1:64">
      <c r="A135" s="258" t="s">
        <v>914</v>
      </c>
      <c r="B135" s="120"/>
      <c r="C135" s="120"/>
      <c r="D135" s="120"/>
      <c r="E135" s="120"/>
      <c r="F135" s="120"/>
      <c r="G135" s="120"/>
      <c r="H135" s="120"/>
      <c r="I135" s="120"/>
      <c r="J135" s="120"/>
      <c r="K135" s="120"/>
      <c r="L135" s="120"/>
      <c r="M135" s="120"/>
      <c r="N135" s="120"/>
      <c r="O135" s="120"/>
      <c r="P135" s="120"/>
      <c r="Q135" s="120"/>
      <c r="R135" s="120"/>
      <c r="S135" s="254" t="s">
        <v>1093</v>
      </c>
      <c r="T135" s="120"/>
      <c r="U135" s="120"/>
      <c r="V135" s="120"/>
      <c r="W135" s="120"/>
      <c r="X135" s="120"/>
      <c r="Y135" s="120"/>
      <c r="Z135" s="120"/>
      <c r="AA135" s="120"/>
      <c r="AC135" s="89"/>
      <c r="BK135" s="603" t="s">
        <v>316</v>
      </c>
      <c r="BL135" s="603"/>
    </row>
    <row r="136" spans="1:64">
      <c r="A136" s="258" t="s">
        <v>915</v>
      </c>
      <c r="B136" s="120"/>
      <c r="C136" s="120"/>
      <c r="D136" s="120"/>
      <c r="E136" s="120"/>
      <c r="F136" s="120"/>
      <c r="G136" s="120"/>
      <c r="H136" s="120"/>
      <c r="I136" s="120"/>
      <c r="J136" s="120"/>
      <c r="K136" s="120"/>
      <c r="L136" s="120"/>
      <c r="M136" s="120"/>
      <c r="N136" s="120"/>
      <c r="O136" s="120"/>
      <c r="P136" s="120"/>
      <c r="Q136" s="120"/>
      <c r="R136" s="120"/>
      <c r="S136" s="254" t="s">
        <v>1092</v>
      </c>
      <c r="T136" s="120"/>
      <c r="U136" s="199"/>
      <c r="V136" s="120"/>
      <c r="W136" s="120"/>
      <c r="X136" s="120"/>
      <c r="Y136" s="120"/>
      <c r="Z136" s="120"/>
      <c r="AA136" s="120"/>
      <c r="AC136" s="89"/>
      <c r="BK136" s="606" t="s">
        <v>317</v>
      </c>
      <c r="BL136" s="606" t="s">
        <v>318</v>
      </c>
    </row>
    <row r="137" spans="1:64">
      <c r="A137" s="258"/>
      <c r="B137" s="120"/>
      <c r="C137" s="120"/>
      <c r="D137" s="120"/>
      <c r="E137" s="120"/>
      <c r="F137" s="120"/>
      <c r="G137" s="120"/>
      <c r="H137" s="120"/>
      <c r="I137" s="120"/>
      <c r="J137" s="120"/>
      <c r="K137" s="120"/>
      <c r="L137" s="120"/>
      <c r="M137" s="120"/>
      <c r="N137" s="120"/>
      <c r="O137" s="120"/>
      <c r="P137" s="120"/>
      <c r="Q137" s="120"/>
      <c r="R137" s="120"/>
      <c r="S137" s="254" t="s">
        <v>1283</v>
      </c>
      <c r="T137" s="120"/>
      <c r="U137" s="199"/>
      <c r="V137" s="120"/>
      <c r="W137" s="120"/>
      <c r="X137" s="120"/>
      <c r="Y137" s="120"/>
      <c r="Z137" s="120"/>
      <c r="AA137" s="120"/>
      <c r="AC137" s="89"/>
      <c r="BK137" s="604" t="s">
        <v>319</v>
      </c>
      <c r="BL137" s="604" t="s">
        <v>320</v>
      </c>
    </row>
    <row r="138" spans="1:64">
      <c r="A138" s="120"/>
      <c r="B138" s="120"/>
      <c r="C138" s="120"/>
      <c r="D138" s="120"/>
      <c r="E138" s="120"/>
      <c r="F138" s="120"/>
      <c r="G138" s="120"/>
      <c r="H138" s="120"/>
      <c r="I138" s="120"/>
      <c r="J138" s="120"/>
      <c r="K138" s="120"/>
      <c r="L138" s="120"/>
      <c r="M138" s="120"/>
      <c r="N138" s="120"/>
      <c r="O138" s="120"/>
      <c r="P138" s="120"/>
      <c r="R138" s="120"/>
      <c r="S138" s="254" t="s">
        <v>1095</v>
      </c>
      <c r="T138" s="120"/>
      <c r="U138" s="196"/>
      <c r="V138" s="120"/>
      <c r="W138" s="120"/>
      <c r="X138" s="120"/>
      <c r="Y138" s="120"/>
      <c r="Z138" s="120"/>
      <c r="AA138" s="120"/>
      <c r="AC138" s="89"/>
      <c r="BK138" s="604" t="s">
        <v>321</v>
      </c>
      <c r="BL138" s="604" t="s">
        <v>1075</v>
      </c>
    </row>
    <row r="139" spans="1:64" ht="44.5" customHeight="1">
      <c r="A139" s="120"/>
      <c r="B139" s="120"/>
      <c r="D139" s="120"/>
      <c r="E139" s="120"/>
      <c r="F139" s="120"/>
      <c r="G139" s="120"/>
      <c r="H139" s="120"/>
      <c r="I139" s="120"/>
      <c r="J139" s="120"/>
      <c r="K139" s="120"/>
      <c r="L139" s="120"/>
      <c r="M139" s="120"/>
      <c r="N139" s="120"/>
      <c r="O139" s="120"/>
      <c r="P139" s="120"/>
      <c r="R139" s="120"/>
      <c r="S139" s="120" t="s">
        <v>826</v>
      </c>
      <c r="T139" s="120"/>
      <c r="U139" s="196"/>
      <c r="V139" s="120"/>
      <c r="W139" s="120"/>
      <c r="X139" s="120"/>
      <c r="Y139" s="120"/>
      <c r="Z139" s="120"/>
      <c r="AA139" s="120"/>
      <c r="AC139" s="89"/>
      <c r="BK139" s="604" t="s">
        <v>322</v>
      </c>
      <c r="BL139" s="605" t="s">
        <v>1076</v>
      </c>
    </row>
    <row r="140" spans="1:64">
      <c r="A140" s="120"/>
      <c r="B140" s="120"/>
      <c r="D140" s="120"/>
      <c r="E140" s="120"/>
      <c r="F140" s="120"/>
      <c r="G140" s="120"/>
      <c r="H140" s="120"/>
      <c r="I140" s="120"/>
      <c r="J140" s="120"/>
      <c r="K140" s="120"/>
      <c r="L140" s="120"/>
      <c r="M140" s="120"/>
      <c r="N140" s="120"/>
      <c r="O140" s="120"/>
      <c r="P140" s="120"/>
      <c r="Q140" s="120"/>
      <c r="R140" s="120"/>
      <c r="S140" s="254"/>
      <c r="T140" s="120"/>
      <c r="U140" s="120"/>
      <c r="V140" s="120"/>
      <c r="W140" s="120"/>
      <c r="X140" s="120"/>
      <c r="Y140" s="120"/>
      <c r="Z140" s="120"/>
      <c r="AA140" s="120"/>
      <c r="AC140" s="89"/>
      <c r="BK140" s="604" t="s">
        <v>323</v>
      </c>
      <c r="BL140" s="604" t="s">
        <v>324</v>
      </c>
    </row>
    <row r="141" spans="1:64">
      <c r="A141" s="120"/>
      <c r="B141" s="120"/>
      <c r="D141" s="120"/>
      <c r="E141" s="120"/>
      <c r="F141" s="120"/>
      <c r="G141" s="120"/>
      <c r="H141" s="120"/>
      <c r="I141" s="120"/>
      <c r="J141" s="120"/>
      <c r="K141" s="120"/>
      <c r="L141" s="120"/>
      <c r="M141" s="120"/>
      <c r="N141" s="120"/>
      <c r="O141" s="120"/>
      <c r="P141" s="120"/>
      <c r="Q141" s="120"/>
      <c r="R141" s="120"/>
      <c r="T141" s="120"/>
      <c r="U141" s="120"/>
      <c r="V141" s="120"/>
      <c r="W141" s="120"/>
      <c r="X141" s="120"/>
      <c r="Y141" s="120"/>
      <c r="Z141" s="120"/>
      <c r="AA141" s="120"/>
      <c r="AC141" s="89"/>
      <c r="BK141" s="604" t="s">
        <v>325</v>
      </c>
      <c r="BL141" s="604" t="s">
        <v>326</v>
      </c>
    </row>
    <row r="142" spans="1:64" hidden="1">
      <c r="A142" s="120"/>
      <c r="B142" s="120"/>
      <c r="C142" s="120"/>
      <c r="D142" s="120"/>
      <c r="E142" s="120"/>
      <c r="F142" s="120"/>
      <c r="G142" s="120"/>
      <c r="H142" s="120"/>
      <c r="I142" s="120"/>
      <c r="J142" s="120"/>
      <c r="K142" s="120"/>
      <c r="L142" s="120"/>
      <c r="M142" s="120"/>
      <c r="N142" s="120"/>
      <c r="O142" s="120"/>
      <c r="P142" s="120"/>
      <c r="Q142" s="120"/>
      <c r="R142" s="120"/>
      <c r="S142" s="120"/>
      <c r="T142" s="120"/>
      <c r="U142" s="194"/>
      <c r="V142" s="120"/>
      <c r="W142" s="120"/>
      <c r="X142" s="120"/>
      <c r="Y142" s="120"/>
      <c r="Z142" s="120"/>
      <c r="AA142" s="120"/>
      <c r="AB142" s="89"/>
      <c r="BK142" s="604" t="s">
        <v>327</v>
      </c>
      <c r="BL142" s="604" t="s">
        <v>328</v>
      </c>
    </row>
    <row r="143" spans="1:64" ht="61.5" customHeight="1">
      <c r="A143" s="120"/>
      <c r="B143" s="120"/>
      <c r="C143" s="120" t="s">
        <v>799</v>
      </c>
      <c r="D143" s="120"/>
      <c r="E143" s="120"/>
      <c r="F143" s="120"/>
      <c r="G143" s="120"/>
      <c r="H143" s="120"/>
      <c r="I143" s="120"/>
      <c r="J143" s="120"/>
      <c r="K143" s="120"/>
      <c r="L143" s="120"/>
      <c r="M143" s="120"/>
      <c r="N143" s="120"/>
      <c r="O143" s="120"/>
      <c r="P143" s="120"/>
      <c r="Q143" s="120"/>
      <c r="R143" s="120"/>
      <c r="S143" s="120"/>
      <c r="T143" s="120"/>
      <c r="U143" s="199"/>
      <c r="V143" s="120"/>
      <c r="W143" s="120"/>
      <c r="X143" s="120"/>
      <c r="Y143" s="120"/>
      <c r="Z143" s="120"/>
      <c r="AA143" s="120"/>
      <c r="AB143" s="89"/>
      <c r="BK143" s="604" t="s">
        <v>329</v>
      </c>
      <c r="BL143" s="605" t="s">
        <v>1207</v>
      </c>
    </row>
    <row r="144" spans="1:64">
      <c r="A144" s="120"/>
      <c r="B144" s="120" t="s">
        <v>833</v>
      </c>
      <c r="C144" s="120" t="s">
        <v>954</v>
      </c>
      <c r="D144" s="120"/>
      <c r="E144" s="120"/>
      <c r="F144" s="120"/>
      <c r="G144" s="120"/>
      <c r="H144" s="120"/>
      <c r="I144" s="120"/>
      <c r="J144" s="120"/>
      <c r="K144" s="120"/>
      <c r="L144" s="120"/>
      <c r="M144" s="120"/>
      <c r="N144" s="120"/>
      <c r="O144" s="120"/>
      <c r="P144" s="120"/>
      <c r="Q144" s="120"/>
      <c r="R144" s="120"/>
      <c r="S144" s="120"/>
      <c r="T144" s="120" t="s">
        <v>824</v>
      </c>
      <c r="U144" s="120"/>
      <c r="V144" s="120"/>
      <c r="W144" s="120"/>
      <c r="X144" s="120"/>
      <c r="Y144" s="120"/>
      <c r="Z144" s="120"/>
      <c r="AA144" s="120"/>
      <c r="BK144" s="604" t="s">
        <v>330</v>
      </c>
      <c r="BL144" s="604" t="s">
        <v>331</v>
      </c>
    </row>
    <row r="145" spans="1:64">
      <c r="A145" s="120"/>
      <c r="B145" s="120" t="s">
        <v>830</v>
      </c>
      <c r="C145" s="120" t="s">
        <v>54</v>
      </c>
      <c r="D145" s="120"/>
      <c r="E145" s="120"/>
      <c r="F145" s="120"/>
      <c r="G145" s="120"/>
      <c r="H145" s="120"/>
      <c r="I145" s="120"/>
      <c r="J145" s="120"/>
      <c r="K145" s="120"/>
      <c r="L145" s="120"/>
      <c r="M145" s="120"/>
      <c r="N145" s="120"/>
      <c r="O145" s="120"/>
      <c r="P145" s="120"/>
      <c r="Q145" s="120"/>
      <c r="R145" s="120"/>
      <c r="S145" s="120"/>
      <c r="T145" s="120" t="s">
        <v>825</v>
      </c>
      <c r="U145" s="120"/>
      <c r="V145" s="120"/>
      <c r="W145" s="120"/>
      <c r="X145" s="120"/>
      <c r="Y145" s="120"/>
      <c r="Z145" s="120"/>
      <c r="AA145" s="120"/>
      <c r="BK145" s="604" t="s">
        <v>332</v>
      </c>
      <c r="BL145" s="604" t="s">
        <v>333</v>
      </c>
    </row>
    <row r="146" spans="1:64" ht="28">
      <c r="A146" s="120"/>
      <c r="B146" s="120" t="s">
        <v>831</v>
      </c>
      <c r="C146" s="120" t="s">
        <v>765</v>
      </c>
      <c r="D146" s="120"/>
      <c r="E146" s="120"/>
      <c r="F146" s="120"/>
      <c r="G146" s="120"/>
      <c r="H146" s="120"/>
      <c r="I146" s="120"/>
      <c r="J146" s="120"/>
      <c r="K146" s="120"/>
      <c r="L146" s="120"/>
      <c r="M146" s="120"/>
      <c r="N146" s="120"/>
      <c r="O146" s="120"/>
      <c r="P146" s="120"/>
      <c r="Q146" s="120"/>
      <c r="R146" s="120"/>
      <c r="T146" s="120"/>
      <c r="U146" s="120"/>
      <c r="V146" s="120"/>
      <c r="W146" s="120"/>
      <c r="X146" s="120"/>
      <c r="Y146" s="120"/>
      <c r="Z146" s="120"/>
      <c r="AA146" s="120"/>
      <c r="BK146" s="604" t="s">
        <v>334</v>
      </c>
      <c r="BL146" s="605" t="s">
        <v>335</v>
      </c>
    </row>
    <row r="147" spans="1:64">
      <c r="A147" s="120"/>
      <c r="B147" s="120" t="s">
        <v>834</v>
      </c>
      <c r="C147" s="120" t="s">
        <v>794</v>
      </c>
      <c r="D147" s="120"/>
      <c r="E147" s="120"/>
      <c r="F147" s="120"/>
      <c r="G147" s="120"/>
      <c r="H147" s="120"/>
      <c r="I147" s="120"/>
      <c r="J147" s="120"/>
      <c r="K147" s="120"/>
      <c r="L147" s="120"/>
      <c r="M147" s="120"/>
      <c r="N147" s="120"/>
      <c r="O147" s="120"/>
      <c r="P147" s="120"/>
      <c r="Q147" s="120"/>
      <c r="R147" s="120"/>
      <c r="T147" s="120"/>
      <c r="U147" s="120"/>
      <c r="V147" s="120"/>
      <c r="W147" s="120"/>
      <c r="X147" s="120"/>
      <c r="Y147" s="120"/>
      <c r="Z147" s="120"/>
      <c r="AA147" s="120"/>
      <c r="BK147" s="604" t="s">
        <v>336</v>
      </c>
      <c r="BL147" s="604" t="s">
        <v>337</v>
      </c>
    </row>
    <row r="148" spans="1:64" ht="28">
      <c r="A148" s="120"/>
      <c r="B148" s="120" t="s">
        <v>835</v>
      </c>
      <c r="C148" s="120" t="s">
        <v>832</v>
      </c>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BK148" s="604" t="s">
        <v>338</v>
      </c>
      <c r="BL148" s="605" t="s">
        <v>339</v>
      </c>
    </row>
    <row r="149" spans="1:64">
      <c r="A149" s="120"/>
      <c r="B149" s="120" t="s">
        <v>836</v>
      </c>
      <c r="C149" s="120" t="s">
        <v>920</v>
      </c>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BK149" s="604" t="s">
        <v>340</v>
      </c>
      <c r="BL149" s="604" t="s">
        <v>341</v>
      </c>
    </row>
    <row r="150" spans="1:64">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BK150" s="604" t="s">
        <v>342</v>
      </c>
      <c r="BL150" s="605" t="s">
        <v>1077</v>
      </c>
    </row>
    <row r="151" spans="1:64" ht="32.5" customHeight="1">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BK151" s="604" t="s">
        <v>1096</v>
      </c>
      <c r="BL151" s="605" t="s">
        <v>1097</v>
      </c>
    </row>
    <row r="152" spans="1:64">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row>
    <row r="153" spans="1:64">
      <c r="A153" s="120"/>
      <c r="B153" s="120"/>
      <c r="C153" s="120"/>
      <c r="D153" s="120"/>
      <c r="E153" s="120"/>
      <c r="K153" s="120"/>
      <c r="S153" s="120"/>
      <c r="T153" s="120"/>
    </row>
    <row r="154" spans="1:64">
      <c r="K154" s="120"/>
      <c r="T154" s="120"/>
    </row>
    <row r="155" spans="1:64">
      <c r="K155" s="120"/>
    </row>
    <row r="156" spans="1:64">
      <c r="K156" s="120"/>
    </row>
    <row r="157" spans="1:64">
      <c r="K157" s="120"/>
    </row>
    <row r="158" spans="1:64">
      <c r="K158" s="120"/>
    </row>
    <row r="159" spans="1:64">
      <c r="K159" s="120"/>
    </row>
    <row r="160" spans="1:64">
      <c r="K160" s="120"/>
    </row>
    <row r="161" spans="11:11">
      <c r="K161" s="120"/>
    </row>
    <row r="162" spans="11:11">
      <c r="K162" s="120"/>
    </row>
    <row r="163" spans="11:11">
      <c r="K163" s="120"/>
    </row>
    <row r="164" spans="11:11">
      <c r="K164" s="120"/>
    </row>
  </sheetData>
  <sheetProtection algorithmName="SHA-512" hashValue="+ZyUIqBhY+a7BJldLQ6qyEMQNXxt5m9b6oI/VU+ZiBvBFCcWCJ+p9/wP4jDG3I4sVLI5LN4tV0Dibkrs50Ru3Q==" saltValue="lxQSIAKl6imddOekiGtY7Q==" spinCount="100000" sheet="1" selectLockedCells="1"/>
  <autoFilter ref="A6:BL6" xr:uid="{13FA1C90-4D93-4736-A576-F6715D5EA1AB}">
    <filterColumn colId="2" showButton="0"/>
  </autoFilter>
  <mergeCells count="22">
    <mergeCell ref="E109:Q109"/>
    <mergeCell ref="E110:Q110"/>
    <mergeCell ref="E111:Q111"/>
    <mergeCell ref="E112:Q112"/>
    <mergeCell ref="BF5:BH5"/>
    <mergeCell ref="Y5:Y6"/>
    <mergeCell ref="BE5:BE6"/>
    <mergeCell ref="A107:B107"/>
    <mergeCell ref="S5:T5"/>
    <mergeCell ref="U5:V5"/>
    <mergeCell ref="W5:W6"/>
    <mergeCell ref="X5:X6"/>
    <mergeCell ref="A1:X1"/>
    <mergeCell ref="U3:X3"/>
    <mergeCell ref="A5:A6"/>
    <mergeCell ref="B5:B6"/>
    <mergeCell ref="C5:D6"/>
    <mergeCell ref="E5:E6"/>
    <mergeCell ref="F5:F6"/>
    <mergeCell ref="G5:G6"/>
    <mergeCell ref="H5:Q5"/>
    <mergeCell ref="R5:R6"/>
  </mergeCells>
  <phoneticPr fontId="1"/>
  <conditionalFormatting sqref="X7:X106">
    <cfRule type="containsText" dxfId="79" priority="1" operator="containsText" text="→内容を記載してください">
      <formula>NOT(ISERROR(SEARCH("→内容を記載してください",X7)))</formula>
    </cfRule>
  </conditionalFormatting>
  <dataValidations count="15">
    <dataValidation allowBlank="1" showErrorMessage="1" sqref="T107 V107" xr:uid="{7DF6E691-8A45-4762-9C0C-A8F9E0DE374F}"/>
    <dataValidation type="list" allowBlank="1" showErrorMessage="1" prompt="「正」は正規職員、「パート」は正規職員以外（他のエクセルファイルからの貼り付けの際は、「パート」は全角でお願いします。）" sqref="C7:C106" xr:uid="{7834FB90-717C-47F5-845B-E76693C5E492}">
      <formula1>$C$119:$C$121</formula1>
    </dataValidation>
    <dataValidation type="list" errorStyle="warning" allowBlank="1" showInputMessage="1" showErrorMessage="1" sqref="C65623:C65647 C131159:C131183 C196695:C196719 C262231:C262255 C327767:C327791 C393303:C393327 C458839:C458863 C524375:C524399 C589911:C589935 C655447:C655471 C720983:C721007 C786519:C786543 C852055:C852079 C917591:C917615 C983127:C983151" xr:uid="{8DD76295-78EE-4B5A-93D2-BD7287BDA4CD}">
      <formula1>$C$119:$C$121</formula1>
    </dataValidation>
    <dataValidation type="list" allowBlank="1" showInputMessage="1" showErrorMessage="1" sqref="H7:P107" xr:uid="{023ECD6C-05CC-444E-842E-E5D7EB556D2C}">
      <formula1>$H$119</formula1>
    </dataValidation>
    <dataValidation type="list" allowBlank="1" showInputMessage="1" showErrorMessage="1" prompt="「常」⇒園の就業規則で定める常勤時間以上の勤務を行う者_x000a__x000a_「非」⇒園の就業規則で定める常勤時間未満の勤務を行う者" sqref="D7:D106" xr:uid="{58F768E8-3521-424E-B6BC-499E78878334}">
      <formula1>$D$119:$D$120</formula1>
    </dataValidation>
    <dataValidation type="list" errorStyle="warning" allowBlank="1" showInputMessage="1" showErrorMessage="1" sqref="D983127:D983151 D917591:D917615 D852055:D852079 D786519:D786543 D720983:D721007 D655447:D655471 D589911:D589935 D524375:D524399 D458839:D458863 D393303:D393327 D327767:D327791 D262231:D262255 D196695:D196719 D131159:D131183 D65623:D65647" xr:uid="{58E11126-F086-463F-A691-FB364C692612}">
      <formula1>$D$119:$D$120</formula1>
    </dataValidation>
    <dataValidation type="list" errorStyle="warning" allowBlank="1" showInputMessage="1" showErrorMessage="1" sqref="F65622:F65646 F983126:F983150 F917590:F917614 F852054:F852078 F786518:F786542 F720982:F721006 F655446:F655470 F589910:F589934 F524374:F524398 F458838:F458862 F393302:F393326 F327766:F327790 F262230:F262254 F196694:F196718 F131158:F131182 F7:F106" xr:uid="{7B6564E6-E11F-427A-9C53-50671F8D3AD8}">
      <formula1>$F$119:$F$120</formula1>
    </dataValidation>
    <dataValidation type="list" errorStyle="warning" allowBlank="1" showInputMessage="1" showErrorMessage="1" sqref="K983127:K983151 H983126:J983150 L983126:O983150 K917591:K917615 H917590:J917614 L917590:O917614 K852055:K852079 H852054:J852078 L852054:O852078 K786519:K786543 H786518:J786542 L786518:O786542 K720983:K721007 H720982:J721006 L720982:O721006 K655447:K655471 H655446:J655470 L655446:O655470 K589911:K589935 H589910:J589934 L589910:O589934 K524375:K524399 H524374:J524398 L524374:O524398 K458839:K458863 H458838:J458862 L458838:O458862 K393303:K393327 H393302:J393326 L393302:O393326 K327767:K327791 H327766:J327790 L327766:O327790 K262231:K262255 H262230:J262254 L262230:O262254 K196695:K196719 H196694:J196718 L196694:O196718 K131159:K131183 H131158:J131182 L131158:O131182 K65623:K65647 H65622:J65646 L65622:O65646" xr:uid="{A546CBFA-5BAC-4D54-82F3-EE2F2B74596F}">
      <formula1>$H$119:$H$120</formula1>
    </dataValidation>
    <dataValidation type="date" operator="notEqual" allowBlank="1" showInputMessage="1" showErrorMessage="1" prompt="「H●.8.9」の形式で入力してください。_x000a__x000a_【駄目な例】_x000a_「H.●.8.9」、「H●.8.9.」、「H●0809」、「●0809」、「● 8 9」_x000a__x000a_「,」カンマ入力は駄目です。「.」ドットで入力してください。_x000a__x000a_「h」で入力しても「H」に変換されるのでOKです。" sqref="R7:S107 U7:U107" xr:uid="{FB7A1F45-164E-4E6E-8BC7-DD72C1951A50}">
      <formula1>92</formula1>
    </dataValidation>
    <dataValidation type="list" allowBlank="1" showErrorMessage="1" sqref="T7:T106" xr:uid="{550C0E2E-DB68-44AA-ADD8-F3E609F947A6}">
      <formula1>$K$119:$K$128</formula1>
    </dataValidation>
    <dataValidation type="list" allowBlank="1" showErrorMessage="1" sqref="V7:V106" xr:uid="{B3479234-10A1-4D73-9DB0-4BBC3E00B8D5}">
      <formula1>$O$119:$O$128</formula1>
    </dataValidation>
    <dataValidation type="list" allowBlank="1" showInputMessage="1" showErrorMessage="1" sqref="B7:B106" xr:uid="{B95C7F71-B7D3-4C8A-AE07-B9BD8BB2827D}">
      <formula1>$A$119:$A$136</formula1>
    </dataValidation>
    <dataValidation type="list" errorStyle="warning" allowBlank="1" showInputMessage="1" showErrorMessage="1" sqref="B983127:B983151 B65623:B65647 B131159:B131183 B196695:B196719 B262231:B262255 B327767:B327791 B393303:B393327 B458839:B458863 B524375:B524399 B589911:B589935 B655447:B655471 B720983:B721007 B786519:B786543 B852055:B852079 B917591:B917615" xr:uid="{C9DC6072-B1E3-4AD6-99EA-3F65954F5D4F}">
      <formula1>$A$119:$A$136</formula1>
    </dataValidation>
    <dataValidation type="list" imeMode="halfAlpha" allowBlank="1" showErrorMessage="1" prompt="「H●.4.1」の形式で入力してください。_x000a__x000a_【駄目な例】_x000a_「H.●.4.1」、「H●.4.1.」、「H●0401」、「●0401」、「● 4 1」_x000a__x000a_「,」カンマ入力は駄目です。「.」ドットで入力してください。_x000a__x000a_「h」で入力しても「H」に変換されるのでOKです。" sqref="W7:W107" xr:uid="{68FD73FB-A5AC-49D8-A734-5B96C2572913}">
      <formula1>$S$119:$S$139</formula1>
    </dataValidation>
    <dataValidation allowBlank="1" showInputMessage="1" showErrorMessage="1" prompt="「主に従事する業務」に「その他県費補助等該当」を選択した場合は、その内容を記載してください。_x000a__x000a_また、その他特記事項がある場合は記載してください。_x000a_　※関数の上から入力していただいて構いません。" sqref="X7:X107" xr:uid="{943459B2-EB6F-42BF-99EB-26AA2B50C080}"/>
  </dataValidations>
  <pageMargins left="0.39370078740157483" right="0.31496062992125984" top="0.43307086614173229" bottom="0.35433070866141736" header="0.39370078740157483" footer="0.31496062992125984"/>
  <pageSetup paperSize="9" scale="87" orientation="landscape" r:id="rId1"/>
  <headerFooter alignWithMargins="0"/>
  <rowBreaks count="1" manualBreakCount="1">
    <brk id="82" max="2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2FC5-BF42-4BD3-93FF-97C256D7E352}">
  <sheetPr codeName="Sheet71">
    <tabColor rgb="FF00B050"/>
  </sheetPr>
  <dimension ref="A1:AU125"/>
  <sheetViews>
    <sheetView view="pageBreakPreview" zoomScale="85" zoomScaleNormal="85" zoomScaleSheetLayoutView="85" workbookViewId="0">
      <pane xSplit="5" ySplit="6" topLeftCell="F7" activePane="bottomRight" state="frozen"/>
      <selection activeCell="L9" sqref="L9:Q9"/>
      <selection pane="topRight" activeCell="L9" sqref="L9:Q9"/>
      <selection pane="bottomLeft" activeCell="L9" sqref="L9:Q9"/>
      <selection pane="bottomRight" activeCell="F103" sqref="F103"/>
    </sheetView>
  </sheetViews>
  <sheetFormatPr defaultColWidth="8" defaultRowHeight="18"/>
  <cols>
    <col min="1" max="1" width="3.33203125" customWidth="1"/>
    <col min="2" max="2" width="19.83203125" customWidth="1"/>
    <col min="3" max="3" width="11" customWidth="1"/>
    <col min="4" max="4" width="11" hidden="1" customWidth="1"/>
    <col min="5" max="5" width="11" customWidth="1"/>
    <col min="6" max="29" width="6.83203125" customWidth="1"/>
    <col min="30" max="30" width="6.25" customWidth="1"/>
    <col min="31" max="31" width="8.83203125" bestFit="1" customWidth="1"/>
    <col min="32" max="32" width="6.25" customWidth="1"/>
    <col min="36" max="36" width="8.75" bestFit="1" customWidth="1"/>
  </cols>
  <sheetData>
    <row r="1" spans="1:47" s="84" customFormat="1" ht="24.75" customHeight="1" thickBot="1">
      <c r="A1" s="783" t="s">
        <v>101</v>
      </c>
      <c r="B1" s="783"/>
      <c r="C1" s="783"/>
      <c r="D1" s="783"/>
      <c r="E1" s="783"/>
      <c r="F1" s="783"/>
      <c r="G1" s="783"/>
      <c r="H1" s="783"/>
      <c r="I1" s="783"/>
      <c r="J1" s="783"/>
      <c r="K1" s="783"/>
      <c r="L1" s="783"/>
      <c r="M1" s="783"/>
      <c r="N1" s="783"/>
      <c r="O1" s="783"/>
    </row>
    <row r="2" spans="1:47" ht="18" customHeight="1" thickBot="1">
      <c r="A2" s="126"/>
      <c r="C2" s="126"/>
      <c r="D2" s="126"/>
      <c r="E2" s="126"/>
      <c r="K2" s="90" t="s">
        <v>46</v>
      </c>
      <c r="L2" s="784">
        <f>①基本情報!D6</f>
        <v>0</v>
      </c>
      <c r="M2" s="784"/>
      <c r="N2" s="784"/>
      <c r="O2" s="784"/>
      <c r="P2" s="784"/>
      <c r="Q2" s="784"/>
      <c r="R2" s="127"/>
      <c r="S2" s="128" t="s">
        <v>102</v>
      </c>
      <c r="T2" s="127"/>
      <c r="U2" s="127"/>
      <c r="V2" s="127"/>
      <c r="W2" s="127"/>
      <c r="X2" s="127"/>
      <c r="Y2" s="127"/>
      <c r="Z2" s="127"/>
      <c r="AA2" s="127"/>
      <c r="AB2" s="127"/>
      <c r="AC2" s="127"/>
    </row>
    <row r="3" spans="1:47" ht="18" customHeight="1">
      <c r="A3" s="85"/>
      <c r="B3" s="85"/>
      <c r="C3" s="85"/>
      <c r="D3" s="85"/>
      <c r="E3" s="86"/>
      <c r="G3" s="86"/>
      <c r="H3" s="86"/>
      <c r="I3" s="86"/>
      <c r="J3" s="86"/>
    </row>
    <row r="4" spans="1:47" ht="7.5" customHeight="1">
      <c r="A4" s="85"/>
      <c r="B4" s="85"/>
      <c r="C4" s="85"/>
      <c r="D4" s="85"/>
      <c r="E4" s="86"/>
      <c r="F4" s="18"/>
      <c r="G4" s="18"/>
      <c r="H4" s="18"/>
      <c r="I4" s="18"/>
      <c r="J4" s="18"/>
      <c r="K4" s="18"/>
      <c r="L4" s="18"/>
      <c r="M4" s="18"/>
      <c r="N4" s="18"/>
      <c r="O4" s="18"/>
      <c r="P4" s="18"/>
      <c r="Q4" s="18"/>
      <c r="R4" s="18" t="s">
        <v>315</v>
      </c>
    </row>
    <row r="5" spans="1:47" s="91" customFormat="1" ht="54.75" customHeight="1">
      <c r="A5" s="781"/>
      <c r="B5" s="766" t="s">
        <v>103</v>
      </c>
      <c r="C5" s="766" t="s">
        <v>53</v>
      </c>
      <c r="D5" s="785" t="s">
        <v>104</v>
      </c>
      <c r="E5" s="129" t="s">
        <v>105</v>
      </c>
      <c r="F5" s="133"/>
      <c r="G5" s="133">
        <f>F5</f>
        <v>0</v>
      </c>
      <c r="H5" s="133">
        <f t="shared" ref="H5:Q5" si="0">G5</f>
        <v>0</v>
      </c>
      <c r="I5" s="133">
        <f t="shared" ref="I5" si="1">H5</f>
        <v>0</v>
      </c>
      <c r="J5" s="133">
        <f t="shared" ref="J5" si="2">I5</f>
        <v>0</v>
      </c>
      <c r="K5" s="133">
        <f t="shared" ref="K5" si="3">J5</f>
        <v>0</v>
      </c>
      <c r="L5" s="133">
        <f t="shared" ref="L5" si="4">K5</f>
        <v>0</v>
      </c>
      <c r="M5" s="133">
        <f t="shared" ref="M5" si="5">L5</f>
        <v>0</v>
      </c>
      <c r="N5" s="133">
        <f t="shared" ref="N5" si="6">M5</f>
        <v>0</v>
      </c>
      <c r="O5" s="133">
        <f t="shared" ref="O5" si="7">N5</f>
        <v>0</v>
      </c>
      <c r="P5" s="133">
        <f t="shared" si="0"/>
        <v>0</v>
      </c>
      <c r="Q5" s="133">
        <f t="shared" si="0"/>
        <v>0</v>
      </c>
      <c r="Y5" s="18"/>
      <c r="Z5" s="18"/>
      <c r="AA5" s="18"/>
      <c r="AB5" s="18"/>
      <c r="AC5" s="18"/>
      <c r="AI5" s="91" t="s">
        <v>1630</v>
      </c>
      <c r="AJ5" s="91">
        <f>SUM(AJ6:AU6)</f>
        <v>0</v>
      </c>
    </row>
    <row r="6" spans="1:47" s="91" customFormat="1" ht="54.75" customHeight="1">
      <c r="A6" s="781"/>
      <c r="B6" s="766"/>
      <c r="C6" s="781"/>
      <c r="D6" s="786"/>
      <c r="E6" s="130" t="s">
        <v>106</v>
      </c>
      <c r="F6" s="131">
        <v>4</v>
      </c>
      <c r="G6" s="131">
        <v>5</v>
      </c>
      <c r="H6" s="131">
        <v>6</v>
      </c>
      <c r="I6" s="131">
        <v>7</v>
      </c>
      <c r="J6" s="131">
        <v>8</v>
      </c>
      <c r="K6" s="131">
        <v>9</v>
      </c>
      <c r="L6" s="131">
        <v>10</v>
      </c>
      <c r="M6" s="131">
        <v>11</v>
      </c>
      <c r="N6" s="131">
        <v>12</v>
      </c>
      <c r="O6" s="131">
        <v>1</v>
      </c>
      <c r="P6" s="131">
        <v>2</v>
      </c>
      <c r="Q6" s="131">
        <v>3</v>
      </c>
      <c r="R6" s="131">
        <v>4</v>
      </c>
      <c r="S6" s="131">
        <v>5</v>
      </c>
      <c r="T6" s="131">
        <v>6</v>
      </c>
      <c r="U6" s="131">
        <v>7</v>
      </c>
      <c r="V6" s="131">
        <v>8</v>
      </c>
      <c r="W6" s="131">
        <v>9</v>
      </c>
      <c r="X6" s="131">
        <v>10</v>
      </c>
      <c r="Y6" s="131">
        <v>11</v>
      </c>
      <c r="Z6" s="131">
        <v>12</v>
      </c>
      <c r="AA6" s="131">
        <v>1</v>
      </c>
      <c r="AB6" s="131">
        <v>2</v>
      </c>
      <c r="AC6" s="131">
        <v>3</v>
      </c>
      <c r="AI6" s="91" t="s">
        <v>1631</v>
      </c>
      <c r="AJ6" s="596">
        <f>COUNTIF(AJ7:AJ111,"×")</f>
        <v>0</v>
      </c>
      <c r="AK6" s="596">
        <f t="shared" ref="AK6:AU6" si="8">COUNTIF(AK7:AK111,"×")</f>
        <v>0</v>
      </c>
      <c r="AL6" s="596">
        <f t="shared" si="8"/>
        <v>0</v>
      </c>
      <c r="AM6" s="596">
        <f t="shared" si="8"/>
        <v>0</v>
      </c>
      <c r="AN6" s="596">
        <f t="shared" si="8"/>
        <v>0</v>
      </c>
      <c r="AO6" s="596">
        <f t="shared" si="8"/>
        <v>0</v>
      </c>
      <c r="AP6" s="596">
        <f t="shared" si="8"/>
        <v>0</v>
      </c>
      <c r="AQ6" s="596">
        <f t="shared" si="8"/>
        <v>0</v>
      </c>
      <c r="AR6" s="596">
        <f t="shared" si="8"/>
        <v>0</v>
      </c>
      <c r="AS6" s="596">
        <f t="shared" si="8"/>
        <v>0</v>
      </c>
      <c r="AT6" s="596">
        <f t="shared" si="8"/>
        <v>0</v>
      </c>
      <c r="AU6" s="596">
        <f t="shared" si="8"/>
        <v>0</v>
      </c>
    </row>
    <row r="7" spans="1:47" s="103" customFormat="1" ht="23.15" customHeight="1">
      <c r="A7" s="99">
        <v>1</v>
      </c>
      <c r="B7" s="98" t="str">
        <f>IF('②-1職員名簿'!E7="","",'②-1職員名簿'!Y7)</f>
        <v/>
      </c>
      <c r="C7" s="101" t="str">
        <f>'②-1職員名簿'!BE7</f>
        <v/>
      </c>
      <c r="D7" s="132" t="str">
        <f t="shared" ref="D7:D70" si="9">B7&amp;C7</f>
        <v/>
      </c>
      <c r="E7" s="19" t="str">
        <f>IF($B7="","",IF(AND('②-1職員名簿'!C7="正",'②-1職員名簿'!D7="常"),"正規職員","契約上の就業時間を記載"))</f>
        <v/>
      </c>
      <c r="F7" s="10" t="str">
        <f>IF($B7="","",IF(OR('②-1職員名簿'!AC7="○",'②-1職員名簿'!AC7="●"),IF($E7="正規職員","正",IF($E7="契約上の就業時間を記載","","見込を入力")),"-"))</f>
        <v/>
      </c>
      <c r="G7" s="10" t="str">
        <f>IF($B7="","",IF(OR('②-1職員名簿'!AD7="○",'②-1職員名簿'!AD7="●"),IF($E7="正規職員","正",IF($E7="契約上の就業時間を記載","","実績を入力")),"-"))</f>
        <v/>
      </c>
      <c r="H7" s="10" t="str">
        <f>IF($B7="","",IF(OR('②-1職員名簿'!AE7="○",'②-1職員名簿'!AE7="●"),IF($E7="正規職員","正",IF($E7="契約上の就業時間を記載","","実績を入力")),"-"))</f>
        <v/>
      </c>
      <c r="I7" s="10" t="str">
        <f>IF($B7="","",IF(OR('②-1職員名簿'!AF7="○",'②-1職員名簿'!AF7="●"),IF($E7="正規職員","正",IF($E7="契約上の就業時間を記載","","実績を入力")),"-"))</f>
        <v/>
      </c>
      <c r="J7" s="10" t="str">
        <f>IF($B7="","",IF(OR('②-1職員名簿'!AG7="○",'②-1職員名簿'!AG7="●"),IF($E7="正規職員","正",IF($E7="契約上の就業時間を記載","","実績を入力")),"-"))</f>
        <v/>
      </c>
      <c r="K7" s="10" t="str">
        <f>IF($B7="","",IF(OR('②-1職員名簿'!AH7="○",'②-1職員名簿'!AH7="●"),IF($E7="正規職員","正",IF($E7="契約上の就業時間を記載","","実績を入力")),"-"))</f>
        <v/>
      </c>
      <c r="L7" s="10" t="str">
        <f>IF($B7="","",IF(OR('②-1職員名簿'!AI7="○",'②-1職員名簿'!AI7="●"),IF($E7="正規職員","正",IF($E7="契約上の就業時間を記載","","実績を入力")),"-"))</f>
        <v/>
      </c>
      <c r="M7" s="10" t="str">
        <f>IF($B7="","",IF(OR('②-1職員名簿'!AJ7="○",'②-1職員名簿'!AJ7="●"),IF($E7="正規職員","正",IF($E7="契約上の就業時間を記載","","実績を入力")),"-"))</f>
        <v/>
      </c>
      <c r="N7" s="10" t="str">
        <f>IF($B7="","",IF(OR('②-1職員名簿'!AK7="○",'②-1職員名簿'!AK7="●"),IF($E7="正規職員","正",IF($E7="契約上の就業時間を記載","","実績を入力")),"-"))</f>
        <v/>
      </c>
      <c r="O7" s="10" t="str">
        <f>IF($B7="","",IF(OR('②-1職員名簿'!AL7="○",'②-1職員名簿'!AL7="●"),IF($E7="正規職員","正",IF($E7="契約上の就業時間を記載","","実績を入力")),"-"))</f>
        <v/>
      </c>
      <c r="P7" s="10" t="str">
        <f>IF($B7="","",IF(OR('②-1職員名簿'!AM7="○",'②-1職員名簿'!AM7="●"),IF($E7="正規職員","正",IF($E7="契約上の就業時間を記載","","実績を入力")),"-"))</f>
        <v/>
      </c>
      <c r="Q7" s="10" t="str">
        <f>IF($B7="","",IF(OR('②-1職員名簿'!AN7="○",'②-1職員名簿'!AN7="●"),IF($E7="正規職員","正",IF($E7="契約上の就業時間を記載","","実績を入力")),"-"))</f>
        <v/>
      </c>
      <c r="R7" s="101" t="str">
        <f>IF($B7="","",IF(OR('②-1職員名簿'!AC7="○",'②-1職員名簿'!AC7="●"),IF($E7="正規職員","正",IF($E7="契約上の就業時間を記載","",IF($E7&gt;=F$5,"常",F7))),"-"))</f>
        <v/>
      </c>
      <c r="S7" s="101" t="str">
        <f>IF($B7="","",IF(OR('②-1職員名簿'!AD7="○",'②-1職員名簿'!AD7="●"),IF($E7="正規職員","正",IF($E7="契約上の就業時間を記載","",IF($E7&gt;=G$5,"常",G7))),"-"))</f>
        <v/>
      </c>
      <c r="T7" s="101" t="str">
        <f>IF($B7="","",IF(OR('②-1職員名簿'!AE7="○",'②-1職員名簿'!AE7="●"),IF($E7="正規職員","正",IF($E7="契約上の就業時間を記載","",IF($E7&gt;=H$5,"常",H7))),"-"))</f>
        <v/>
      </c>
      <c r="U7" s="101" t="str">
        <f>IF($B7="","",IF(OR('②-1職員名簿'!AF7="○",'②-1職員名簿'!AF7="●"),IF($E7="正規職員","正",IF($E7="契約上の就業時間を記載","",IF($E7&gt;=I$5,"常",I7))),"-"))</f>
        <v/>
      </c>
      <c r="V7" s="101" t="str">
        <f>IF($B7="","",IF(OR('②-1職員名簿'!AG7="○",'②-1職員名簿'!AG7="●"),IF($E7="正規職員","正",IF($E7="契約上の就業時間を記載","",IF($E7&gt;=J$5,"常",J7))),"-"))</f>
        <v/>
      </c>
      <c r="W7" s="101" t="str">
        <f>IF($B7="","",IF(OR('②-1職員名簿'!AH7="○",'②-1職員名簿'!AH7="●"),IF($E7="正規職員","正",IF($E7="契約上の就業時間を記載","",IF($E7&gt;=K$5,"常",K7))),"-"))</f>
        <v/>
      </c>
      <c r="X7" s="101" t="str">
        <f>IF($B7="","",IF(OR('②-1職員名簿'!AI7="○",'②-1職員名簿'!AI7="●"),IF($E7="正規職員","正",IF($E7="契約上の就業時間を記載","",IF($E7&gt;=L$5,"常",L7))),"-"))</f>
        <v/>
      </c>
      <c r="Y7" s="101" t="str">
        <f>IF($B7="","",IF(OR('②-1職員名簿'!AJ7="○",'②-1職員名簿'!AJ7="●"),IF($E7="正規職員","正",IF($E7="契約上の就業時間を記載","",IF($E7&gt;=M$5,"常",M7))),"-"))</f>
        <v/>
      </c>
      <c r="Z7" s="101" t="str">
        <f>IF($B7="","",IF(OR('②-1職員名簿'!AK7="○",'②-1職員名簿'!AK7="●"),IF($E7="正規職員","正",IF($E7="契約上の就業時間を記載","",IF($E7&gt;=N$5,"常",N7))),"-"))</f>
        <v/>
      </c>
      <c r="AA7" s="101" t="str">
        <f>IF($B7="","",IF(OR('②-1職員名簿'!AL7="○",'②-1職員名簿'!AL7="●"),IF($E7="正規職員","正",IF($E7="契約上の就業時間を記載","",IF($E7&gt;=O$5,"常",O7))),"-"))</f>
        <v/>
      </c>
      <c r="AB7" s="101" t="str">
        <f>IF($B7="","",IF(OR('②-1職員名簿'!AM7="○",'②-1職員名簿'!AM7="●"),IF($E7="正規職員","正",IF($E7="契約上の就業時間を記載","",IF($E7&gt;=P$5,"常",P7))),"-"))</f>
        <v/>
      </c>
      <c r="AC7" s="101" t="str">
        <f>IF($B7="","",IF(OR('②-1職員名簿'!AN7="○",'②-1職員名簿'!AN7="●"),IF($E7="正規職員","正",IF($E7="契約上の就業時間を記載","",IF($E7&gt;=Q$5,"常",Q7))),"-"))</f>
        <v/>
      </c>
      <c r="AE7" s="98" t="str">
        <f>IF('②-1職員名簿'!W7="","",'②-1職員名簿'!W7)</f>
        <v/>
      </c>
      <c r="AG7" s="131">
        <v>4</v>
      </c>
      <c r="AH7" s="103">
        <f>F5</f>
        <v>0</v>
      </c>
      <c r="AI7" s="103" t="s">
        <v>1632</v>
      </c>
      <c r="AJ7" s="18" t="str">
        <f>IF(AND($C7="常勤的非常勤",$E7&lt;F$5),"×",IF(AND($C7="短時間非常勤",F$5&lt;=$E7),"×",IF(AND($C7="嘱託常勤",$E7&lt;F$5),"×",IF(AND($C7="嘱託非常勤",F$5&lt;=$E7),"×","○"))))</f>
        <v>○</v>
      </c>
      <c r="AK7" s="18" t="str">
        <f t="shared" ref="AK7:AU22" si="10">IF(AND($C7="常勤的非常勤",$E7&lt;G$5),"×",IF(AND($C7="短時間非常勤",G$5&lt;=$E7),"×",IF(AND($C7="嘱託常勤",$E7&lt;G$5),"×",IF(AND($C7="嘱託非常勤",G$5&lt;=$E7),"×","○"))))</f>
        <v>○</v>
      </c>
      <c r="AL7" s="18" t="str">
        <f t="shared" si="10"/>
        <v>○</v>
      </c>
      <c r="AM7" s="18" t="str">
        <f t="shared" si="10"/>
        <v>○</v>
      </c>
      <c r="AN7" s="18" t="str">
        <f t="shared" si="10"/>
        <v>○</v>
      </c>
      <c r="AO7" s="18" t="str">
        <f t="shared" si="10"/>
        <v>○</v>
      </c>
      <c r="AP7" s="18" t="str">
        <f t="shared" si="10"/>
        <v>○</v>
      </c>
      <c r="AQ7" s="18" t="str">
        <f t="shared" si="10"/>
        <v>○</v>
      </c>
      <c r="AR7" s="18" t="str">
        <f t="shared" si="10"/>
        <v>○</v>
      </c>
      <c r="AS7" s="18" t="str">
        <f t="shared" si="10"/>
        <v>○</v>
      </c>
      <c r="AT7" s="18" t="str">
        <f t="shared" si="10"/>
        <v>○</v>
      </c>
      <c r="AU7" s="18" t="str">
        <f t="shared" si="10"/>
        <v>○</v>
      </c>
    </row>
    <row r="8" spans="1:47" s="103" customFormat="1" ht="23.15" customHeight="1">
      <c r="A8" s="99">
        <v>2</v>
      </c>
      <c r="B8" s="98" t="str">
        <f>IF('②-1職員名簿'!E8="","",'②-1職員名簿'!Y8)</f>
        <v/>
      </c>
      <c r="C8" s="101" t="str">
        <f>'②-1職員名簿'!BE8</f>
        <v/>
      </c>
      <c r="D8" s="132" t="str">
        <f t="shared" si="9"/>
        <v/>
      </c>
      <c r="E8" s="19" t="str">
        <f>IF($B8="","",IF(AND('②-1職員名簿'!C8="正",'②-1職員名簿'!D8="常"),"正規職員","契約上の就業時間を記載"))</f>
        <v/>
      </c>
      <c r="F8" s="10" t="str">
        <f>IF($B8="","",IF(OR('②-1職員名簿'!AC8="○",'②-1職員名簿'!AC8="●"),IF($E8="正規職員","正",IF($E8="契約上の就業時間を記載","","見込を入力")),"-"))</f>
        <v/>
      </c>
      <c r="G8" s="10" t="str">
        <f>IF($B8="","",IF(OR('②-1職員名簿'!AD8="○",'②-1職員名簿'!AD8="●"),IF($E8="正規職員","正",IF($E8="契約上の就業時間を記載","","実績を入力")),"-"))</f>
        <v/>
      </c>
      <c r="H8" s="10" t="str">
        <f>IF($B8="","",IF(OR('②-1職員名簿'!AE8="○",'②-1職員名簿'!AE8="●"),IF($E8="正規職員","正",IF($E8="契約上の就業時間を記載","","実績を入力")),"-"))</f>
        <v/>
      </c>
      <c r="I8" s="10" t="str">
        <f>IF($B8="","",IF(OR('②-1職員名簿'!AF8="○",'②-1職員名簿'!AF8="●"),IF($E8="正規職員","正",IF($E8="契約上の就業時間を記載","","実績を入力")),"-"))</f>
        <v/>
      </c>
      <c r="J8" s="10" t="str">
        <f>IF($B8="","",IF(OR('②-1職員名簿'!AG8="○",'②-1職員名簿'!AG8="●"),IF($E8="正規職員","正",IF($E8="契約上の就業時間を記載","","実績を入力")),"-"))</f>
        <v/>
      </c>
      <c r="K8" s="10" t="str">
        <f>IF($B8="","",IF(OR('②-1職員名簿'!AH8="○",'②-1職員名簿'!AH8="●"),IF($E8="正規職員","正",IF($E8="契約上の就業時間を記載","","実績を入力")),"-"))</f>
        <v/>
      </c>
      <c r="L8" s="10" t="str">
        <f>IF($B8="","",IF(OR('②-1職員名簿'!AI8="○",'②-1職員名簿'!AI8="●"),IF($E8="正規職員","正",IF($E8="契約上の就業時間を記載","","実績を入力")),"-"))</f>
        <v/>
      </c>
      <c r="M8" s="10" t="str">
        <f>IF($B8="","",IF(OR('②-1職員名簿'!AJ8="○",'②-1職員名簿'!AJ8="●"),IF($E8="正規職員","正",IF($E8="契約上の就業時間を記載","","実績を入力")),"-"))</f>
        <v/>
      </c>
      <c r="N8" s="10" t="str">
        <f>IF($B8="","",IF(OR('②-1職員名簿'!AK8="○",'②-1職員名簿'!AK8="●"),IF($E8="正規職員","正",IF($E8="契約上の就業時間を記載","","実績を入力")),"-"))</f>
        <v/>
      </c>
      <c r="O8" s="10" t="str">
        <f>IF($B8="","",IF(OR('②-1職員名簿'!AL8="○",'②-1職員名簿'!AL8="●"),IF($E8="正規職員","正",IF($E8="契約上の就業時間を記載","","実績を入力")),"-"))</f>
        <v/>
      </c>
      <c r="P8" s="10" t="str">
        <f>IF($B8="","",IF(OR('②-1職員名簿'!AM8="○",'②-1職員名簿'!AM8="●"),IF($E8="正規職員","正",IF($E8="契約上の就業時間を記載","","実績を入力")),"-"))</f>
        <v/>
      </c>
      <c r="Q8" s="10" t="str">
        <f>IF($B8="","",IF(OR('②-1職員名簿'!AN8="○",'②-1職員名簿'!AN8="●"),IF($E8="正規職員","正",IF($E8="契約上の就業時間を記載","","実績を入力")),"-"))</f>
        <v/>
      </c>
      <c r="R8" s="101" t="str">
        <f>IF($B8="","",IF(OR('②-1職員名簿'!AC8="○",'②-1職員名簿'!AC8="●"),IF($E8="正規職員","正",IF($E8="契約上の就業時間を記載","",IF($E8&gt;=F$5,"常",F8))),"-"))</f>
        <v/>
      </c>
      <c r="S8" s="101" t="str">
        <f>IF($B8="","",IF(OR('②-1職員名簿'!AD8="○",'②-1職員名簿'!AD8="●"),IF($E8="正規職員","正",IF($E8="契約上の就業時間を記載","",IF($E8&gt;=G$5,"常",G8))),"-"))</f>
        <v/>
      </c>
      <c r="T8" s="101" t="str">
        <f>IF($B8="","",IF(OR('②-1職員名簿'!AE8="○",'②-1職員名簿'!AE8="●"),IF($E8="正規職員","正",IF($E8="契約上の就業時間を記載","",IF($E8&gt;=H$5,"常",H8))),"-"))</f>
        <v/>
      </c>
      <c r="U8" s="101" t="str">
        <f>IF($B8="","",IF(OR('②-1職員名簿'!AF8="○",'②-1職員名簿'!AF8="●"),IF($E8="正規職員","正",IF($E8="契約上の就業時間を記載","",IF($E8&gt;=I$5,"常",I8))),"-"))</f>
        <v/>
      </c>
      <c r="V8" s="101" t="str">
        <f>IF($B8="","",IF(OR('②-1職員名簿'!AG8="○",'②-1職員名簿'!AG8="●"),IF($E8="正規職員","正",IF($E8="契約上の就業時間を記載","",IF($E8&gt;=J$5,"常",J8))),"-"))</f>
        <v/>
      </c>
      <c r="W8" s="101" t="str">
        <f>IF($B8="","",IF(OR('②-1職員名簿'!AH8="○",'②-1職員名簿'!AH8="●"),IF($E8="正規職員","正",IF($E8="契約上の就業時間を記載","",IF($E8&gt;=K$5,"常",K8))),"-"))</f>
        <v/>
      </c>
      <c r="X8" s="101" t="str">
        <f>IF($B8="","",IF(OR('②-1職員名簿'!AI8="○",'②-1職員名簿'!AI8="●"),IF($E8="正規職員","正",IF($E8="契約上の就業時間を記載","",IF($E8&gt;=L$5,"常",L8))),"-"))</f>
        <v/>
      </c>
      <c r="Y8" s="101" t="str">
        <f>IF($B8="","",IF(OR('②-1職員名簿'!AJ8="○",'②-1職員名簿'!AJ8="●"),IF($E8="正規職員","正",IF($E8="契約上の就業時間を記載","",IF($E8&gt;=M$5,"常",M8))),"-"))</f>
        <v/>
      </c>
      <c r="Z8" s="101" t="str">
        <f>IF($B8="","",IF(OR('②-1職員名簿'!AK8="○",'②-1職員名簿'!AK8="●"),IF($E8="正規職員","正",IF($E8="契約上の就業時間を記載","",IF($E8&gt;=N$5,"常",N8))),"-"))</f>
        <v/>
      </c>
      <c r="AA8" s="101" t="str">
        <f>IF($B8="","",IF(OR('②-1職員名簿'!AL8="○",'②-1職員名簿'!AL8="●"),IF($E8="正規職員","正",IF($E8="契約上の就業時間を記載","",IF($E8&gt;=O$5,"常",O8))),"-"))</f>
        <v/>
      </c>
      <c r="AB8" s="101" t="str">
        <f>IF($B8="","",IF(OR('②-1職員名簿'!AM8="○",'②-1職員名簿'!AM8="●"),IF($E8="正規職員","正",IF($E8="契約上の就業時間を記載","",IF($E8&gt;=P$5,"常",P8))),"-"))</f>
        <v/>
      </c>
      <c r="AC8" s="101" t="str">
        <f>IF($B8="","",IF(OR('②-1職員名簿'!AN8="○",'②-1職員名簿'!AN8="●"),IF($E8="正規職員","正",IF($E8="契約上の就業時間を記載","",IF($E8&gt;=Q$5,"常",Q8))),"-"))</f>
        <v/>
      </c>
      <c r="AE8" s="98" t="str">
        <f>IF('②-1職員名簿'!W8="","",'②-1職員名簿'!W8)</f>
        <v/>
      </c>
      <c r="AG8" s="131">
        <v>5</v>
      </c>
      <c r="AH8" s="103">
        <f>G5</f>
        <v>0</v>
      </c>
      <c r="AJ8" s="18" t="str">
        <f t="shared" ref="AJ8:AJ16" si="11">IF(AND($C8="常勤的非常勤",$E8&lt;F$5),"×",IF(AND($C8="短時間非常勤",F$5&lt;=$E8),"×",IF(AND($C8="嘱託常勤",$E8&lt;F$5),"×",IF(AND($C8="嘱託非常勤",F$5&lt;=$E8),"×","○"))))</f>
        <v>○</v>
      </c>
      <c r="AK8" s="18" t="str">
        <f t="shared" si="10"/>
        <v>○</v>
      </c>
      <c r="AL8" s="18" t="str">
        <f t="shared" si="10"/>
        <v>○</v>
      </c>
      <c r="AM8" s="18" t="str">
        <f t="shared" si="10"/>
        <v>○</v>
      </c>
      <c r="AN8" s="18" t="str">
        <f t="shared" si="10"/>
        <v>○</v>
      </c>
      <c r="AO8" s="18" t="str">
        <f t="shared" si="10"/>
        <v>○</v>
      </c>
      <c r="AP8" s="18" t="str">
        <f t="shared" si="10"/>
        <v>○</v>
      </c>
      <c r="AQ8" s="18" t="str">
        <f t="shared" si="10"/>
        <v>○</v>
      </c>
      <c r="AR8" s="18" t="str">
        <f t="shared" si="10"/>
        <v>○</v>
      </c>
      <c r="AS8" s="18" t="str">
        <f t="shared" si="10"/>
        <v>○</v>
      </c>
      <c r="AT8" s="18" t="str">
        <f t="shared" si="10"/>
        <v>○</v>
      </c>
      <c r="AU8" s="18" t="str">
        <f t="shared" si="10"/>
        <v>○</v>
      </c>
    </row>
    <row r="9" spans="1:47" s="103" customFormat="1" ht="23.15" customHeight="1">
      <c r="A9" s="99">
        <v>3</v>
      </c>
      <c r="B9" s="98" t="str">
        <f>IF('②-1職員名簿'!E9="","",'②-1職員名簿'!Y9)</f>
        <v/>
      </c>
      <c r="C9" s="101" t="str">
        <f>'②-1職員名簿'!BE9</f>
        <v/>
      </c>
      <c r="D9" s="132" t="str">
        <f t="shared" si="9"/>
        <v/>
      </c>
      <c r="E9" s="19" t="str">
        <f>IF($B9="","",IF(AND('②-1職員名簿'!C9="正",'②-1職員名簿'!D9="常"),"正規職員","契約上の就業時間を記載"))</f>
        <v/>
      </c>
      <c r="F9" s="10" t="str">
        <f>IF($B9="","",IF(OR('②-1職員名簿'!AC9="○",'②-1職員名簿'!AC9="●"),IF($E9="正規職員","正",IF($E9="契約上の就業時間を記載","","見込を入力")),"-"))</f>
        <v/>
      </c>
      <c r="G9" s="10" t="str">
        <f>IF($B9="","",IF(OR('②-1職員名簿'!AD9="○",'②-1職員名簿'!AD9="●"),IF($E9="正規職員","正",IF($E9="契約上の就業時間を記載","","実績を入力")),"-"))</f>
        <v/>
      </c>
      <c r="H9" s="10" t="str">
        <f>IF($B9="","",IF(OR('②-1職員名簿'!AE9="○",'②-1職員名簿'!AE9="●"),IF($E9="正規職員","正",IF($E9="契約上の就業時間を記載","","実績を入力")),"-"))</f>
        <v/>
      </c>
      <c r="I9" s="10" t="str">
        <f>IF($B9="","",IF(OR('②-1職員名簿'!AF9="○",'②-1職員名簿'!AF9="●"),IF($E9="正規職員","正",IF($E9="契約上の就業時間を記載","","実績を入力")),"-"))</f>
        <v/>
      </c>
      <c r="J9" s="10" t="str">
        <f>IF($B9="","",IF(OR('②-1職員名簿'!AG9="○",'②-1職員名簿'!AG9="●"),IF($E9="正規職員","正",IF($E9="契約上の就業時間を記載","","実績を入力")),"-"))</f>
        <v/>
      </c>
      <c r="K9" s="10" t="str">
        <f>IF($B9="","",IF(OR('②-1職員名簿'!AH9="○",'②-1職員名簿'!AH9="●"),IF($E9="正規職員","正",IF($E9="契約上の就業時間を記載","","実績を入力")),"-"))</f>
        <v/>
      </c>
      <c r="L9" s="10" t="str">
        <f>IF($B9="","",IF(OR('②-1職員名簿'!AI9="○",'②-1職員名簿'!AI9="●"),IF($E9="正規職員","正",IF($E9="契約上の就業時間を記載","","実績を入力")),"-"))</f>
        <v/>
      </c>
      <c r="M9" s="10" t="str">
        <f>IF($B9="","",IF(OR('②-1職員名簿'!AJ9="○",'②-1職員名簿'!AJ9="●"),IF($E9="正規職員","正",IF($E9="契約上の就業時間を記載","","実績を入力")),"-"))</f>
        <v/>
      </c>
      <c r="N9" s="10" t="str">
        <f>IF($B9="","",IF(OR('②-1職員名簿'!AK9="○",'②-1職員名簿'!AK9="●"),IF($E9="正規職員","正",IF($E9="契約上の就業時間を記載","","実績を入力")),"-"))</f>
        <v/>
      </c>
      <c r="O9" s="10" t="str">
        <f>IF($B9="","",IF(OR('②-1職員名簿'!AL9="○",'②-1職員名簿'!AL9="●"),IF($E9="正規職員","正",IF($E9="契約上の就業時間を記載","","実績を入力")),"-"))</f>
        <v/>
      </c>
      <c r="P9" s="10" t="str">
        <f>IF($B9="","",IF(OR('②-1職員名簿'!AM9="○",'②-1職員名簿'!AM9="●"),IF($E9="正規職員","正",IF($E9="契約上の就業時間を記載","","実績を入力")),"-"))</f>
        <v/>
      </c>
      <c r="Q9" s="10" t="str">
        <f>IF($B9="","",IF(OR('②-1職員名簿'!AN9="○",'②-1職員名簿'!AN9="●"),IF($E9="正規職員","正",IF($E9="契約上の就業時間を記載","","実績を入力")),"-"))</f>
        <v/>
      </c>
      <c r="R9" s="101" t="str">
        <f>IF($B9="","",IF(OR('②-1職員名簿'!AC9="○",'②-1職員名簿'!AC9="●"),IF($E9="正規職員","正",IF($E9="契約上の就業時間を記載","",IF($E9&gt;=F$5,"常",F9))),"-"))</f>
        <v/>
      </c>
      <c r="S9" s="101" t="str">
        <f>IF($B9="","",IF(OR('②-1職員名簿'!AD9="○",'②-1職員名簿'!AD9="●"),IF($E9="正規職員","正",IF($E9="契約上の就業時間を記載","",IF($E9&gt;=G$5,"常",G9))),"-"))</f>
        <v/>
      </c>
      <c r="T9" s="101" t="str">
        <f>IF($B9="","",IF(OR('②-1職員名簿'!AE9="○",'②-1職員名簿'!AE9="●"),IF($E9="正規職員","正",IF($E9="契約上の就業時間を記載","",IF($E9&gt;=H$5,"常",H9))),"-"))</f>
        <v/>
      </c>
      <c r="U9" s="101" t="str">
        <f>IF($B9="","",IF(OR('②-1職員名簿'!AF9="○",'②-1職員名簿'!AF9="●"),IF($E9="正規職員","正",IF($E9="契約上の就業時間を記載","",IF($E9&gt;=I$5,"常",I9))),"-"))</f>
        <v/>
      </c>
      <c r="V9" s="101" t="str">
        <f>IF($B9="","",IF(OR('②-1職員名簿'!AG9="○",'②-1職員名簿'!AG9="●"),IF($E9="正規職員","正",IF($E9="契約上の就業時間を記載","",IF($E9&gt;=J$5,"常",J9))),"-"))</f>
        <v/>
      </c>
      <c r="W9" s="101" t="str">
        <f>IF($B9="","",IF(OR('②-1職員名簿'!AH9="○",'②-1職員名簿'!AH9="●"),IF($E9="正規職員","正",IF($E9="契約上の就業時間を記載","",IF($E9&gt;=K$5,"常",K9))),"-"))</f>
        <v/>
      </c>
      <c r="X9" s="101" t="str">
        <f>IF($B9="","",IF(OR('②-1職員名簿'!AI9="○",'②-1職員名簿'!AI9="●"),IF($E9="正規職員","正",IF($E9="契約上の就業時間を記載","",IF($E9&gt;=L$5,"常",L9))),"-"))</f>
        <v/>
      </c>
      <c r="Y9" s="101" t="str">
        <f>IF($B9="","",IF(OR('②-1職員名簿'!AJ9="○",'②-1職員名簿'!AJ9="●"),IF($E9="正規職員","正",IF($E9="契約上の就業時間を記載","",IF($E9&gt;=M$5,"常",M9))),"-"))</f>
        <v/>
      </c>
      <c r="Z9" s="101" t="str">
        <f>IF($B9="","",IF(OR('②-1職員名簿'!AK9="○",'②-1職員名簿'!AK9="●"),IF($E9="正規職員","正",IF($E9="契約上の就業時間を記載","",IF($E9&gt;=N$5,"常",N9))),"-"))</f>
        <v/>
      </c>
      <c r="AA9" s="101" t="str">
        <f>IF($B9="","",IF(OR('②-1職員名簿'!AL9="○",'②-1職員名簿'!AL9="●"),IF($E9="正規職員","正",IF($E9="契約上の就業時間を記載","",IF($E9&gt;=O$5,"常",O9))),"-"))</f>
        <v/>
      </c>
      <c r="AB9" s="101" t="str">
        <f>IF($B9="","",IF(OR('②-1職員名簿'!AM9="○",'②-1職員名簿'!AM9="●"),IF($E9="正規職員","正",IF($E9="契約上の就業時間を記載","",IF($E9&gt;=P$5,"常",P9))),"-"))</f>
        <v/>
      </c>
      <c r="AC9" s="101" t="str">
        <f>IF($B9="","",IF(OR('②-1職員名簿'!AN9="○",'②-1職員名簿'!AN9="●"),IF($E9="正規職員","正",IF($E9="契約上の就業時間を記載","",IF($E9&gt;=Q$5,"常",Q9))),"-"))</f>
        <v/>
      </c>
      <c r="AE9" s="98" t="str">
        <f>IF('②-1職員名簿'!W9="","",'②-1職員名簿'!W9)</f>
        <v/>
      </c>
      <c r="AG9" s="131">
        <v>6</v>
      </c>
      <c r="AH9" s="103">
        <f>H5</f>
        <v>0</v>
      </c>
      <c r="AJ9" s="18" t="str">
        <f t="shared" si="11"/>
        <v>○</v>
      </c>
      <c r="AK9" s="18" t="str">
        <f t="shared" si="10"/>
        <v>○</v>
      </c>
      <c r="AL9" s="18" t="str">
        <f t="shared" si="10"/>
        <v>○</v>
      </c>
      <c r="AM9" s="18" t="str">
        <f t="shared" si="10"/>
        <v>○</v>
      </c>
      <c r="AN9" s="18" t="str">
        <f t="shared" si="10"/>
        <v>○</v>
      </c>
      <c r="AO9" s="18" t="str">
        <f t="shared" si="10"/>
        <v>○</v>
      </c>
      <c r="AP9" s="18" t="str">
        <f t="shared" si="10"/>
        <v>○</v>
      </c>
      <c r="AQ9" s="18" t="str">
        <f t="shared" si="10"/>
        <v>○</v>
      </c>
      <c r="AR9" s="18" t="str">
        <f t="shared" si="10"/>
        <v>○</v>
      </c>
      <c r="AS9" s="18" t="str">
        <f t="shared" si="10"/>
        <v>○</v>
      </c>
      <c r="AT9" s="18" t="str">
        <f t="shared" si="10"/>
        <v>○</v>
      </c>
      <c r="AU9" s="18" t="str">
        <f t="shared" si="10"/>
        <v>○</v>
      </c>
    </row>
    <row r="10" spans="1:47" s="103" customFormat="1" ht="23.15" customHeight="1">
      <c r="A10" s="99">
        <v>4</v>
      </c>
      <c r="B10" s="98" t="str">
        <f>IF('②-1職員名簿'!E10="","",'②-1職員名簿'!Y10)</f>
        <v/>
      </c>
      <c r="C10" s="101" t="str">
        <f>'②-1職員名簿'!BE10</f>
        <v/>
      </c>
      <c r="D10" s="132" t="str">
        <f t="shared" si="9"/>
        <v/>
      </c>
      <c r="E10" s="19" t="str">
        <f>IF($B10="","",IF(AND('②-1職員名簿'!C10="正",'②-1職員名簿'!D10="常"),"正規職員","契約上の就業時間を記載"))</f>
        <v/>
      </c>
      <c r="F10" s="10" t="str">
        <f>IF($B10="","",IF(OR('②-1職員名簿'!AC10="○",'②-1職員名簿'!AC10="●"),IF($E10="正規職員","正",IF($E10="契約上の就業時間を記載","","見込を入力")),"-"))</f>
        <v/>
      </c>
      <c r="G10" s="10" t="str">
        <f>IF($B10="","",IF(OR('②-1職員名簿'!AD10="○",'②-1職員名簿'!AD10="●"),IF($E10="正規職員","正",IF($E10="契約上の就業時間を記載","","実績を入力")),"-"))</f>
        <v/>
      </c>
      <c r="H10" s="10" t="str">
        <f>IF($B10="","",IF(OR('②-1職員名簿'!AE10="○",'②-1職員名簿'!AE10="●"),IF($E10="正規職員","正",IF($E10="契約上の就業時間を記載","","実績を入力")),"-"))</f>
        <v/>
      </c>
      <c r="I10" s="10" t="str">
        <f>IF($B10="","",IF(OR('②-1職員名簿'!AF10="○",'②-1職員名簿'!AF10="●"),IF($E10="正規職員","正",IF($E10="契約上の就業時間を記載","","実績を入力")),"-"))</f>
        <v/>
      </c>
      <c r="J10" s="10" t="str">
        <f>IF($B10="","",IF(OR('②-1職員名簿'!AG10="○",'②-1職員名簿'!AG10="●"),IF($E10="正規職員","正",IF($E10="契約上の就業時間を記載","","実績を入力")),"-"))</f>
        <v/>
      </c>
      <c r="K10" s="10" t="str">
        <f>IF($B10="","",IF(OR('②-1職員名簿'!AH10="○",'②-1職員名簿'!AH10="●"),IF($E10="正規職員","正",IF($E10="契約上の就業時間を記載","","実績を入力")),"-"))</f>
        <v/>
      </c>
      <c r="L10" s="10" t="str">
        <f>IF($B10="","",IF(OR('②-1職員名簿'!AI10="○",'②-1職員名簿'!AI10="●"),IF($E10="正規職員","正",IF($E10="契約上の就業時間を記載","","実績を入力")),"-"))</f>
        <v/>
      </c>
      <c r="M10" s="10" t="str">
        <f>IF($B10="","",IF(OR('②-1職員名簿'!AJ10="○",'②-1職員名簿'!AJ10="●"),IF($E10="正規職員","正",IF($E10="契約上の就業時間を記載","","実績を入力")),"-"))</f>
        <v/>
      </c>
      <c r="N10" s="10" t="str">
        <f>IF($B10="","",IF(OR('②-1職員名簿'!AK10="○",'②-1職員名簿'!AK10="●"),IF($E10="正規職員","正",IF($E10="契約上の就業時間を記載","","実績を入力")),"-"))</f>
        <v/>
      </c>
      <c r="O10" s="10" t="str">
        <f>IF($B10="","",IF(OR('②-1職員名簿'!AL10="○",'②-1職員名簿'!AL10="●"),IF($E10="正規職員","正",IF($E10="契約上の就業時間を記載","","実績を入力")),"-"))</f>
        <v/>
      </c>
      <c r="P10" s="10" t="str">
        <f>IF($B10="","",IF(OR('②-1職員名簿'!AM10="○",'②-1職員名簿'!AM10="●"),IF($E10="正規職員","正",IF($E10="契約上の就業時間を記載","","実績を入力")),"-"))</f>
        <v/>
      </c>
      <c r="Q10" s="10" t="str">
        <f>IF($B10="","",IF(OR('②-1職員名簿'!AN10="○",'②-1職員名簿'!AN10="●"),IF($E10="正規職員","正",IF($E10="契約上の就業時間を記載","","実績を入力")),"-"))</f>
        <v/>
      </c>
      <c r="R10" s="101" t="str">
        <f>IF($B10="","",IF(OR('②-1職員名簿'!AC10="○",'②-1職員名簿'!AC10="●"),IF($E10="正規職員","正",IF($E10="契約上の就業時間を記載","",IF($E10&gt;=F$5,"常",F10))),"-"))</f>
        <v/>
      </c>
      <c r="S10" s="101" t="str">
        <f>IF($B10="","",IF(OR('②-1職員名簿'!AD10="○",'②-1職員名簿'!AD10="●"),IF($E10="正規職員","正",IF($E10="契約上の就業時間を記載","",IF($E10&gt;=G$5,"常",G10))),"-"))</f>
        <v/>
      </c>
      <c r="T10" s="101" t="str">
        <f>IF($B10="","",IF(OR('②-1職員名簿'!AE10="○",'②-1職員名簿'!AE10="●"),IF($E10="正規職員","正",IF($E10="契約上の就業時間を記載","",IF($E10&gt;=H$5,"常",H10))),"-"))</f>
        <v/>
      </c>
      <c r="U10" s="101" t="str">
        <f>IF($B10="","",IF(OR('②-1職員名簿'!AF10="○",'②-1職員名簿'!AF10="●"),IF($E10="正規職員","正",IF($E10="契約上の就業時間を記載","",IF($E10&gt;=I$5,"常",I10))),"-"))</f>
        <v/>
      </c>
      <c r="V10" s="101" t="str">
        <f>IF($B10="","",IF(OR('②-1職員名簿'!AG10="○",'②-1職員名簿'!AG10="●"),IF($E10="正規職員","正",IF($E10="契約上の就業時間を記載","",IF($E10&gt;=J$5,"常",J10))),"-"))</f>
        <v/>
      </c>
      <c r="W10" s="101" t="str">
        <f>IF($B10="","",IF(OR('②-1職員名簿'!AH10="○",'②-1職員名簿'!AH10="●"),IF($E10="正規職員","正",IF($E10="契約上の就業時間を記載","",IF($E10&gt;=K$5,"常",K10))),"-"))</f>
        <v/>
      </c>
      <c r="X10" s="101" t="str">
        <f>IF($B10="","",IF(OR('②-1職員名簿'!AI10="○",'②-1職員名簿'!AI10="●"),IF($E10="正規職員","正",IF($E10="契約上の就業時間を記載","",IF($E10&gt;=L$5,"常",L10))),"-"))</f>
        <v/>
      </c>
      <c r="Y10" s="101" t="str">
        <f>IF($B10="","",IF(OR('②-1職員名簿'!AJ10="○",'②-1職員名簿'!AJ10="●"),IF($E10="正規職員","正",IF($E10="契約上の就業時間を記載","",IF($E10&gt;=M$5,"常",M10))),"-"))</f>
        <v/>
      </c>
      <c r="Z10" s="101" t="str">
        <f>IF($B10="","",IF(OR('②-1職員名簿'!AK10="○",'②-1職員名簿'!AK10="●"),IF($E10="正規職員","正",IF($E10="契約上の就業時間を記載","",IF($E10&gt;=N$5,"常",N10))),"-"))</f>
        <v/>
      </c>
      <c r="AA10" s="101" t="str">
        <f>IF($B10="","",IF(OR('②-1職員名簿'!AL10="○",'②-1職員名簿'!AL10="●"),IF($E10="正規職員","正",IF($E10="契約上の就業時間を記載","",IF($E10&gt;=O$5,"常",O10))),"-"))</f>
        <v/>
      </c>
      <c r="AB10" s="101" t="str">
        <f>IF($B10="","",IF(OR('②-1職員名簿'!AM10="○",'②-1職員名簿'!AM10="●"),IF($E10="正規職員","正",IF($E10="契約上の就業時間を記載","",IF($E10&gt;=P$5,"常",P10))),"-"))</f>
        <v/>
      </c>
      <c r="AC10" s="101" t="str">
        <f>IF($B10="","",IF(OR('②-1職員名簿'!AN10="○",'②-1職員名簿'!AN10="●"),IF($E10="正規職員","正",IF($E10="契約上の就業時間を記載","",IF($E10&gt;=Q$5,"常",Q10))),"-"))</f>
        <v/>
      </c>
      <c r="AE10" s="98" t="str">
        <f>IF('②-1職員名簿'!W10="","",'②-1職員名簿'!W10)</f>
        <v/>
      </c>
      <c r="AG10" s="131">
        <v>7</v>
      </c>
      <c r="AH10" s="103">
        <f>I5</f>
        <v>0</v>
      </c>
      <c r="AJ10" s="18" t="str">
        <f t="shared" si="11"/>
        <v>○</v>
      </c>
      <c r="AK10" s="18" t="str">
        <f t="shared" si="10"/>
        <v>○</v>
      </c>
      <c r="AL10" s="18" t="str">
        <f t="shared" si="10"/>
        <v>○</v>
      </c>
      <c r="AM10" s="18" t="str">
        <f t="shared" si="10"/>
        <v>○</v>
      </c>
      <c r="AN10" s="18" t="str">
        <f t="shared" si="10"/>
        <v>○</v>
      </c>
      <c r="AO10" s="18" t="str">
        <f t="shared" si="10"/>
        <v>○</v>
      </c>
      <c r="AP10" s="18" t="str">
        <f t="shared" si="10"/>
        <v>○</v>
      </c>
      <c r="AQ10" s="18" t="str">
        <f t="shared" si="10"/>
        <v>○</v>
      </c>
      <c r="AR10" s="18" t="str">
        <f t="shared" si="10"/>
        <v>○</v>
      </c>
      <c r="AS10" s="18" t="str">
        <f t="shared" si="10"/>
        <v>○</v>
      </c>
      <c r="AT10" s="18" t="str">
        <f t="shared" si="10"/>
        <v>○</v>
      </c>
      <c r="AU10" s="18" t="str">
        <f t="shared" si="10"/>
        <v>○</v>
      </c>
    </row>
    <row r="11" spans="1:47" s="103" customFormat="1" ht="23.15" customHeight="1">
      <c r="A11" s="99">
        <v>5</v>
      </c>
      <c r="B11" s="98" t="str">
        <f>IF('②-1職員名簿'!E11="","",'②-1職員名簿'!Y11)</f>
        <v/>
      </c>
      <c r="C11" s="101" t="str">
        <f>'②-1職員名簿'!BE11</f>
        <v/>
      </c>
      <c r="D11" s="132" t="str">
        <f t="shared" si="9"/>
        <v/>
      </c>
      <c r="E11" s="19" t="str">
        <f>IF($B11="","",IF(AND('②-1職員名簿'!C11="正",'②-1職員名簿'!D11="常"),"正規職員","契約上の就業時間を記載"))</f>
        <v/>
      </c>
      <c r="F11" s="10" t="str">
        <f>IF($B11="","",IF(OR('②-1職員名簿'!AC11="○",'②-1職員名簿'!AC11="●"),IF($E11="正規職員","正",IF($E11="契約上の就業時間を記載","","見込を入力")),"-"))</f>
        <v/>
      </c>
      <c r="G11" s="10" t="str">
        <f>IF($B11="","",IF(OR('②-1職員名簿'!AD11="○",'②-1職員名簿'!AD11="●"),IF($E11="正規職員","正",IF($E11="契約上の就業時間を記載","","実績を入力")),"-"))</f>
        <v/>
      </c>
      <c r="H11" s="10" t="str">
        <f>IF($B11="","",IF(OR('②-1職員名簿'!AE11="○",'②-1職員名簿'!AE11="●"),IF($E11="正規職員","正",IF($E11="契約上の就業時間を記載","","実績を入力")),"-"))</f>
        <v/>
      </c>
      <c r="I11" s="10" t="str">
        <f>IF($B11="","",IF(OR('②-1職員名簿'!AF11="○",'②-1職員名簿'!AF11="●"),IF($E11="正規職員","正",IF($E11="契約上の就業時間を記載","","実績を入力")),"-"))</f>
        <v/>
      </c>
      <c r="J11" s="10" t="str">
        <f>IF($B11="","",IF(OR('②-1職員名簿'!AG11="○",'②-1職員名簿'!AG11="●"),IF($E11="正規職員","正",IF($E11="契約上の就業時間を記載","","実績を入力")),"-"))</f>
        <v/>
      </c>
      <c r="K11" s="10" t="str">
        <f>IF($B11="","",IF(OR('②-1職員名簿'!AH11="○",'②-1職員名簿'!AH11="●"),IF($E11="正規職員","正",IF($E11="契約上の就業時間を記載","","実績を入力")),"-"))</f>
        <v/>
      </c>
      <c r="L11" s="10" t="str">
        <f>IF($B11="","",IF(OR('②-1職員名簿'!AI11="○",'②-1職員名簿'!AI11="●"),IF($E11="正規職員","正",IF($E11="契約上の就業時間を記載","","実績を入力")),"-"))</f>
        <v/>
      </c>
      <c r="M11" s="10" t="str">
        <f>IF($B11="","",IF(OR('②-1職員名簿'!AJ11="○",'②-1職員名簿'!AJ11="●"),IF($E11="正規職員","正",IF($E11="契約上の就業時間を記載","","実績を入力")),"-"))</f>
        <v/>
      </c>
      <c r="N11" s="10" t="str">
        <f>IF($B11="","",IF(OR('②-1職員名簿'!AK11="○",'②-1職員名簿'!AK11="●"),IF($E11="正規職員","正",IF($E11="契約上の就業時間を記載","","実績を入力")),"-"))</f>
        <v/>
      </c>
      <c r="O11" s="10" t="str">
        <f>IF($B11="","",IF(OR('②-1職員名簿'!AL11="○",'②-1職員名簿'!AL11="●"),IF($E11="正規職員","正",IF($E11="契約上の就業時間を記載","","実績を入力")),"-"))</f>
        <v/>
      </c>
      <c r="P11" s="10" t="str">
        <f>IF($B11="","",IF(OR('②-1職員名簿'!AM11="○",'②-1職員名簿'!AM11="●"),IF($E11="正規職員","正",IF($E11="契約上の就業時間を記載","","実績を入力")),"-"))</f>
        <v/>
      </c>
      <c r="Q11" s="10" t="str">
        <f>IF($B11="","",IF(OR('②-1職員名簿'!AN11="○",'②-1職員名簿'!AN11="●"),IF($E11="正規職員","正",IF($E11="契約上の就業時間を記載","","実績を入力")),"-"))</f>
        <v/>
      </c>
      <c r="R11" s="101" t="str">
        <f>IF($B11="","",IF(OR('②-1職員名簿'!AC11="○",'②-1職員名簿'!AC11="●"),IF($E11="正規職員","正",IF($E11="契約上の就業時間を記載","",IF($E11&gt;=F$5,"常",F11))),"-"))</f>
        <v/>
      </c>
      <c r="S11" s="101" t="str">
        <f>IF($B11="","",IF(OR('②-1職員名簿'!AD11="○",'②-1職員名簿'!AD11="●"),IF($E11="正規職員","正",IF($E11="契約上の就業時間を記載","",IF($E11&gt;=G$5,"常",G11))),"-"))</f>
        <v/>
      </c>
      <c r="T11" s="101" t="str">
        <f>IF($B11="","",IF(OR('②-1職員名簿'!AE11="○",'②-1職員名簿'!AE11="●"),IF($E11="正規職員","正",IF($E11="契約上の就業時間を記載","",IF($E11&gt;=H$5,"常",H11))),"-"))</f>
        <v/>
      </c>
      <c r="U11" s="101" t="str">
        <f>IF($B11="","",IF(OR('②-1職員名簿'!AF11="○",'②-1職員名簿'!AF11="●"),IF($E11="正規職員","正",IF($E11="契約上の就業時間を記載","",IF($E11&gt;=I$5,"常",I11))),"-"))</f>
        <v/>
      </c>
      <c r="V11" s="101" t="str">
        <f>IF($B11="","",IF(OR('②-1職員名簿'!AG11="○",'②-1職員名簿'!AG11="●"),IF($E11="正規職員","正",IF($E11="契約上の就業時間を記載","",IF($E11&gt;=J$5,"常",J11))),"-"))</f>
        <v/>
      </c>
      <c r="W11" s="101" t="str">
        <f>IF($B11="","",IF(OR('②-1職員名簿'!AH11="○",'②-1職員名簿'!AH11="●"),IF($E11="正規職員","正",IF($E11="契約上の就業時間を記載","",IF($E11&gt;=K$5,"常",K11))),"-"))</f>
        <v/>
      </c>
      <c r="X11" s="101" t="str">
        <f>IF($B11="","",IF(OR('②-1職員名簿'!AI11="○",'②-1職員名簿'!AI11="●"),IF($E11="正規職員","正",IF($E11="契約上の就業時間を記載","",IF($E11&gt;=L$5,"常",L11))),"-"))</f>
        <v/>
      </c>
      <c r="Y11" s="101" t="str">
        <f>IF($B11="","",IF(OR('②-1職員名簿'!AJ11="○",'②-1職員名簿'!AJ11="●"),IF($E11="正規職員","正",IF($E11="契約上の就業時間を記載","",IF($E11&gt;=M$5,"常",M11))),"-"))</f>
        <v/>
      </c>
      <c r="Z11" s="101" t="str">
        <f>IF($B11="","",IF(OR('②-1職員名簿'!AK11="○",'②-1職員名簿'!AK11="●"),IF($E11="正規職員","正",IF($E11="契約上の就業時間を記載","",IF($E11&gt;=N$5,"常",N11))),"-"))</f>
        <v/>
      </c>
      <c r="AA11" s="101" t="str">
        <f>IF($B11="","",IF(OR('②-1職員名簿'!AL11="○",'②-1職員名簿'!AL11="●"),IF($E11="正規職員","正",IF($E11="契約上の就業時間を記載","",IF($E11&gt;=O$5,"常",O11))),"-"))</f>
        <v/>
      </c>
      <c r="AB11" s="101" t="str">
        <f>IF($B11="","",IF(OR('②-1職員名簿'!AM11="○",'②-1職員名簿'!AM11="●"),IF($E11="正規職員","正",IF($E11="契約上の就業時間を記載","",IF($E11&gt;=P$5,"常",P11))),"-"))</f>
        <v/>
      </c>
      <c r="AC11" s="101" t="str">
        <f>IF($B11="","",IF(OR('②-1職員名簿'!AN11="○",'②-1職員名簿'!AN11="●"),IF($E11="正規職員","正",IF($E11="契約上の就業時間を記載","",IF($E11&gt;=Q$5,"常",Q11))),"-"))</f>
        <v/>
      </c>
      <c r="AE11" s="98" t="str">
        <f>IF('②-1職員名簿'!W11="","",'②-1職員名簿'!W11)</f>
        <v/>
      </c>
      <c r="AG11" s="131">
        <v>8</v>
      </c>
      <c r="AH11" s="103">
        <f>J5</f>
        <v>0</v>
      </c>
      <c r="AJ11" s="18" t="str">
        <f t="shared" si="11"/>
        <v>○</v>
      </c>
      <c r="AK11" s="18" t="str">
        <f t="shared" si="10"/>
        <v>○</v>
      </c>
      <c r="AL11" s="18" t="str">
        <f t="shared" si="10"/>
        <v>○</v>
      </c>
      <c r="AM11" s="18" t="str">
        <f t="shared" si="10"/>
        <v>○</v>
      </c>
      <c r="AN11" s="18" t="str">
        <f t="shared" si="10"/>
        <v>○</v>
      </c>
      <c r="AO11" s="18" t="str">
        <f t="shared" si="10"/>
        <v>○</v>
      </c>
      <c r="AP11" s="18" t="str">
        <f t="shared" si="10"/>
        <v>○</v>
      </c>
      <c r="AQ11" s="18" t="str">
        <f t="shared" si="10"/>
        <v>○</v>
      </c>
      <c r="AR11" s="18" t="str">
        <f t="shared" si="10"/>
        <v>○</v>
      </c>
      <c r="AS11" s="18" t="str">
        <f t="shared" si="10"/>
        <v>○</v>
      </c>
      <c r="AT11" s="18" t="str">
        <f t="shared" si="10"/>
        <v>○</v>
      </c>
      <c r="AU11" s="18" t="str">
        <f t="shared" si="10"/>
        <v>○</v>
      </c>
    </row>
    <row r="12" spans="1:47" s="103" customFormat="1" ht="23.15" customHeight="1">
      <c r="A12" s="99">
        <v>6</v>
      </c>
      <c r="B12" s="98" t="str">
        <f>IF('②-1職員名簿'!E12="","",'②-1職員名簿'!Y12)</f>
        <v/>
      </c>
      <c r="C12" s="101" t="str">
        <f>'②-1職員名簿'!BE12</f>
        <v/>
      </c>
      <c r="D12" s="132" t="str">
        <f t="shared" si="9"/>
        <v/>
      </c>
      <c r="E12" s="19" t="str">
        <f>IF($B12="","",IF(AND('②-1職員名簿'!C12="正",'②-1職員名簿'!D12="常"),"正規職員","契約上の就業時間を記載"))</f>
        <v/>
      </c>
      <c r="F12" s="10" t="str">
        <f>IF($B12="","",IF(OR('②-1職員名簿'!AC12="○",'②-1職員名簿'!AC12="●"),IF($E12="正規職員","正",IF($E12="契約上の就業時間を記載","","見込を入力")),"-"))</f>
        <v/>
      </c>
      <c r="G12" s="10" t="str">
        <f>IF($B12="","",IF(OR('②-1職員名簿'!AD12="○",'②-1職員名簿'!AD12="●"),IF($E12="正規職員","正",IF($E12="契約上の就業時間を記載","","実績を入力")),"-"))</f>
        <v/>
      </c>
      <c r="H12" s="10" t="str">
        <f>IF($B12="","",IF(OR('②-1職員名簿'!AE12="○",'②-1職員名簿'!AE12="●"),IF($E12="正規職員","正",IF($E12="契約上の就業時間を記載","","実績を入力")),"-"))</f>
        <v/>
      </c>
      <c r="I12" s="10" t="str">
        <f>IF($B12="","",IF(OR('②-1職員名簿'!AF12="○",'②-1職員名簿'!AF12="●"),IF($E12="正規職員","正",IF($E12="契約上の就業時間を記載","","実績を入力")),"-"))</f>
        <v/>
      </c>
      <c r="J12" s="10" t="str">
        <f>IF($B12="","",IF(OR('②-1職員名簿'!AG12="○",'②-1職員名簿'!AG12="●"),IF($E12="正規職員","正",IF($E12="契約上の就業時間を記載","","実績を入力")),"-"))</f>
        <v/>
      </c>
      <c r="K12" s="10" t="str">
        <f>IF($B12="","",IF(OR('②-1職員名簿'!AH12="○",'②-1職員名簿'!AH12="●"),IF($E12="正規職員","正",IF($E12="契約上の就業時間を記載","","実績を入力")),"-"))</f>
        <v/>
      </c>
      <c r="L12" s="10" t="str">
        <f>IF($B12="","",IF(OR('②-1職員名簿'!AI12="○",'②-1職員名簿'!AI12="●"),IF($E12="正規職員","正",IF($E12="契約上の就業時間を記載","","実績を入力")),"-"))</f>
        <v/>
      </c>
      <c r="M12" s="10" t="str">
        <f>IF($B12="","",IF(OR('②-1職員名簿'!AJ12="○",'②-1職員名簿'!AJ12="●"),IF($E12="正規職員","正",IF($E12="契約上の就業時間を記載","","実績を入力")),"-"))</f>
        <v/>
      </c>
      <c r="N12" s="10" t="str">
        <f>IF($B12="","",IF(OR('②-1職員名簿'!AK12="○",'②-1職員名簿'!AK12="●"),IF($E12="正規職員","正",IF($E12="契約上の就業時間を記載","","実績を入力")),"-"))</f>
        <v/>
      </c>
      <c r="O12" s="10" t="str">
        <f>IF($B12="","",IF(OR('②-1職員名簿'!AL12="○",'②-1職員名簿'!AL12="●"),IF($E12="正規職員","正",IF($E12="契約上の就業時間を記載","","実績を入力")),"-"))</f>
        <v/>
      </c>
      <c r="P12" s="10" t="str">
        <f>IF($B12="","",IF(OR('②-1職員名簿'!AM12="○",'②-1職員名簿'!AM12="●"),IF($E12="正規職員","正",IF($E12="契約上の就業時間を記載","","実績を入力")),"-"))</f>
        <v/>
      </c>
      <c r="Q12" s="10" t="str">
        <f>IF($B12="","",IF(OR('②-1職員名簿'!AN12="○",'②-1職員名簿'!AN12="●"),IF($E12="正規職員","正",IF($E12="契約上の就業時間を記載","","実績を入力")),"-"))</f>
        <v/>
      </c>
      <c r="R12" s="101" t="str">
        <f>IF($B12="","",IF(OR('②-1職員名簿'!AC12="○",'②-1職員名簿'!AC12="●"),IF($E12="正規職員","正",IF($E12="契約上の就業時間を記載","",IF($E12&gt;=F$5,"常",F12))),"-"))</f>
        <v/>
      </c>
      <c r="S12" s="101" t="str">
        <f>IF($B12="","",IF(OR('②-1職員名簿'!AD12="○",'②-1職員名簿'!AD12="●"),IF($E12="正規職員","正",IF($E12="契約上の就業時間を記載","",IF($E12&gt;=G$5,"常",G12))),"-"))</f>
        <v/>
      </c>
      <c r="T12" s="101" t="str">
        <f>IF($B12="","",IF(OR('②-1職員名簿'!AE12="○",'②-1職員名簿'!AE12="●"),IF($E12="正規職員","正",IF($E12="契約上の就業時間を記載","",IF($E12&gt;=H$5,"常",H12))),"-"))</f>
        <v/>
      </c>
      <c r="U12" s="101" t="str">
        <f>IF($B12="","",IF(OR('②-1職員名簿'!AF12="○",'②-1職員名簿'!AF12="●"),IF($E12="正規職員","正",IF($E12="契約上の就業時間を記載","",IF($E12&gt;=I$5,"常",I12))),"-"))</f>
        <v/>
      </c>
      <c r="V12" s="101" t="str">
        <f>IF($B12="","",IF(OR('②-1職員名簿'!AG12="○",'②-1職員名簿'!AG12="●"),IF($E12="正規職員","正",IF($E12="契約上の就業時間を記載","",IF($E12&gt;=J$5,"常",J12))),"-"))</f>
        <v/>
      </c>
      <c r="W12" s="101" t="str">
        <f>IF($B12="","",IF(OR('②-1職員名簿'!AH12="○",'②-1職員名簿'!AH12="●"),IF($E12="正規職員","正",IF($E12="契約上の就業時間を記載","",IF($E12&gt;=K$5,"常",K12))),"-"))</f>
        <v/>
      </c>
      <c r="X12" s="101" t="str">
        <f>IF($B12="","",IF(OR('②-1職員名簿'!AI12="○",'②-1職員名簿'!AI12="●"),IF($E12="正規職員","正",IF($E12="契約上の就業時間を記載","",IF($E12&gt;=L$5,"常",L12))),"-"))</f>
        <v/>
      </c>
      <c r="Y12" s="101" t="str">
        <f>IF($B12="","",IF(OR('②-1職員名簿'!AJ12="○",'②-1職員名簿'!AJ12="●"),IF($E12="正規職員","正",IF($E12="契約上の就業時間を記載","",IF($E12&gt;=M$5,"常",M12))),"-"))</f>
        <v/>
      </c>
      <c r="Z12" s="101" t="str">
        <f>IF($B12="","",IF(OR('②-1職員名簿'!AK12="○",'②-1職員名簿'!AK12="●"),IF($E12="正規職員","正",IF($E12="契約上の就業時間を記載","",IF($E12&gt;=N$5,"常",N12))),"-"))</f>
        <v/>
      </c>
      <c r="AA12" s="101" t="str">
        <f>IF($B12="","",IF(OR('②-1職員名簿'!AL12="○",'②-1職員名簿'!AL12="●"),IF($E12="正規職員","正",IF($E12="契約上の就業時間を記載","",IF($E12&gt;=O$5,"常",O12))),"-"))</f>
        <v/>
      </c>
      <c r="AB12" s="101" t="str">
        <f>IF($B12="","",IF(OR('②-1職員名簿'!AM12="○",'②-1職員名簿'!AM12="●"),IF($E12="正規職員","正",IF($E12="契約上の就業時間を記載","",IF($E12&gt;=P$5,"常",P12))),"-"))</f>
        <v/>
      </c>
      <c r="AC12" s="101" t="str">
        <f>IF($B12="","",IF(OR('②-1職員名簿'!AN12="○",'②-1職員名簿'!AN12="●"),IF($E12="正規職員","正",IF($E12="契約上の就業時間を記載","",IF($E12&gt;=Q$5,"常",Q12))),"-"))</f>
        <v/>
      </c>
      <c r="AE12" s="98" t="str">
        <f>IF('②-1職員名簿'!W12="","",'②-1職員名簿'!W12)</f>
        <v/>
      </c>
      <c r="AG12" s="131">
        <v>9</v>
      </c>
      <c r="AH12" s="103">
        <f>K5</f>
        <v>0</v>
      </c>
      <c r="AJ12" s="18" t="str">
        <f t="shared" si="11"/>
        <v>○</v>
      </c>
      <c r="AK12" s="18" t="str">
        <f t="shared" si="10"/>
        <v>○</v>
      </c>
      <c r="AL12" s="18" t="str">
        <f t="shared" si="10"/>
        <v>○</v>
      </c>
      <c r="AM12" s="18" t="str">
        <f t="shared" si="10"/>
        <v>○</v>
      </c>
      <c r="AN12" s="18" t="str">
        <f t="shared" si="10"/>
        <v>○</v>
      </c>
      <c r="AO12" s="18" t="str">
        <f t="shared" si="10"/>
        <v>○</v>
      </c>
      <c r="AP12" s="18" t="str">
        <f t="shared" si="10"/>
        <v>○</v>
      </c>
      <c r="AQ12" s="18" t="str">
        <f t="shared" si="10"/>
        <v>○</v>
      </c>
      <c r="AR12" s="18" t="str">
        <f t="shared" si="10"/>
        <v>○</v>
      </c>
      <c r="AS12" s="18" t="str">
        <f t="shared" si="10"/>
        <v>○</v>
      </c>
      <c r="AT12" s="18" t="str">
        <f t="shared" si="10"/>
        <v>○</v>
      </c>
      <c r="AU12" s="18" t="str">
        <f t="shared" si="10"/>
        <v>○</v>
      </c>
    </row>
    <row r="13" spans="1:47" s="103" customFormat="1" ht="23.15" customHeight="1">
      <c r="A13" s="99">
        <v>7</v>
      </c>
      <c r="B13" s="98" t="str">
        <f>IF('②-1職員名簿'!E13="","",'②-1職員名簿'!Y13)</f>
        <v/>
      </c>
      <c r="C13" s="101" t="str">
        <f>'②-1職員名簿'!BE13</f>
        <v/>
      </c>
      <c r="D13" s="132" t="str">
        <f t="shared" si="9"/>
        <v/>
      </c>
      <c r="E13" s="19" t="str">
        <f>IF($B13="","",IF(AND('②-1職員名簿'!C13="正",'②-1職員名簿'!D13="常"),"正規職員","契約上の就業時間を記載"))</f>
        <v/>
      </c>
      <c r="F13" s="10" t="str">
        <f>IF($B13="","",IF(OR('②-1職員名簿'!AC13="○",'②-1職員名簿'!AC13="●"),IF($E13="正規職員","正",IF($E13="契約上の就業時間を記載","","見込を入力")),"-"))</f>
        <v/>
      </c>
      <c r="G13" s="10" t="str">
        <f>IF($B13="","",IF(OR('②-1職員名簿'!AD13="○",'②-1職員名簿'!AD13="●"),IF($E13="正規職員","正",IF($E13="契約上の就業時間を記載","","実績を入力")),"-"))</f>
        <v/>
      </c>
      <c r="H13" s="10" t="str">
        <f>IF($B13="","",IF(OR('②-1職員名簿'!AE13="○",'②-1職員名簿'!AE13="●"),IF($E13="正規職員","正",IF($E13="契約上の就業時間を記載","","実績を入力")),"-"))</f>
        <v/>
      </c>
      <c r="I13" s="10" t="str">
        <f>IF($B13="","",IF(OR('②-1職員名簿'!AF13="○",'②-1職員名簿'!AF13="●"),IF($E13="正規職員","正",IF($E13="契約上の就業時間を記載","","実績を入力")),"-"))</f>
        <v/>
      </c>
      <c r="J13" s="10" t="str">
        <f>IF($B13="","",IF(OR('②-1職員名簿'!AG13="○",'②-1職員名簿'!AG13="●"),IF($E13="正規職員","正",IF($E13="契約上の就業時間を記載","","実績を入力")),"-"))</f>
        <v/>
      </c>
      <c r="K13" s="10" t="str">
        <f>IF($B13="","",IF(OR('②-1職員名簿'!AH13="○",'②-1職員名簿'!AH13="●"),IF($E13="正規職員","正",IF($E13="契約上の就業時間を記載","","実績を入力")),"-"))</f>
        <v/>
      </c>
      <c r="L13" s="10" t="str">
        <f>IF($B13="","",IF(OR('②-1職員名簿'!AI13="○",'②-1職員名簿'!AI13="●"),IF($E13="正規職員","正",IF($E13="契約上の就業時間を記載","","実績を入力")),"-"))</f>
        <v/>
      </c>
      <c r="M13" s="10" t="str">
        <f>IF($B13="","",IF(OR('②-1職員名簿'!AJ13="○",'②-1職員名簿'!AJ13="●"),IF($E13="正規職員","正",IF($E13="契約上の就業時間を記載","","実績を入力")),"-"))</f>
        <v/>
      </c>
      <c r="N13" s="10" t="str">
        <f>IF($B13="","",IF(OR('②-1職員名簿'!AK13="○",'②-1職員名簿'!AK13="●"),IF($E13="正規職員","正",IF($E13="契約上の就業時間を記載","","実績を入力")),"-"))</f>
        <v/>
      </c>
      <c r="O13" s="10" t="str">
        <f>IF($B13="","",IF(OR('②-1職員名簿'!AL13="○",'②-1職員名簿'!AL13="●"),IF($E13="正規職員","正",IF($E13="契約上の就業時間を記載","","実績を入力")),"-"))</f>
        <v/>
      </c>
      <c r="P13" s="10" t="str">
        <f>IF($B13="","",IF(OR('②-1職員名簿'!AM13="○",'②-1職員名簿'!AM13="●"),IF($E13="正規職員","正",IF($E13="契約上の就業時間を記載","","実績を入力")),"-"))</f>
        <v/>
      </c>
      <c r="Q13" s="10" t="str">
        <f>IF($B13="","",IF(OR('②-1職員名簿'!AN13="○",'②-1職員名簿'!AN13="●"),IF($E13="正規職員","正",IF($E13="契約上の就業時間を記載","","実績を入力")),"-"))</f>
        <v/>
      </c>
      <c r="R13" s="101" t="str">
        <f>IF($B13="","",IF(OR('②-1職員名簿'!AC13="○",'②-1職員名簿'!AC13="●"),IF($E13="正規職員","正",IF($E13="契約上の就業時間を記載","",IF($E13&gt;=F$5,"常",F13))),"-"))</f>
        <v/>
      </c>
      <c r="S13" s="101" t="str">
        <f>IF($B13="","",IF(OR('②-1職員名簿'!AD13="○",'②-1職員名簿'!AD13="●"),IF($E13="正規職員","正",IF($E13="契約上の就業時間を記載","",IF($E13&gt;=G$5,"常",G13))),"-"))</f>
        <v/>
      </c>
      <c r="T13" s="101" t="str">
        <f>IF($B13="","",IF(OR('②-1職員名簿'!AE13="○",'②-1職員名簿'!AE13="●"),IF($E13="正規職員","正",IF($E13="契約上の就業時間を記載","",IF($E13&gt;=H$5,"常",H13))),"-"))</f>
        <v/>
      </c>
      <c r="U13" s="101" t="str">
        <f>IF($B13="","",IF(OR('②-1職員名簿'!AF13="○",'②-1職員名簿'!AF13="●"),IF($E13="正規職員","正",IF($E13="契約上の就業時間を記載","",IF($E13&gt;=I$5,"常",I13))),"-"))</f>
        <v/>
      </c>
      <c r="V13" s="101" t="str">
        <f>IF($B13="","",IF(OR('②-1職員名簿'!AG13="○",'②-1職員名簿'!AG13="●"),IF($E13="正規職員","正",IF($E13="契約上の就業時間を記載","",IF($E13&gt;=J$5,"常",J13))),"-"))</f>
        <v/>
      </c>
      <c r="W13" s="101" t="str">
        <f>IF($B13="","",IF(OR('②-1職員名簿'!AH13="○",'②-1職員名簿'!AH13="●"),IF($E13="正規職員","正",IF($E13="契約上の就業時間を記載","",IF($E13&gt;=K$5,"常",K13))),"-"))</f>
        <v/>
      </c>
      <c r="X13" s="101" t="str">
        <f>IF($B13="","",IF(OR('②-1職員名簿'!AI13="○",'②-1職員名簿'!AI13="●"),IF($E13="正規職員","正",IF($E13="契約上の就業時間を記載","",IF($E13&gt;=L$5,"常",L13))),"-"))</f>
        <v/>
      </c>
      <c r="Y13" s="101" t="str">
        <f>IF($B13="","",IF(OR('②-1職員名簿'!AJ13="○",'②-1職員名簿'!AJ13="●"),IF($E13="正規職員","正",IF($E13="契約上の就業時間を記載","",IF($E13&gt;=M$5,"常",M13))),"-"))</f>
        <v/>
      </c>
      <c r="Z13" s="101" t="str">
        <f>IF($B13="","",IF(OR('②-1職員名簿'!AK13="○",'②-1職員名簿'!AK13="●"),IF($E13="正規職員","正",IF($E13="契約上の就業時間を記載","",IF($E13&gt;=N$5,"常",N13))),"-"))</f>
        <v/>
      </c>
      <c r="AA13" s="101" t="str">
        <f>IF($B13="","",IF(OR('②-1職員名簿'!AL13="○",'②-1職員名簿'!AL13="●"),IF($E13="正規職員","正",IF($E13="契約上の就業時間を記載","",IF($E13&gt;=O$5,"常",O13))),"-"))</f>
        <v/>
      </c>
      <c r="AB13" s="101" t="str">
        <f>IF($B13="","",IF(OR('②-1職員名簿'!AM13="○",'②-1職員名簿'!AM13="●"),IF($E13="正規職員","正",IF($E13="契約上の就業時間を記載","",IF($E13&gt;=P$5,"常",P13))),"-"))</f>
        <v/>
      </c>
      <c r="AC13" s="101" t="str">
        <f>IF($B13="","",IF(OR('②-1職員名簿'!AN13="○",'②-1職員名簿'!AN13="●"),IF($E13="正規職員","正",IF($E13="契約上の就業時間を記載","",IF($E13&gt;=Q$5,"常",Q13))),"-"))</f>
        <v/>
      </c>
      <c r="AE13" s="98" t="str">
        <f>IF('②-1職員名簿'!W13="","",'②-1職員名簿'!W13)</f>
        <v/>
      </c>
      <c r="AG13" s="131">
        <v>10</v>
      </c>
      <c r="AH13" s="103">
        <f>L5</f>
        <v>0</v>
      </c>
      <c r="AJ13" s="18" t="str">
        <f t="shared" si="11"/>
        <v>○</v>
      </c>
      <c r="AK13" s="18" t="str">
        <f t="shared" si="10"/>
        <v>○</v>
      </c>
      <c r="AL13" s="18" t="str">
        <f t="shared" si="10"/>
        <v>○</v>
      </c>
      <c r="AM13" s="18" t="str">
        <f t="shared" si="10"/>
        <v>○</v>
      </c>
      <c r="AN13" s="18" t="str">
        <f t="shared" si="10"/>
        <v>○</v>
      </c>
      <c r="AO13" s="18" t="str">
        <f t="shared" si="10"/>
        <v>○</v>
      </c>
      <c r="AP13" s="18" t="str">
        <f t="shared" si="10"/>
        <v>○</v>
      </c>
      <c r="AQ13" s="18" t="str">
        <f t="shared" si="10"/>
        <v>○</v>
      </c>
      <c r="AR13" s="18" t="str">
        <f t="shared" si="10"/>
        <v>○</v>
      </c>
      <c r="AS13" s="18" t="str">
        <f t="shared" si="10"/>
        <v>○</v>
      </c>
      <c r="AT13" s="18" t="str">
        <f t="shared" si="10"/>
        <v>○</v>
      </c>
      <c r="AU13" s="18" t="str">
        <f t="shared" si="10"/>
        <v>○</v>
      </c>
    </row>
    <row r="14" spans="1:47" s="103" customFormat="1" ht="23.15" customHeight="1">
      <c r="A14" s="99">
        <v>8</v>
      </c>
      <c r="B14" s="98" t="str">
        <f>IF('②-1職員名簿'!E14="","",'②-1職員名簿'!Y14)</f>
        <v/>
      </c>
      <c r="C14" s="101" t="str">
        <f>'②-1職員名簿'!BE14</f>
        <v/>
      </c>
      <c r="D14" s="132" t="str">
        <f t="shared" si="9"/>
        <v/>
      </c>
      <c r="E14" s="19" t="str">
        <f>IF($B14="","",IF(AND('②-1職員名簿'!C14="正",'②-1職員名簿'!D14="常"),"正規職員","契約上の就業時間を記載"))</f>
        <v/>
      </c>
      <c r="F14" s="10" t="str">
        <f>IF($B14="","",IF(OR('②-1職員名簿'!AC14="○",'②-1職員名簿'!AC14="●"),IF($E14="正規職員","正",IF($E14="契約上の就業時間を記載","","見込を入力")),"-"))</f>
        <v/>
      </c>
      <c r="G14" s="10" t="str">
        <f>IF($B14="","",IF(OR('②-1職員名簿'!AD14="○",'②-1職員名簿'!AD14="●"),IF($E14="正規職員","正",IF($E14="契約上の就業時間を記載","","実績を入力")),"-"))</f>
        <v/>
      </c>
      <c r="H14" s="10" t="str">
        <f>IF($B14="","",IF(OR('②-1職員名簿'!AE14="○",'②-1職員名簿'!AE14="●"),IF($E14="正規職員","正",IF($E14="契約上の就業時間を記載","","実績を入力")),"-"))</f>
        <v/>
      </c>
      <c r="I14" s="10" t="str">
        <f>IF($B14="","",IF(OR('②-1職員名簿'!AF14="○",'②-1職員名簿'!AF14="●"),IF($E14="正規職員","正",IF($E14="契約上の就業時間を記載","","実績を入力")),"-"))</f>
        <v/>
      </c>
      <c r="J14" s="10" t="str">
        <f>IF($B14="","",IF(OR('②-1職員名簿'!AG14="○",'②-1職員名簿'!AG14="●"),IF($E14="正規職員","正",IF($E14="契約上の就業時間を記載","","実績を入力")),"-"))</f>
        <v/>
      </c>
      <c r="K14" s="10" t="str">
        <f>IF($B14="","",IF(OR('②-1職員名簿'!AH14="○",'②-1職員名簿'!AH14="●"),IF($E14="正規職員","正",IF($E14="契約上の就業時間を記載","","実績を入力")),"-"))</f>
        <v/>
      </c>
      <c r="L14" s="10" t="str">
        <f>IF($B14="","",IF(OR('②-1職員名簿'!AI14="○",'②-1職員名簿'!AI14="●"),IF($E14="正規職員","正",IF($E14="契約上の就業時間を記載","","実績を入力")),"-"))</f>
        <v/>
      </c>
      <c r="M14" s="10" t="str">
        <f>IF($B14="","",IF(OR('②-1職員名簿'!AJ14="○",'②-1職員名簿'!AJ14="●"),IF($E14="正規職員","正",IF($E14="契約上の就業時間を記載","","実績を入力")),"-"))</f>
        <v/>
      </c>
      <c r="N14" s="10" t="str">
        <f>IF($B14="","",IF(OR('②-1職員名簿'!AK14="○",'②-1職員名簿'!AK14="●"),IF($E14="正規職員","正",IF($E14="契約上の就業時間を記載","","実績を入力")),"-"))</f>
        <v/>
      </c>
      <c r="O14" s="10" t="str">
        <f>IF($B14="","",IF(OR('②-1職員名簿'!AL14="○",'②-1職員名簿'!AL14="●"),IF($E14="正規職員","正",IF($E14="契約上の就業時間を記載","","実績を入力")),"-"))</f>
        <v/>
      </c>
      <c r="P14" s="10" t="str">
        <f>IF($B14="","",IF(OR('②-1職員名簿'!AM14="○",'②-1職員名簿'!AM14="●"),IF($E14="正規職員","正",IF($E14="契約上の就業時間を記載","","実績を入力")),"-"))</f>
        <v/>
      </c>
      <c r="Q14" s="10" t="str">
        <f>IF($B14="","",IF(OR('②-1職員名簿'!AN14="○",'②-1職員名簿'!AN14="●"),IF($E14="正規職員","正",IF($E14="契約上の就業時間を記載","","実績を入力")),"-"))</f>
        <v/>
      </c>
      <c r="R14" s="101" t="str">
        <f>IF($B14="","",IF(OR('②-1職員名簿'!AC14="○",'②-1職員名簿'!AC14="●"),IF($E14="正規職員","正",IF($E14="契約上の就業時間を記載","",IF($E14&gt;=F$5,"常",F14))),"-"))</f>
        <v/>
      </c>
      <c r="S14" s="101" t="str">
        <f>IF($B14="","",IF(OR('②-1職員名簿'!AD14="○",'②-1職員名簿'!AD14="●"),IF($E14="正規職員","正",IF($E14="契約上の就業時間を記載","",IF($E14&gt;=G$5,"常",G14))),"-"))</f>
        <v/>
      </c>
      <c r="T14" s="101" t="str">
        <f>IF($B14="","",IF(OR('②-1職員名簿'!AE14="○",'②-1職員名簿'!AE14="●"),IF($E14="正規職員","正",IF($E14="契約上の就業時間を記載","",IF($E14&gt;=H$5,"常",H14))),"-"))</f>
        <v/>
      </c>
      <c r="U14" s="101" t="str">
        <f>IF($B14="","",IF(OR('②-1職員名簿'!AF14="○",'②-1職員名簿'!AF14="●"),IF($E14="正規職員","正",IF($E14="契約上の就業時間を記載","",IF($E14&gt;=I$5,"常",I14))),"-"))</f>
        <v/>
      </c>
      <c r="V14" s="101" t="str">
        <f>IF($B14="","",IF(OR('②-1職員名簿'!AG14="○",'②-1職員名簿'!AG14="●"),IF($E14="正規職員","正",IF($E14="契約上の就業時間を記載","",IF($E14&gt;=J$5,"常",J14))),"-"))</f>
        <v/>
      </c>
      <c r="W14" s="101" t="str">
        <f>IF($B14="","",IF(OR('②-1職員名簿'!AH14="○",'②-1職員名簿'!AH14="●"),IF($E14="正規職員","正",IF($E14="契約上の就業時間を記載","",IF($E14&gt;=K$5,"常",K14))),"-"))</f>
        <v/>
      </c>
      <c r="X14" s="101" t="str">
        <f>IF($B14="","",IF(OR('②-1職員名簿'!AI14="○",'②-1職員名簿'!AI14="●"),IF($E14="正規職員","正",IF($E14="契約上の就業時間を記載","",IF($E14&gt;=L$5,"常",L14))),"-"))</f>
        <v/>
      </c>
      <c r="Y14" s="101" t="str">
        <f>IF($B14="","",IF(OR('②-1職員名簿'!AJ14="○",'②-1職員名簿'!AJ14="●"),IF($E14="正規職員","正",IF($E14="契約上の就業時間を記載","",IF($E14&gt;=M$5,"常",M14))),"-"))</f>
        <v/>
      </c>
      <c r="Z14" s="101" t="str">
        <f>IF($B14="","",IF(OR('②-1職員名簿'!AK14="○",'②-1職員名簿'!AK14="●"),IF($E14="正規職員","正",IF($E14="契約上の就業時間を記載","",IF($E14&gt;=N$5,"常",N14))),"-"))</f>
        <v/>
      </c>
      <c r="AA14" s="101" t="str">
        <f>IF($B14="","",IF(OR('②-1職員名簿'!AL14="○",'②-1職員名簿'!AL14="●"),IF($E14="正規職員","正",IF($E14="契約上の就業時間を記載","",IF($E14&gt;=O$5,"常",O14))),"-"))</f>
        <v/>
      </c>
      <c r="AB14" s="101" t="str">
        <f>IF($B14="","",IF(OR('②-1職員名簿'!AM14="○",'②-1職員名簿'!AM14="●"),IF($E14="正規職員","正",IF($E14="契約上の就業時間を記載","",IF($E14&gt;=P$5,"常",P14))),"-"))</f>
        <v/>
      </c>
      <c r="AC14" s="101" t="str">
        <f>IF($B14="","",IF(OR('②-1職員名簿'!AN14="○",'②-1職員名簿'!AN14="●"),IF($E14="正規職員","正",IF($E14="契約上の就業時間を記載","",IF($E14&gt;=Q$5,"常",Q14))),"-"))</f>
        <v/>
      </c>
      <c r="AE14" s="98" t="str">
        <f>IF('②-1職員名簿'!W14="","",'②-1職員名簿'!W14)</f>
        <v/>
      </c>
      <c r="AG14" s="131">
        <v>11</v>
      </c>
      <c r="AH14" s="103">
        <f>M5</f>
        <v>0</v>
      </c>
      <c r="AJ14" s="18" t="str">
        <f t="shared" si="11"/>
        <v>○</v>
      </c>
      <c r="AK14" s="18" t="str">
        <f t="shared" si="10"/>
        <v>○</v>
      </c>
      <c r="AL14" s="18" t="str">
        <f t="shared" si="10"/>
        <v>○</v>
      </c>
      <c r="AM14" s="18" t="str">
        <f t="shared" si="10"/>
        <v>○</v>
      </c>
      <c r="AN14" s="18" t="str">
        <f t="shared" si="10"/>
        <v>○</v>
      </c>
      <c r="AO14" s="18" t="str">
        <f t="shared" si="10"/>
        <v>○</v>
      </c>
      <c r="AP14" s="18" t="str">
        <f t="shared" si="10"/>
        <v>○</v>
      </c>
      <c r="AQ14" s="18" t="str">
        <f t="shared" si="10"/>
        <v>○</v>
      </c>
      <c r="AR14" s="18" t="str">
        <f t="shared" si="10"/>
        <v>○</v>
      </c>
      <c r="AS14" s="18" t="str">
        <f t="shared" si="10"/>
        <v>○</v>
      </c>
      <c r="AT14" s="18" t="str">
        <f t="shared" si="10"/>
        <v>○</v>
      </c>
      <c r="AU14" s="18" t="str">
        <f t="shared" si="10"/>
        <v>○</v>
      </c>
    </row>
    <row r="15" spans="1:47" s="103" customFormat="1" ht="23.15" customHeight="1">
      <c r="A15" s="99">
        <v>9</v>
      </c>
      <c r="B15" s="98" t="str">
        <f>IF('②-1職員名簿'!E15="","",'②-1職員名簿'!Y15)</f>
        <v/>
      </c>
      <c r="C15" s="101" t="str">
        <f>'②-1職員名簿'!BE15</f>
        <v/>
      </c>
      <c r="D15" s="132" t="str">
        <f t="shared" si="9"/>
        <v/>
      </c>
      <c r="E15" s="19" t="str">
        <f>IF($B15="","",IF(AND('②-1職員名簿'!C15="正",'②-1職員名簿'!D15="常"),"正規職員","契約上の就業時間を記載"))</f>
        <v/>
      </c>
      <c r="F15" s="10" t="str">
        <f>IF($B15="","",IF(OR('②-1職員名簿'!AC15="○",'②-1職員名簿'!AC15="●"),IF($E15="正規職員","正",IF($E15="契約上の就業時間を記載","","見込を入力")),"-"))</f>
        <v/>
      </c>
      <c r="G15" s="10" t="str">
        <f>IF($B15="","",IF(OR('②-1職員名簿'!AD15="○",'②-1職員名簿'!AD15="●"),IF($E15="正規職員","正",IF($E15="契約上の就業時間を記載","","実績を入力")),"-"))</f>
        <v/>
      </c>
      <c r="H15" s="10" t="str">
        <f>IF($B15="","",IF(OR('②-1職員名簿'!AE15="○",'②-1職員名簿'!AE15="●"),IF($E15="正規職員","正",IF($E15="契約上の就業時間を記載","","実績を入力")),"-"))</f>
        <v/>
      </c>
      <c r="I15" s="10" t="str">
        <f>IF($B15="","",IF(OR('②-1職員名簿'!AF15="○",'②-1職員名簿'!AF15="●"),IF($E15="正規職員","正",IF($E15="契約上の就業時間を記載","","実績を入力")),"-"))</f>
        <v/>
      </c>
      <c r="J15" s="10" t="str">
        <f>IF($B15="","",IF(OR('②-1職員名簿'!AG15="○",'②-1職員名簿'!AG15="●"),IF($E15="正規職員","正",IF($E15="契約上の就業時間を記載","","実績を入力")),"-"))</f>
        <v/>
      </c>
      <c r="K15" s="10" t="str">
        <f>IF($B15="","",IF(OR('②-1職員名簿'!AH15="○",'②-1職員名簿'!AH15="●"),IF($E15="正規職員","正",IF($E15="契約上の就業時間を記載","","実績を入力")),"-"))</f>
        <v/>
      </c>
      <c r="L15" s="10" t="str">
        <f>IF($B15="","",IF(OR('②-1職員名簿'!AI15="○",'②-1職員名簿'!AI15="●"),IF($E15="正規職員","正",IF($E15="契約上の就業時間を記載","","実績を入力")),"-"))</f>
        <v/>
      </c>
      <c r="M15" s="10" t="str">
        <f>IF($B15="","",IF(OR('②-1職員名簿'!AJ15="○",'②-1職員名簿'!AJ15="●"),IF($E15="正規職員","正",IF($E15="契約上の就業時間を記載","","実績を入力")),"-"))</f>
        <v/>
      </c>
      <c r="N15" s="10" t="str">
        <f>IF($B15="","",IF(OR('②-1職員名簿'!AK15="○",'②-1職員名簿'!AK15="●"),IF($E15="正規職員","正",IF($E15="契約上の就業時間を記載","","実績を入力")),"-"))</f>
        <v/>
      </c>
      <c r="O15" s="10" t="str">
        <f>IF($B15="","",IF(OR('②-1職員名簿'!AL15="○",'②-1職員名簿'!AL15="●"),IF($E15="正規職員","正",IF($E15="契約上の就業時間を記載","","実績を入力")),"-"))</f>
        <v/>
      </c>
      <c r="P15" s="10" t="str">
        <f>IF($B15="","",IF(OR('②-1職員名簿'!AM15="○",'②-1職員名簿'!AM15="●"),IF($E15="正規職員","正",IF($E15="契約上の就業時間を記載","","実績を入力")),"-"))</f>
        <v/>
      </c>
      <c r="Q15" s="10" t="str">
        <f>IF($B15="","",IF(OR('②-1職員名簿'!AN15="○",'②-1職員名簿'!AN15="●"),IF($E15="正規職員","正",IF($E15="契約上の就業時間を記載","","実績を入力")),"-"))</f>
        <v/>
      </c>
      <c r="R15" s="101" t="str">
        <f>IF($B15="","",IF(OR('②-1職員名簿'!AC15="○",'②-1職員名簿'!AC15="●"),IF($E15="正規職員","正",IF($E15="契約上の就業時間を記載","",IF($E15&gt;=F$5,"常",F15))),"-"))</f>
        <v/>
      </c>
      <c r="S15" s="101" t="str">
        <f>IF($B15="","",IF(OR('②-1職員名簿'!AD15="○",'②-1職員名簿'!AD15="●"),IF($E15="正規職員","正",IF($E15="契約上の就業時間を記載","",IF($E15&gt;=G$5,"常",G15))),"-"))</f>
        <v/>
      </c>
      <c r="T15" s="101" t="str">
        <f>IF($B15="","",IF(OR('②-1職員名簿'!AE15="○",'②-1職員名簿'!AE15="●"),IF($E15="正規職員","正",IF($E15="契約上の就業時間を記載","",IF($E15&gt;=H$5,"常",H15))),"-"))</f>
        <v/>
      </c>
      <c r="U15" s="101" t="str">
        <f>IF($B15="","",IF(OR('②-1職員名簿'!AF15="○",'②-1職員名簿'!AF15="●"),IF($E15="正規職員","正",IF($E15="契約上の就業時間を記載","",IF($E15&gt;=I$5,"常",I15))),"-"))</f>
        <v/>
      </c>
      <c r="V15" s="101" t="str">
        <f>IF($B15="","",IF(OR('②-1職員名簿'!AG15="○",'②-1職員名簿'!AG15="●"),IF($E15="正規職員","正",IF($E15="契約上の就業時間を記載","",IF($E15&gt;=J$5,"常",J15))),"-"))</f>
        <v/>
      </c>
      <c r="W15" s="101" t="str">
        <f>IF($B15="","",IF(OR('②-1職員名簿'!AH15="○",'②-1職員名簿'!AH15="●"),IF($E15="正規職員","正",IF($E15="契約上の就業時間を記載","",IF($E15&gt;=K$5,"常",K15))),"-"))</f>
        <v/>
      </c>
      <c r="X15" s="101" t="str">
        <f>IF($B15="","",IF(OR('②-1職員名簿'!AI15="○",'②-1職員名簿'!AI15="●"),IF($E15="正規職員","正",IF($E15="契約上の就業時間を記載","",IF($E15&gt;=L$5,"常",L15))),"-"))</f>
        <v/>
      </c>
      <c r="Y15" s="101" t="str">
        <f>IF($B15="","",IF(OR('②-1職員名簿'!AJ15="○",'②-1職員名簿'!AJ15="●"),IF($E15="正規職員","正",IF($E15="契約上の就業時間を記載","",IF($E15&gt;=M$5,"常",M15))),"-"))</f>
        <v/>
      </c>
      <c r="Z15" s="101" t="str">
        <f>IF($B15="","",IF(OR('②-1職員名簿'!AK15="○",'②-1職員名簿'!AK15="●"),IF($E15="正規職員","正",IF($E15="契約上の就業時間を記載","",IF($E15&gt;=N$5,"常",N15))),"-"))</f>
        <v/>
      </c>
      <c r="AA15" s="101" t="str">
        <f>IF($B15="","",IF(OR('②-1職員名簿'!AL15="○",'②-1職員名簿'!AL15="●"),IF($E15="正規職員","正",IF($E15="契約上の就業時間を記載","",IF($E15&gt;=O$5,"常",O15))),"-"))</f>
        <v/>
      </c>
      <c r="AB15" s="101" t="str">
        <f>IF($B15="","",IF(OR('②-1職員名簿'!AM15="○",'②-1職員名簿'!AM15="●"),IF($E15="正規職員","正",IF($E15="契約上の就業時間を記載","",IF($E15&gt;=P$5,"常",P15))),"-"))</f>
        <v/>
      </c>
      <c r="AC15" s="101" t="str">
        <f>IF($B15="","",IF(OR('②-1職員名簿'!AN15="○",'②-1職員名簿'!AN15="●"),IF($E15="正規職員","正",IF($E15="契約上の就業時間を記載","",IF($E15&gt;=Q$5,"常",Q15))),"-"))</f>
        <v/>
      </c>
      <c r="AE15" s="98" t="str">
        <f>IF('②-1職員名簿'!W15="","",'②-1職員名簿'!W15)</f>
        <v/>
      </c>
      <c r="AG15" s="131">
        <v>12</v>
      </c>
      <c r="AH15" s="103">
        <f>N5</f>
        <v>0</v>
      </c>
      <c r="AJ15" s="18" t="str">
        <f t="shared" si="11"/>
        <v>○</v>
      </c>
      <c r="AK15" s="18" t="str">
        <f t="shared" si="10"/>
        <v>○</v>
      </c>
      <c r="AL15" s="18" t="str">
        <f t="shared" si="10"/>
        <v>○</v>
      </c>
      <c r="AM15" s="18" t="str">
        <f t="shared" si="10"/>
        <v>○</v>
      </c>
      <c r="AN15" s="18" t="str">
        <f t="shared" si="10"/>
        <v>○</v>
      </c>
      <c r="AO15" s="18" t="str">
        <f t="shared" si="10"/>
        <v>○</v>
      </c>
      <c r="AP15" s="18" t="str">
        <f t="shared" si="10"/>
        <v>○</v>
      </c>
      <c r="AQ15" s="18" t="str">
        <f t="shared" si="10"/>
        <v>○</v>
      </c>
      <c r="AR15" s="18" t="str">
        <f t="shared" si="10"/>
        <v>○</v>
      </c>
      <c r="AS15" s="18" t="str">
        <f t="shared" si="10"/>
        <v>○</v>
      </c>
      <c r="AT15" s="18" t="str">
        <f t="shared" si="10"/>
        <v>○</v>
      </c>
      <c r="AU15" s="18" t="str">
        <f t="shared" si="10"/>
        <v>○</v>
      </c>
    </row>
    <row r="16" spans="1:47" s="103" customFormat="1" ht="23.15" customHeight="1">
      <c r="A16" s="99">
        <v>10</v>
      </c>
      <c r="B16" s="98" t="str">
        <f>IF('②-1職員名簿'!E16="","",'②-1職員名簿'!Y16)</f>
        <v/>
      </c>
      <c r="C16" s="101" t="str">
        <f>'②-1職員名簿'!BE16</f>
        <v/>
      </c>
      <c r="D16" s="132" t="str">
        <f t="shared" si="9"/>
        <v/>
      </c>
      <c r="E16" s="19" t="str">
        <f>IF($B16="","",IF(AND('②-1職員名簿'!C16="正",'②-1職員名簿'!D16="常"),"正規職員","契約上の就業時間を記載"))</f>
        <v/>
      </c>
      <c r="F16" s="10" t="str">
        <f>IF($B16="","",IF(OR('②-1職員名簿'!AC16="○",'②-1職員名簿'!AC16="●"),IF($E16="正規職員","正",IF($E16="契約上の就業時間を記載","","見込を入力")),"-"))</f>
        <v/>
      </c>
      <c r="G16" s="10" t="str">
        <f>IF($B16="","",IF(OR('②-1職員名簿'!AD16="○",'②-1職員名簿'!AD16="●"),IF($E16="正規職員","正",IF($E16="契約上の就業時間を記載","","実績を入力")),"-"))</f>
        <v/>
      </c>
      <c r="H16" s="10" t="str">
        <f>IF($B16="","",IF(OR('②-1職員名簿'!AE16="○",'②-1職員名簿'!AE16="●"),IF($E16="正規職員","正",IF($E16="契約上の就業時間を記載","","実績を入力")),"-"))</f>
        <v/>
      </c>
      <c r="I16" s="10" t="str">
        <f>IF($B16="","",IF(OR('②-1職員名簿'!AF16="○",'②-1職員名簿'!AF16="●"),IF($E16="正規職員","正",IF($E16="契約上の就業時間を記載","","実績を入力")),"-"))</f>
        <v/>
      </c>
      <c r="J16" s="10" t="str">
        <f>IF($B16="","",IF(OR('②-1職員名簿'!AG16="○",'②-1職員名簿'!AG16="●"),IF($E16="正規職員","正",IF($E16="契約上の就業時間を記載","","実績を入力")),"-"))</f>
        <v/>
      </c>
      <c r="K16" s="10" t="str">
        <f>IF($B16="","",IF(OR('②-1職員名簿'!AH16="○",'②-1職員名簿'!AH16="●"),IF($E16="正規職員","正",IF($E16="契約上の就業時間を記載","","実績を入力")),"-"))</f>
        <v/>
      </c>
      <c r="L16" s="10" t="str">
        <f>IF($B16="","",IF(OR('②-1職員名簿'!AI16="○",'②-1職員名簿'!AI16="●"),IF($E16="正規職員","正",IF($E16="契約上の就業時間を記載","","実績を入力")),"-"))</f>
        <v/>
      </c>
      <c r="M16" s="10" t="str">
        <f>IF($B16="","",IF(OR('②-1職員名簿'!AJ16="○",'②-1職員名簿'!AJ16="●"),IF($E16="正規職員","正",IF($E16="契約上の就業時間を記載","","実績を入力")),"-"))</f>
        <v/>
      </c>
      <c r="N16" s="10" t="str">
        <f>IF($B16="","",IF(OR('②-1職員名簿'!AK16="○",'②-1職員名簿'!AK16="●"),IF($E16="正規職員","正",IF($E16="契約上の就業時間を記載","","実績を入力")),"-"))</f>
        <v/>
      </c>
      <c r="O16" s="10" t="str">
        <f>IF($B16="","",IF(OR('②-1職員名簿'!AL16="○",'②-1職員名簿'!AL16="●"),IF($E16="正規職員","正",IF($E16="契約上の就業時間を記載","","実績を入力")),"-"))</f>
        <v/>
      </c>
      <c r="P16" s="10" t="str">
        <f>IF($B16="","",IF(OR('②-1職員名簿'!AM16="○",'②-1職員名簿'!AM16="●"),IF($E16="正規職員","正",IF($E16="契約上の就業時間を記載","","実績を入力")),"-"))</f>
        <v/>
      </c>
      <c r="Q16" s="10" t="str">
        <f>IF($B16="","",IF(OR('②-1職員名簿'!AN16="○",'②-1職員名簿'!AN16="●"),IF($E16="正規職員","正",IF($E16="契約上の就業時間を記載","","実績を入力")),"-"))</f>
        <v/>
      </c>
      <c r="R16" s="101" t="str">
        <f>IF($B16="","",IF(OR('②-1職員名簿'!AC16="○",'②-1職員名簿'!AC16="●"),IF($E16="正規職員","正",IF($E16="契約上の就業時間を記載","",IF($E16&gt;=F$5,"常",F16))),"-"))</f>
        <v/>
      </c>
      <c r="S16" s="101" t="str">
        <f>IF($B16="","",IF(OR('②-1職員名簿'!AD16="○",'②-1職員名簿'!AD16="●"),IF($E16="正規職員","正",IF($E16="契約上の就業時間を記載","",IF($E16&gt;=G$5,"常",G16))),"-"))</f>
        <v/>
      </c>
      <c r="T16" s="101" t="str">
        <f>IF($B16="","",IF(OR('②-1職員名簿'!AE16="○",'②-1職員名簿'!AE16="●"),IF($E16="正規職員","正",IF($E16="契約上の就業時間を記載","",IF($E16&gt;=H$5,"常",H16))),"-"))</f>
        <v/>
      </c>
      <c r="U16" s="101" t="str">
        <f>IF($B16="","",IF(OR('②-1職員名簿'!AF16="○",'②-1職員名簿'!AF16="●"),IF($E16="正規職員","正",IF($E16="契約上の就業時間を記載","",IF($E16&gt;=I$5,"常",I16))),"-"))</f>
        <v/>
      </c>
      <c r="V16" s="101" t="str">
        <f>IF($B16="","",IF(OR('②-1職員名簿'!AG16="○",'②-1職員名簿'!AG16="●"),IF($E16="正規職員","正",IF($E16="契約上の就業時間を記載","",IF($E16&gt;=J$5,"常",J16))),"-"))</f>
        <v/>
      </c>
      <c r="W16" s="101" t="str">
        <f>IF($B16="","",IF(OR('②-1職員名簿'!AH16="○",'②-1職員名簿'!AH16="●"),IF($E16="正規職員","正",IF($E16="契約上の就業時間を記載","",IF($E16&gt;=K$5,"常",K16))),"-"))</f>
        <v/>
      </c>
      <c r="X16" s="101" t="str">
        <f>IF($B16="","",IF(OR('②-1職員名簿'!AI16="○",'②-1職員名簿'!AI16="●"),IF($E16="正規職員","正",IF($E16="契約上の就業時間を記載","",IF($E16&gt;=L$5,"常",L16))),"-"))</f>
        <v/>
      </c>
      <c r="Y16" s="101" t="str">
        <f>IF($B16="","",IF(OR('②-1職員名簿'!AJ16="○",'②-1職員名簿'!AJ16="●"),IF($E16="正規職員","正",IF($E16="契約上の就業時間を記載","",IF($E16&gt;=M$5,"常",M16))),"-"))</f>
        <v/>
      </c>
      <c r="Z16" s="101" t="str">
        <f>IF($B16="","",IF(OR('②-1職員名簿'!AK16="○",'②-1職員名簿'!AK16="●"),IF($E16="正規職員","正",IF($E16="契約上の就業時間を記載","",IF($E16&gt;=N$5,"常",N16))),"-"))</f>
        <v/>
      </c>
      <c r="AA16" s="101" t="str">
        <f>IF($B16="","",IF(OR('②-1職員名簿'!AL16="○",'②-1職員名簿'!AL16="●"),IF($E16="正規職員","正",IF($E16="契約上の就業時間を記載","",IF($E16&gt;=O$5,"常",O16))),"-"))</f>
        <v/>
      </c>
      <c r="AB16" s="101" t="str">
        <f>IF($B16="","",IF(OR('②-1職員名簿'!AM16="○",'②-1職員名簿'!AM16="●"),IF($E16="正規職員","正",IF($E16="契約上の就業時間を記載","",IF($E16&gt;=P$5,"常",P16))),"-"))</f>
        <v/>
      </c>
      <c r="AC16" s="101" t="str">
        <f>IF($B16="","",IF(OR('②-1職員名簿'!AN16="○",'②-1職員名簿'!AN16="●"),IF($E16="正規職員","正",IF($E16="契約上の就業時間を記載","",IF($E16&gt;=Q$5,"常",Q16))),"-"))</f>
        <v/>
      </c>
      <c r="AE16" s="98" t="str">
        <f>IF('②-1職員名簿'!W16="","",'②-1職員名簿'!W16)</f>
        <v/>
      </c>
      <c r="AG16" s="131">
        <v>1</v>
      </c>
      <c r="AH16" s="103">
        <f>O5</f>
        <v>0</v>
      </c>
      <c r="AJ16" s="18" t="str">
        <f t="shared" si="11"/>
        <v>○</v>
      </c>
      <c r="AK16" s="18" t="str">
        <f t="shared" si="10"/>
        <v>○</v>
      </c>
      <c r="AL16" s="18" t="str">
        <f t="shared" si="10"/>
        <v>○</v>
      </c>
      <c r="AM16" s="18" t="str">
        <f t="shared" si="10"/>
        <v>○</v>
      </c>
      <c r="AN16" s="18" t="str">
        <f t="shared" si="10"/>
        <v>○</v>
      </c>
      <c r="AO16" s="18" t="str">
        <f t="shared" si="10"/>
        <v>○</v>
      </c>
      <c r="AP16" s="18" t="str">
        <f t="shared" si="10"/>
        <v>○</v>
      </c>
      <c r="AQ16" s="18" t="str">
        <f t="shared" si="10"/>
        <v>○</v>
      </c>
      <c r="AR16" s="18" t="str">
        <f t="shared" si="10"/>
        <v>○</v>
      </c>
      <c r="AS16" s="18" t="str">
        <f t="shared" si="10"/>
        <v>○</v>
      </c>
      <c r="AT16" s="18" t="str">
        <f t="shared" si="10"/>
        <v>○</v>
      </c>
      <c r="AU16" s="18" t="str">
        <f t="shared" si="10"/>
        <v>○</v>
      </c>
    </row>
    <row r="17" spans="1:47" s="103" customFormat="1" ht="23.15" customHeight="1">
      <c r="A17" s="99">
        <v>11</v>
      </c>
      <c r="B17" s="98" t="str">
        <f>IF('②-1職員名簿'!E17="","",'②-1職員名簿'!Y17)</f>
        <v/>
      </c>
      <c r="C17" s="101" t="str">
        <f>'②-1職員名簿'!BE17</f>
        <v/>
      </c>
      <c r="D17" s="132" t="str">
        <f t="shared" si="9"/>
        <v/>
      </c>
      <c r="E17" s="19" t="str">
        <f>IF($B17="","",IF(AND('②-1職員名簿'!C17="正",'②-1職員名簿'!D17="常"),"正規職員","契約上の就業時間を記載"))</f>
        <v/>
      </c>
      <c r="F17" s="10" t="str">
        <f>IF($B17="","",IF(OR('②-1職員名簿'!AC17="○",'②-1職員名簿'!AC17="●"),IF($E17="正規職員","正",IF($E17="契約上の就業時間を記載","","見込を入力")),"-"))</f>
        <v/>
      </c>
      <c r="G17" s="10" t="str">
        <f>IF($B17="","",IF(OR('②-1職員名簿'!AD17="○",'②-1職員名簿'!AD17="●"),IF($E17="正規職員","正",IF($E17="契約上の就業時間を記載","","実績を入力")),"-"))</f>
        <v/>
      </c>
      <c r="H17" s="10" t="str">
        <f>IF($B17="","",IF(OR('②-1職員名簿'!AE17="○",'②-1職員名簿'!AE17="●"),IF($E17="正規職員","正",IF($E17="契約上の就業時間を記載","","実績を入力")),"-"))</f>
        <v/>
      </c>
      <c r="I17" s="10" t="str">
        <f>IF($B17="","",IF(OR('②-1職員名簿'!AF17="○",'②-1職員名簿'!AF17="●"),IF($E17="正規職員","正",IF($E17="契約上の就業時間を記載","","実績を入力")),"-"))</f>
        <v/>
      </c>
      <c r="J17" s="10" t="str">
        <f>IF($B17="","",IF(OR('②-1職員名簿'!AG17="○",'②-1職員名簿'!AG17="●"),IF($E17="正規職員","正",IF($E17="契約上の就業時間を記載","","実績を入力")),"-"))</f>
        <v/>
      </c>
      <c r="K17" s="10" t="str">
        <f>IF($B17="","",IF(OR('②-1職員名簿'!AH17="○",'②-1職員名簿'!AH17="●"),IF($E17="正規職員","正",IF($E17="契約上の就業時間を記載","","実績を入力")),"-"))</f>
        <v/>
      </c>
      <c r="L17" s="10" t="str">
        <f>IF($B17="","",IF(OR('②-1職員名簿'!AI17="○",'②-1職員名簿'!AI17="●"),IF($E17="正規職員","正",IF($E17="契約上の就業時間を記載","","実績を入力")),"-"))</f>
        <v/>
      </c>
      <c r="M17" s="10" t="str">
        <f>IF($B17="","",IF(OR('②-1職員名簿'!AJ17="○",'②-1職員名簿'!AJ17="●"),IF($E17="正規職員","正",IF($E17="契約上の就業時間を記載","","実績を入力")),"-"))</f>
        <v/>
      </c>
      <c r="N17" s="10" t="str">
        <f>IF($B17="","",IF(OR('②-1職員名簿'!AK17="○",'②-1職員名簿'!AK17="●"),IF($E17="正規職員","正",IF($E17="契約上の就業時間を記載","","実績を入力")),"-"))</f>
        <v/>
      </c>
      <c r="O17" s="10" t="str">
        <f>IF($B17="","",IF(OR('②-1職員名簿'!AL17="○",'②-1職員名簿'!AL17="●"),IF($E17="正規職員","正",IF($E17="契約上の就業時間を記載","","実績を入力")),"-"))</f>
        <v/>
      </c>
      <c r="P17" s="10" t="str">
        <f>IF($B17="","",IF(OR('②-1職員名簿'!AM17="○",'②-1職員名簿'!AM17="●"),IF($E17="正規職員","正",IF($E17="契約上の就業時間を記載","","実績を入力")),"-"))</f>
        <v/>
      </c>
      <c r="Q17" s="10" t="str">
        <f>IF($B17="","",IF(OR('②-1職員名簿'!AN17="○",'②-1職員名簿'!AN17="●"),IF($E17="正規職員","正",IF($E17="契約上の就業時間を記載","","実績を入力")),"-"))</f>
        <v/>
      </c>
      <c r="R17" s="101" t="str">
        <f>IF($B17="","",IF(OR('②-1職員名簿'!AC17="○",'②-1職員名簿'!AC17="●"),IF($E17="正規職員","正",IF($E17="契約上の就業時間を記載","",IF($E17&gt;=F$5,"常",F17))),"-"))</f>
        <v/>
      </c>
      <c r="S17" s="101" t="str">
        <f>IF($B17="","",IF(OR('②-1職員名簿'!AD17="○",'②-1職員名簿'!AD17="●"),IF($E17="正規職員","正",IF($E17="契約上の就業時間を記載","",IF($E17&gt;=G$5,"常",G17))),"-"))</f>
        <v/>
      </c>
      <c r="T17" s="101" t="str">
        <f>IF($B17="","",IF(OR('②-1職員名簿'!AE17="○",'②-1職員名簿'!AE17="●"),IF($E17="正規職員","正",IF($E17="契約上の就業時間を記載","",IF($E17&gt;=H$5,"常",H17))),"-"))</f>
        <v/>
      </c>
      <c r="U17" s="101" t="str">
        <f>IF($B17="","",IF(OR('②-1職員名簿'!AF17="○",'②-1職員名簿'!AF17="●"),IF($E17="正規職員","正",IF($E17="契約上の就業時間を記載","",IF($E17&gt;=I$5,"常",I17))),"-"))</f>
        <v/>
      </c>
      <c r="V17" s="101" t="str">
        <f>IF($B17="","",IF(OR('②-1職員名簿'!AG17="○",'②-1職員名簿'!AG17="●"),IF($E17="正規職員","正",IF($E17="契約上の就業時間を記載","",IF($E17&gt;=J$5,"常",J17))),"-"))</f>
        <v/>
      </c>
      <c r="W17" s="101" t="str">
        <f>IF($B17="","",IF(OR('②-1職員名簿'!AH17="○",'②-1職員名簿'!AH17="●"),IF($E17="正規職員","正",IF($E17="契約上の就業時間を記載","",IF($E17&gt;=K$5,"常",K17))),"-"))</f>
        <v/>
      </c>
      <c r="X17" s="101" t="str">
        <f>IF($B17="","",IF(OR('②-1職員名簿'!AI17="○",'②-1職員名簿'!AI17="●"),IF($E17="正規職員","正",IF($E17="契約上の就業時間を記載","",IF($E17&gt;=L$5,"常",L17))),"-"))</f>
        <v/>
      </c>
      <c r="Y17" s="101" t="str">
        <f>IF($B17="","",IF(OR('②-1職員名簿'!AJ17="○",'②-1職員名簿'!AJ17="●"),IF($E17="正規職員","正",IF($E17="契約上の就業時間を記載","",IF($E17&gt;=M$5,"常",M17))),"-"))</f>
        <v/>
      </c>
      <c r="Z17" s="101" t="str">
        <f>IF($B17="","",IF(OR('②-1職員名簿'!AK17="○",'②-1職員名簿'!AK17="●"),IF($E17="正規職員","正",IF($E17="契約上の就業時間を記載","",IF($E17&gt;=N$5,"常",N17))),"-"))</f>
        <v/>
      </c>
      <c r="AA17" s="101" t="str">
        <f>IF($B17="","",IF(OR('②-1職員名簿'!AL17="○",'②-1職員名簿'!AL17="●"),IF($E17="正規職員","正",IF($E17="契約上の就業時間を記載","",IF($E17&gt;=O$5,"常",O17))),"-"))</f>
        <v/>
      </c>
      <c r="AB17" s="101" t="str">
        <f>IF($B17="","",IF(OR('②-1職員名簿'!AM17="○",'②-1職員名簿'!AM17="●"),IF($E17="正規職員","正",IF($E17="契約上の就業時間を記載","",IF($E17&gt;=P$5,"常",P17))),"-"))</f>
        <v/>
      </c>
      <c r="AC17" s="101" t="str">
        <f>IF($B17="","",IF(OR('②-1職員名簿'!AN17="○",'②-1職員名簿'!AN17="●"),IF($E17="正規職員","正",IF($E17="契約上の就業時間を記載","",IF($E17&gt;=Q$5,"常",Q17))),"-"))</f>
        <v/>
      </c>
      <c r="AE17" s="98" t="str">
        <f>IF('②-1職員名簿'!W17="","",'②-1職員名簿'!W17)</f>
        <v/>
      </c>
      <c r="AG17" s="131">
        <v>2</v>
      </c>
      <c r="AH17" s="103">
        <f>P5</f>
        <v>0</v>
      </c>
      <c r="AJ17" s="18" t="str">
        <f t="shared" ref="AJ17:AJ71" si="12">IF(AND($C17="常勤的非常勤",$E17&lt;F$5),"×",IF(AND($C17="短時間非常勤",F$5&lt;=$E17),"×",IF(AND($C17="嘱託常勤",$E17&lt;F$5),"×",IF(AND($C17="嘱託非常勤",F$5&lt;=$E17),"×","○"))))</f>
        <v>○</v>
      </c>
      <c r="AK17" s="18" t="str">
        <f t="shared" si="10"/>
        <v>○</v>
      </c>
      <c r="AL17" s="18" t="str">
        <f t="shared" si="10"/>
        <v>○</v>
      </c>
      <c r="AM17" s="18" t="str">
        <f t="shared" si="10"/>
        <v>○</v>
      </c>
      <c r="AN17" s="18" t="str">
        <f t="shared" si="10"/>
        <v>○</v>
      </c>
      <c r="AO17" s="18" t="str">
        <f t="shared" si="10"/>
        <v>○</v>
      </c>
      <c r="AP17" s="18" t="str">
        <f t="shared" si="10"/>
        <v>○</v>
      </c>
      <c r="AQ17" s="18" t="str">
        <f t="shared" si="10"/>
        <v>○</v>
      </c>
      <c r="AR17" s="18" t="str">
        <f t="shared" si="10"/>
        <v>○</v>
      </c>
      <c r="AS17" s="18" t="str">
        <f t="shared" si="10"/>
        <v>○</v>
      </c>
      <c r="AT17" s="18" t="str">
        <f t="shared" si="10"/>
        <v>○</v>
      </c>
      <c r="AU17" s="18" t="str">
        <f t="shared" si="10"/>
        <v>○</v>
      </c>
    </row>
    <row r="18" spans="1:47" s="103" customFormat="1" ht="23.15" customHeight="1">
      <c r="A18" s="99">
        <v>12</v>
      </c>
      <c r="B18" s="98" t="str">
        <f>IF('②-1職員名簿'!E18="","",'②-1職員名簿'!Y18)</f>
        <v/>
      </c>
      <c r="C18" s="101" t="str">
        <f>'②-1職員名簿'!BE18</f>
        <v/>
      </c>
      <c r="D18" s="132" t="str">
        <f t="shared" si="9"/>
        <v/>
      </c>
      <c r="E18" s="19" t="str">
        <f>IF($B18="","",IF(AND('②-1職員名簿'!C18="正",'②-1職員名簿'!D18="常"),"正規職員","契約上の就業時間を記載"))</f>
        <v/>
      </c>
      <c r="F18" s="10" t="str">
        <f>IF($B18="","",IF(OR('②-1職員名簿'!AC18="○",'②-1職員名簿'!AC18="●"),IF($E18="正規職員","正",IF($E18="契約上の就業時間を記載","","見込を入力")),"-"))</f>
        <v/>
      </c>
      <c r="G18" s="10" t="str">
        <f>IF($B18="","",IF(OR('②-1職員名簿'!AD18="○",'②-1職員名簿'!AD18="●"),IF($E18="正規職員","正",IF($E18="契約上の就業時間を記載","","実績を入力")),"-"))</f>
        <v/>
      </c>
      <c r="H18" s="10" t="str">
        <f>IF($B18="","",IF(OR('②-1職員名簿'!AE18="○",'②-1職員名簿'!AE18="●"),IF($E18="正規職員","正",IF($E18="契約上の就業時間を記載","","実績を入力")),"-"))</f>
        <v/>
      </c>
      <c r="I18" s="10" t="str">
        <f>IF($B18="","",IF(OR('②-1職員名簿'!AF18="○",'②-1職員名簿'!AF18="●"),IF($E18="正規職員","正",IF($E18="契約上の就業時間を記載","","実績を入力")),"-"))</f>
        <v/>
      </c>
      <c r="J18" s="10" t="str">
        <f>IF($B18="","",IF(OR('②-1職員名簿'!AG18="○",'②-1職員名簿'!AG18="●"),IF($E18="正規職員","正",IF($E18="契約上の就業時間を記載","","実績を入力")),"-"))</f>
        <v/>
      </c>
      <c r="K18" s="10" t="str">
        <f>IF($B18="","",IF(OR('②-1職員名簿'!AH18="○",'②-1職員名簿'!AH18="●"),IF($E18="正規職員","正",IF($E18="契約上の就業時間を記載","","実績を入力")),"-"))</f>
        <v/>
      </c>
      <c r="L18" s="10" t="str">
        <f>IF($B18="","",IF(OR('②-1職員名簿'!AI18="○",'②-1職員名簿'!AI18="●"),IF($E18="正規職員","正",IF($E18="契約上の就業時間を記載","","実績を入力")),"-"))</f>
        <v/>
      </c>
      <c r="M18" s="10" t="str">
        <f>IF($B18="","",IF(OR('②-1職員名簿'!AJ18="○",'②-1職員名簿'!AJ18="●"),IF($E18="正規職員","正",IF($E18="契約上の就業時間を記載","","実績を入力")),"-"))</f>
        <v/>
      </c>
      <c r="N18" s="10" t="str">
        <f>IF($B18="","",IF(OR('②-1職員名簿'!AK18="○",'②-1職員名簿'!AK18="●"),IF($E18="正規職員","正",IF($E18="契約上の就業時間を記載","","実績を入力")),"-"))</f>
        <v/>
      </c>
      <c r="O18" s="10" t="str">
        <f>IF($B18="","",IF(OR('②-1職員名簿'!AL18="○",'②-1職員名簿'!AL18="●"),IF($E18="正規職員","正",IF($E18="契約上の就業時間を記載","","実績を入力")),"-"))</f>
        <v/>
      </c>
      <c r="P18" s="10" t="str">
        <f>IF($B18="","",IF(OR('②-1職員名簿'!AM18="○",'②-1職員名簿'!AM18="●"),IF($E18="正規職員","正",IF($E18="契約上の就業時間を記載","","実績を入力")),"-"))</f>
        <v/>
      </c>
      <c r="Q18" s="10" t="str">
        <f>IF($B18="","",IF(OR('②-1職員名簿'!AN18="○",'②-1職員名簿'!AN18="●"),IF($E18="正規職員","正",IF($E18="契約上の就業時間を記載","","実績を入力")),"-"))</f>
        <v/>
      </c>
      <c r="R18" s="101" t="str">
        <f>IF($B18="","",IF(OR('②-1職員名簿'!AC18="○",'②-1職員名簿'!AC18="●"),IF($E18="正規職員","正",IF($E18="契約上の就業時間を記載","",IF($E18&gt;=F$5,"常",F18))),"-"))</f>
        <v/>
      </c>
      <c r="S18" s="101" t="str">
        <f>IF($B18="","",IF(OR('②-1職員名簿'!AD18="○",'②-1職員名簿'!AD18="●"),IF($E18="正規職員","正",IF($E18="契約上の就業時間を記載","",IF($E18&gt;=G$5,"常",G18))),"-"))</f>
        <v/>
      </c>
      <c r="T18" s="101" t="str">
        <f>IF($B18="","",IF(OR('②-1職員名簿'!AE18="○",'②-1職員名簿'!AE18="●"),IF($E18="正規職員","正",IF($E18="契約上の就業時間を記載","",IF($E18&gt;=H$5,"常",H18))),"-"))</f>
        <v/>
      </c>
      <c r="U18" s="101" t="str">
        <f>IF($B18="","",IF(OR('②-1職員名簿'!AF18="○",'②-1職員名簿'!AF18="●"),IF($E18="正規職員","正",IF($E18="契約上の就業時間を記載","",IF($E18&gt;=I$5,"常",I18))),"-"))</f>
        <v/>
      </c>
      <c r="V18" s="101" t="str">
        <f>IF($B18="","",IF(OR('②-1職員名簿'!AG18="○",'②-1職員名簿'!AG18="●"),IF($E18="正規職員","正",IF($E18="契約上の就業時間を記載","",IF($E18&gt;=J$5,"常",J18))),"-"))</f>
        <v/>
      </c>
      <c r="W18" s="101" t="str">
        <f>IF($B18="","",IF(OR('②-1職員名簿'!AH18="○",'②-1職員名簿'!AH18="●"),IF($E18="正規職員","正",IF($E18="契約上の就業時間を記載","",IF($E18&gt;=K$5,"常",K18))),"-"))</f>
        <v/>
      </c>
      <c r="X18" s="101" t="str">
        <f>IF($B18="","",IF(OR('②-1職員名簿'!AI18="○",'②-1職員名簿'!AI18="●"),IF($E18="正規職員","正",IF($E18="契約上の就業時間を記載","",IF($E18&gt;=L$5,"常",L18))),"-"))</f>
        <v/>
      </c>
      <c r="Y18" s="101" t="str">
        <f>IF($B18="","",IF(OR('②-1職員名簿'!AJ18="○",'②-1職員名簿'!AJ18="●"),IF($E18="正規職員","正",IF($E18="契約上の就業時間を記載","",IF($E18&gt;=M$5,"常",M18))),"-"))</f>
        <v/>
      </c>
      <c r="Z18" s="101" t="str">
        <f>IF($B18="","",IF(OR('②-1職員名簿'!AK18="○",'②-1職員名簿'!AK18="●"),IF($E18="正規職員","正",IF($E18="契約上の就業時間を記載","",IF($E18&gt;=N$5,"常",N18))),"-"))</f>
        <v/>
      </c>
      <c r="AA18" s="101" t="str">
        <f>IF($B18="","",IF(OR('②-1職員名簿'!AL18="○",'②-1職員名簿'!AL18="●"),IF($E18="正規職員","正",IF($E18="契約上の就業時間を記載","",IF($E18&gt;=O$5,"常",O18))),"-"))</f>
        <v/>
      </c>
      <c r="AB18" s="101" t="str">
        <f>IF($B18="","",IF(OR('②-1職員名簿'!AM18="○",'②-1職員名簿'!AM18="●"),IF($E18="正規職員","正",IF($E18="契約上の就業時間を記載","",IF($E18&gt;=P$5,"常",P18))),"-"))</f>
        <v/>
      </c>
      <c r="AC18" s="101" t="str">
        <f>IF($B18="","",IF(OR('②-1職員名簿'!AN18="○",'②-1職員名簿'!AN18="●"),IF($E18="正規職員","正",IF($E18="契約上の就業時間を記載","",IF($E18&gt;=Q$5,"常",Q18))),"-"))</f>
        <v/>
      </c>
      <c r="AE18" s="98" t="str">
        <f>IF('②-1職員名簿'!W18="","",'②-1職員名簿'!W18)</f>
        <v/>
      </c>
      <c r="AG18" s="131">
        <v>3</v>
      </c>
      <c r="AH18" s="103">
        <f>Q5</f>
        <v>0</v>
      </c>
      <c r="AJ18" s="18" t="str">
        <f t="shared" si="12"/>
        <v>○</v>
      </c>
      <c r="AK18" s="18" t="str">
        <f t="shared" si="10"/>
        <v>○</v>
      </c>
      <c r="AL18" s="18" t="str">
        <f t="shared" si="10"/>
        <v>○</v>
      </c>
      <c r="AM18" s="18" t="str">
        <f t="shared" si="10"/>
        <v>○</v>
      </c>
      <c r="AN18" s="18" t="str">
        <f t="shared" si="10"/>
        <v>○</v>
      </c>
      <c r="AO18" s="18" t="str">
        <f t="shared" si="10"/>
        <v>○</v>
      </c>
      <c r="AP18" s="18" t="str">
        <f t="shared" si="10"/>
        <v>○</v>
      </c>
      <c r="AQ18" s="18" t="str">
        <f t="shared" si="10"/>
        <v>○</v>
      </c>
      <c r="AR18" s="18" t="str">
        <f t="shared" si="10"/>
        <v>○</v>
      </c>
      <c r="AS18" s="18" t="str">
        <f t="shared" si="10"/>
        <v>○</v>
      </c>
      <c r="AT18" s="18" t="str">
        <f t="shared" si="10"/>
        <v>○</v>
      </c>
      <c r="AU18" s="18" t="str">
        <f t="shared" si="10"/>
        <v>○</v>
      </c>
    </row>
    <row r="19" spans="1:47" s="103" customFormat="1" ht="23.15" customHeight="1">
      <c r="A19" s="99">
        <v>13</v>
      </c>
      <c r="B19" s="98" t="str">
        <f>IF('②-1職員名簿'!E19="","",'②-1職員名簿'!Y19)</f>
        <v/>
      </c>
      <c r="C19" s="101" t="str">
        <f>'②-1職員名簿'!BE19</f>
        <v/>
      </c>
      <c r="D19" s="132" t="str">
        <f t="shared" si="9"/>
        <v/>
      </c>
      <c r="E19" s="19" t="str">
        <f>IF($B19="","",IF(AND('②-1職員名簿'!C19="正",'②-1職員名簿'!D19="常"),"正規職員","契約上の就業時間を記載"))</f>
        <v/>
      </c>
      <c r="F19" s="10" t="str">
        <f>IF($B19="","",IF(OR('②-1職員名簿'!AC19="○",'②-1職員名簿'!AC19="●"),IF($E19="正規職員","正",IF($E19="契約上の就業時間を記載","","見込を入力")),"-"))</f>
        <v/>
      </c>
      <c r="G19" s="10" t="str">
        <f>IF($B19="","",IF(OR('②-1職員名簿'!AD19="○",'②-1職員名簿'!AD19="●"),IF($E19="正規職員","正",IF($E19="契約上の就業時間を記載","","実績を入力")),"-"))</f>
        <v/>
      </c>
      <c r="H19" s="10" t="str">
        <f>IF($B19="","",IF(OR('②-1職員名簿'!AE19="○",'②-1職員名簿'!AE19="●"),IF($E19="正規職員","正",IF($E19="契約上の就業時間を記載","","実績を入力")),"-"))</f>
        <v/>
      </c>
      <c r="I19" s="10" t="str">
        <f>IF($B19="","",IF(OR('②-1職員名簿'!AF19="○",'②-1職員名簿'!AF19="●"),IF($E19="正規職員","正",IF($E19="契約上の就業時間を記載","","実績を入力")),"-"))</f>
        <v/>
      </c>
      <c r="J19" s="10" t="str">
        <f>IF($B19="","",IF(OR('②-1職員名簿'!AG19="○",'②-1職員名簿'!AG19="●"),IF($E19="正規職員","正",IF($E19="契約上の就業時間を記載","","実績を入力")),"-"))</f>
        <v/>
      </c>
      <c r="K19" s="10" t="str">
        <f>IF($B19="","",IF(OR('②-1職員名簿'!AH19="○",'②-1職員名簿'!AH19="●"),IF($E19="正規職員","正",IF($E19="契約上の就業時間を記載","","実績を入力")),"-"))</f>
        <v/>
      </c>
      <c r="L19" s="10" t="str">
        <f>IF($B19="","",IF(OR('②-1職員名簿'!AI19="○",'②-1職員名簿'!AI19="●"),IF($E19="正規職員","正",IF($E19="契約上の就業時間を記載","","実績を入力")),"-"))</f>
        <v/>
      </c>
      <c r="M19" s="10" t="str">
        <f>IF($B19="","",IF(OR('②-1職員名簿'!AJ19="○",'②-1職員名簿'!AJ19="●"),IF($E19="正規職員","正",IF($E19="契約上の就業時間を記載","","実績を入力")),"-"))</f>
        <v/>
      </c>
      <c r="N19" s="10" t="str">
        <f>IF($B19="","",IF(OR('②-1職員名簿'!AK19="○",'②-1職員名簿'!AK19="●"),IF($E19="正規職員","正",IF($E19="契約上の就業時間を記載","","実績を入力")),"-"))</f>
        <v/>
      </c>
      <c r="O19" s="10" t="str">
        <f>IF($B19="","",IF(OR('②-1職員名簿'!AL19="○",'②-1職員名簿'!AL19="●"),IF($E19="正規職員","正",IF($E19="契約上の就業時間を記載","","実績を入力")),"-"))</f>
        <v/>
      </c>
      <c r="P19" s="10" t="str">
        <f>IF($B19="","",IF(OR('②-1職員名簿'!AM19="○",'②-1職員名簿'!AM19="●"),IF($E19="正規職員","正",IF($E19="契約上の就業時間を記載","","実績を入力")),"-"))</f>
        <v/>
      </c>
      <c r="Q19" s="10" t="str">
        <f>IF($B19="","",IF(OR('②-1職員名簿'!AN19="○",'②-1職員名簿'!AN19="●"),IF($E19="正規職員","正",IF($E19="契約上の就業時間を記載","","実績を入力")),"-"))</f>
        <v/>
      </c>
      <c r="R19" s="101" t="str">
        <f>IF($B19="","",IF(OR('②-1職員名簿'!AC19="○",'②-1職員名簿'!AC19="●"),IF($E19="正規職員","正",IF($E19="契約上の就業時間を記載","",IF($E19&gt;=F$5,"常",F19))),"-"))</f>
        <v/>
      </c>
      <c r="S19" s="101" t="str">
        <f>IF($B19="","",IF(OR('②-1職員名簿'!AD19="○",'②-1職員名簿'!AD19="●"),IF($E19="正規職員","正",IF($E19="契約上の就業時間を記載","",IF($E19&gt;=G$5,"常",G19))),"-"))</f>
        <v/>
      </c>
      <c r="T19" s="101" t="str">
        <f>IF($B19="","",IF(OR('②-1職員名簿'!AE19="○",'②-1職員名簿'!AE19="●"),IF($E19="正規職員","正",IF($E19="契約上の就業時間を記載","",IF($E19&gt;=H$5,"常",H19))),"-"))</f>
        <v/>
      </c>
      <c r="U19" s="101" t="str">
        <f>IF($B19="","",IF(OR('②-1職員名簿'!AF19="○",'②-1職員名簿'!AF19="●"),IF($E19="正規職員","正",IF($E19="契約上の就業時間を記載","",IF($E19&gt;=I$5,"常",I19))),"-"))</f>
        <v/>
      </c>
      <c r="V19" s="101" t="str">
        <f>IF($B19="","",IF(OR('②-1職員名簿'!AG19="○",'②-1職員名簿'!AG19="●"),IF($E19="正規職員","正",IF($E19="契約上の就業時間を記載","",IF($E19&gt;=J$5,"常",J19))),"-"))</f>
        <v/>
      </c>
      <c r="W19" s="101" t="str">
        <f>IF($B19="","",IF(OR('②-1職員名簿'!AH19="○",'②-1職員名簿'!AH19="●"),IF($E19="正規職員","正",IF($E19="契約上の就業時間を記載","",IF($E19&gt;=K$5,"常",K19))),"-"))</f>
        <v/>
      </c>
      <c r="X19" s="101" t="str">
        <f>IF($B19="","",IF(OR('②-1職員名簿'!AI19="○",'②-1職員名簿'!AI19="●"),IF($E19="正規職員","正",IF($E19="契約上の就業時間を記載","",IF($E19&gt;=L$5,"常",L19))),"-"))</f>
        <v/>
      </c>
      <c r="Y19" s="101" t="str">
        <f>IF($B19="","",IF(OR('②-1職員名簿'!AJ19="○",'②-1職員名簿'!AJ19="●"),IF($E19="正規職員","正",IF($E19="契約上の就業時間を記載","",IF($E19&gt;=M$5,"常",M19))),"-"))</f>
        <v/>
      </c>
      <c r="Z19" s="101" t="str">
        <f>IF($B19="","",IF(OR('②-1職員名簿'!AK19="○",'②-1職員名簿'!AK19="●"),IF($E19="正規職員","正",IF($E19="契約上の就業時間を記載","",IF($E19&gt;=N$5,"常",N19))),"-"))</f>
        <v/>
      </c>
      <c r="AA19" s="101" t="str">
        <f>IF($B19="","",IF(OR('②-1職員名簿'!AL19="○",'②-1職員名簿'!AL19="●"),IF($E19="正規職員","正",IF($E19="契約上の就業時間を記載","",IF($E19&gt;=O$5,"常",O19))),"-"))</f>
        <v/>
      </c>
      <c r="AB19" s="101" t="str">
        <f>IF($B19="","",IF(OR('②-1職員名簿'!AM19="○",'②-1職員名簿'!AM19="●"),IF($E19="正規職員","正",IF($E19="契約上の就業時間を記載","",IF($E19&gt;=P$5,"常",P19))),"-"))</f>
        <v/>
      </c>
      <c r="AC19" s="101" t="str">
        <f>IF($B19="","",IF(OR('②-1職員名簿'!AN19="○",'②-1職員名簿'!AN19="●"),IF($E19="正規職員","正",IF($E19="契約上の就業時間を記載","",IF($E19&gt;=Q$5,"常",Q19))),"-"))</f>
        <v/>
      </c>
      <c r="AE19" s="98" t="str">
        <f>IF('②-1職員名簿'!W19="","",'②-1職員名簿'!W19)</f>
        <v/>
      </c>
      <c r="AJ19" s="18" t="str">
        <f t="shared" si="12"/>
        <v>○</v>
      </c>
      <c r="AK19" s="18" t="str">
        <f t="shared" si="10"/>
        <v>○</v>
      </c>
      <c r="AL19" s="18" t="str">
        <f t="shared" si="10"/>
        <v>○</v>
      </c>
      <c r="AM19" s="18" t="str">
        <f t="shared" si="10"/>
        <v>○</v>
      </c>
      <c r="AN19" s="18" t="str">
        <f t="shared" si="10"/>
        <v>○</v>
      </c>
      <c r="AO19" s="18" t="str">
        <f t="shared" si="10"/>
        <v>○</v>
      </c>
      <c r="AP19" s="18" t="str">
        <f t="shared" si="10"/>
        <v>○</v>
      </c>
      <c r="AQ19" s="18" t="str">
        <f t="shared" si="10"/>
        <v>○</v>
      </c>
      <c r="AR19" s="18" t="str">
        <f t="shared" si="10"/>
        <v>○</v>
      </c>
      <c r="AS19" s="18" t="str">
        <f t="shared" si="10"/>
        <v>○</v>
      </c>
      <c r="AT19" s="18" t="str">
        <f t="shared" si="10"/>
        <v>○</v>
      </c>
      <c r="AU19" s="18" t="str">
        <f t="shared" si="10"/>
        <v>○</v>
      </c>
    </row>
    <row r="20" spans="1:47" s="103" customFormat="1" ht="23.15" customHeight="1">
      <c r="A20" s="99">
        <v>14</v>
      </c>
      <c r="B20" s="98" t="str">
        <f>IF('②-1職員名簿'!E20="","",'②-1職員名簿'!Y20)</f>
        <v/>
      </c>
      <c r="C20" s="101" t="str">
        <f>'②-1職員名簿'!BE20</f>
        <v/>
      </c>
      <c r="D20" s="132" t="str">
        <f t="shared" si="9"/>
        <v/>
      </c>
      <c r="E20" s="19" t="str">
        <f>IF($B20="","",IF(AND('②-1職員名簿'!C20="正",'②-1職員名簿'!D20="常"),"正規職員","契約上の就業時間を記載"))</f>
        <v/>
      </c>
      <c r="F20" s="10" t="str">
        <f>IF($B20="","",IF(OR('②-1職員名簿'!AC20="○",'②-1職員名簿'!AC20="●"),IF($E20="正規職員","正",IF($E20="契約上の就業時間を記載","","見込を入力")),"-"))</f>
        <v/>
      </c>
      <c r="G20" s="10" t="str">
        <f>IF($B20="","",IF(OR('②-1職員名簿'!AD20="○",'②-1職員名簿'!AD20="●"),IF($E20="正規職員","正",IF($E20="契約上の就業時間を記載","","実績を入力")),"-"))</f>
        <v/>
      </c>
      <c r="H20" s="10" t="str">
        <f>IF($B20="","",IF(OR('②-1職員名簿'!AE20="○",'②-1職員名簿'!AE20="●"),IF($E20="正規職員","正",IF($E20="契約上の就業時間を記載","","実績を入力")),"-"))</f>
        <v/>
      </c>
      <c r="I20" s="10" t="str">
        <f>IF($B20="","",IF(OR('②-1職員名簿'!AF20="○",'②-1職員名簿'!AF20="●"),IF($E20="正規職員","正",IF($E20="契約上の就業時間を記載","","実績を入力")),"-"))</f>
        <v/>
      </c>
      <c r="J20" s="10" t="str">
        <f>IF($B20="","",IF(OR('②-1職員名簿'!AG20="○",'②-1職員名簿'!AG20="●"),IF($E20="正規職員","正",IF($E20="契約上の就業時間を記載","","実績を入力")),"-"))</f>
        <v/>
      </c>
      <c r="K20" s="10" t="str">
        <f>IF($B20="","",IF(OR('②-1職員名簿'!AH20="○",'②-1職員名簿'!AH20="●"),IF($E20="正規職員","正",IF($E20="契約上の就業時間を記載","","実績を入力")),"-"))</f>
        <v/>
      </c>
      <c r="L20" s="10" t="str">
        <f>IF($B20="","",IF(OR('②-1職員名簿'!AI20="○",'②-1職員名簿'!AI20="●"),IF($E20="正規職員","正",IF($E20="契約上の就業時間を記載","","実績を入力")),"-"))</f>
        <v/>
      </c>
      <c r="M20" s="10" t="str">
        <f>IF($B20="","",IF(OR('②-1職員名簿'!AJ20="○",'②-1職員名簿'!AJ20="●"),IF($E20="正規職員","正",IF($E20="契約上の就業時間を記載","","実績を入力")),"-"))</f>
        <v/>
      </c>
      <c r="N20" s="10" t="str">
        <f>IF($B20="","",IF(OR('②-1職員名簿'!AK20="○",'②-1職員名簿'!AK20="●"),IF($E20="正規職員","正",IF($E20="契約上の就業時間を記載","","実績を入力")),"-"))</f>
        <v/>
      </c>
      <c r="O20" s="10" t="str">
        <f>IF($B20="","",IF(OR('②-1職員名簿'!AL20="○",'②-1職員名簿'!AL20="●"),IF($E20="正規職員","正",IF($E20="契約上の就業時間を記載","","実績を入力")),"-"))</f>
        <v/>
      </c>
      <c r="P20" s="10" t="str">
        <f>IF($B20="","",IF(OR('②-1職員名簿'!AM20="○",'②-1職員名簿'!AM20="●"),IF($E20="正規職員","正",IF($E20="契約上の就業時間を記載","","実績を入力")),"-"))</f>
        <v/>
      </c>
      <c r="Q20" s="10" t="str">
        <f>IF($B20="","",IF(OR('②-1職員名簿'!AN20="○",'②-1職員名簿'!AN20="●"),IF($E20="正規職員","正",IF($E20="契約上の就業時間を記載","","実績を入力")),"-"))</f>
        <v/>
      </c>
      <c r="R20" s="101" t="str">
        <f>IF($B20="","",IF(OR('②-1職員名簿'!AC20="○",'②-1職員名簿'!AC20="●"),IF($E20="正規職員","正",IF($E20="契約上の就業時間を記載","",IF($E20&gt;=F$5,"常",F20))),"-"))</f>
        <v/>
      </c>
      <c r="S20" s="101" t="str">
        <f>IF($B20="","",IF(OR('②-1職員名簿'!AD20="○",'②-1職員名簿'!AD20="●"),IF($E20="正規職員","正",IF($E20="契約上の就業時間を記載","",IF($E20&gt;=G$5,"常",G20))),"-"))</f>
        <v/>
      </c>
      <c r="T20" s="101" t="str">
        <f>IF($B20="","",IF(OR('②-1職員名簿'!AE20="○",'②-1職員名簿'!AE20="●"),IF($E20="正規職員","正",IF($E20="契約上の就業時間を記載","",IF($E20&gt;=H$5,"常",H20))),"-"))</f>
        <v/>
      </c>
      <c r="U20" s="101" t="str">
        <f>IF($B20="","",IF(OR('②-1職員名簿'!AF20="○",'②-1職員名簿'!AF20="●"),IF($E20="正規職員","正",IF($E20="契約上の就業時間を記載","",IF($E20&gt;=I$5,"常",I20))),"-"))</f>
        <v/>
      </c>
      <c r="V20" s="101" t="str">
        <f>IF($B20="","",IF(OR('②-1職員名簿'!AG20="○",'②-1職員名簿'!AG20="●"),IF($E20="正規職員","正",IF($E20="契約上の就業時間を記載","",IF($E20&gt;=J$5,"常",J20))),"-"))</f>
        <v/>
      </c>
      <c r="W20" s="101" t="str">
        <f>IF($B20="","",IF(OR('②-1職員名簿'!AH20="○",'②-1職員名簿'!AH20="●"),IF($E20="正規職員","正",IF($E20="契約上の就業時間を記載","",IF($E20&gt;=K$5,"常",K20))),"-"))</f>
        <v/>
      </c>
      <c r="X20" s="101" t="str">
        <f>IF($B20="","",IF(OR('②-1職員名簿'!AI20="○",'②-1職員名簿'!AI20="●"),IF($E20="正規職員","正",IF($E20="契約上の就業時間を記載","",IF($E20&gt;=L$5,"常",L20))),"-"))</f>
        <v/>
      </c>
      <c r="Y20" s="101" t="str">
        <f>IF($B20="","",IF(OR('②-1職員名簿'!AJ20="○",'②-1職員名簿'!AJ20="●"),IF($E20="正規職員","正",IF($E20="契約上の就業時間を記載","",IF($E20&gt;=M$5,"常",M20))),"-"))</f>
        <v/>
      </c>
      <c r="Z20" s="101" t="str">
        <f>IF($B20="","",IF(OR('②-1職員名簿'!AK20="○",'②-1職員名簿'!AK20="●"),IF($E20="正規職員","正",IF($E20="契約上の就業時間を記載","",IF($E20&gt;=N$5,"常",N20))),"-"))</f>
        <v/>
      </c>
      <c r="AA20" s="101" t="str">
        <f>IF($B20="","",IF(OR('②-1職員名簿'!AL20="○",'②-1職員名簿'!AL20="●"),IF($E20="正規職員","正",IF($E20="契約上の就業時間を記載","",IF($E20&gt;=O$5,"常",O20))),"-"))</f>
        <v/>
      </c>
      <c r="AB20" s="101" t="str">
        <f>IF($B20="","",IF(OR('②-1職員名簿'!AM20="○",'②-1職員名簿'!AM20="●"),IF($E20="正規職員","正",IF($E20="契約上の就業時間を記載","",IF($E20&gt;=P$5,"常",P20))),"-"))</f>
        <v/>
      </c>
      <c r="AC20" s="101" t="str">
        <f>IF($B20="","",IF(OR('②-1職員名簿'!AN20="○",'②-1職員名簿'!AN20="●"),IF($E20="正規職員","正",IF($E20="契約上の就業時間を記載","",IF($E20&gt;=Q$5,"常",Q20))),"-"))</f>
        <v/>
      </c>
      <c r="AE20" s="98" t="str">
        <f>IF('②-1職員名簿'!W20="","",'②-1職員名簿'!W20)</f>
        <v/>
      </c>
      <c r="AJ20" s="18" t="str">
        <f t="shared" si="12"/>
        <v>○</v>
      </c>
      <c r="AK20" s="18" t="str">
        <f t="shared" si="10"/>
        <v>○</v>
      </c>
      <c r="AL20" s="18" t="str">
        <f t="shared" si="10"/>
        <v>○</v>
      </c>
      <c r="AM20" s="18" t="str">
        <f t="shared" si="10"/>
        <v>○</v>
      </c>
      <c r="AN20" s="18" t="str">
        <f t="shared" si="10"/>
        <v>○</v>
      </c>
      <c r="AO20" s="18" t="str">
        <f t="shared" si="10"/>
        <v>○</v>
      </c>
      <c r="AP20" s="18" t="str">
        <f t="shared" si="10"/>
        <v>○</v>
      </c>
      <c r="AQ20" s="18" t="str">
        <f t="shared" si="10"/>
        <v>○</v>
      </c>
      <c r="AR20" s="18" t="str">
        <f t="shared" si="10"/>
        <v>○</v>
      </c>
      <c r="AS20" s="18" t="str">
        <f t="shared" si="10"/>
        <v>○</v>
      </c>
      <c r="AT20" s="18" t="str">
        <f t="shared" si="10"/>
        <v>○</v>
      </c>
      <c r="AU20" s="18" t="str">
        <f t="shared" si="10"/>
        <v>○</v>
      </c>
    </row>
    <row r="21" spans="1:47" s="103" customFormat="1" ht="23.15" customHeight="1">
      <c r="A21" s="99">
        <v>15</v>
      </c>
      <c r="B21" s="98" t="str">
        <f>IF('②-1職員名簿'!E21="","",'②-1職員名簿'!Y21)</f>
        <v/>
      </c>
      <c r="C21" s="101" t="str">
        <f>'②-1職員名簿'!BE21</f>
        <v/>
      </c>
      <c r="D21" s="132" t="str">
        <f t="shared" si="9"/>
        <v/>
      </c>
      <c r="E21" s="19" t="str">
        <f>IF($B21="","",IF(AND('②-1職員名簿'!C21="正",'②-1職員名簿'!D21="常"),"正規職員","契約上の就業時間を記載"))</f>
        <v/>
      </c>
      <c r="F21" s="10" t="str">
        <f>IF($B21="","",IF(OR('②-1職員名簿'!AC21="○",'②-1職員名簿'!AC21="●"),IF($E21="正規職員","正",IF($E21="契約上の就業時間を記載","","見込を入力")),"-"))</f>
        <v/>
      </c>
      <c r="G21" s="10" t="str">
        <f>IF($B21="","",IF(OR('②-1職員名簿'!AD21="○",'②-1職員名簿'!AD21="●"),IF($E21="正規職員","正",IF($E21="契約上の就業時間を記載","","実績を入力")),"-"))</f>
        <v/>
      </c>
      <c r="H21" s="10" t="str">
        <f>IF($B21="","",IF(OR('②-1職員名簿'!AE21="○",'②-1職員名簿'!AE21="●"),IF($E21="正規職員","正",IF($E21="契約上の就業時間を記載","","実績を入力")),"-"))</f>
        <v/>
      </c>
      <c r="I21" s="10" t="str">
        <f>IF($B21="","",IF(OR('②-1職員名簿'!AF21="○",'②-1職員名簿'!AF21="●"),IF($E21="正規職員","正",IF($E21="契約上の就業時間を記載","","実績を入力")),"-"))</f>
        <v/>
      </c>
      <c r="J21" s="10" t="str">
        <f>IF($B21="","",IF(OR('②-1職員名簿'!AG21="○",'②-1職員名簿'!AG21="●"),IF($E21="正規職員","正",IF($E21="契約上の就業時間を記載","","実績を入力")),"-"))</f>
        <v/>
      </c>
      <c r="K21" s="10" t="str">
        <f>IF($B21="","",IF(OR('②-1職員名簿'!AH21="○",'②-1職員名簿'!AH21="●"),IF($E21="正規職員","正",IF($E21="契約上の就業時間を記載","","実績を入力")),"-"))</f>
        <v/>
      </c>
      <c r="L21" s="10" t="str">
        <f>IF($B21="","",IF(OR('②-1職員名簿'!AI21="○",'②-1職員名簿'!AI21="●"),IF($E21="正規職員","正",IF($E21="契約上の就業時間を記載","","実績を入力")),"-"))</f>
        <v/>
      </c>
      <c r="M21" s="10" t="str">
        <f>IF($B21="","",IF(OR('②-1職員名簿'!AJ21="○",'②-1職員名簿'!AJ21="●"),IF($E21="正規職員","正",IF($E21="契約上の就業時間を記載","","実績を入力")),"-"))</f>
        <v/>
      </c>
      <c r="N21" s="10" t="str">
        <f>IF($B21="","",IF(OR('②-1職員名簿'!AK21="○",'②-1職員名簿'!AK21="●"),IF($E21="正規職員","正",IF($E21="契約上の就業時間を記載","","実績を入力")),"-"))</f>
        <v/>
      </c>
      <c r="O21" s="10" t="str">
        <f>IF($B21="","",IF(OR('②-1職員名簿'!AL21="○",'②-1職員名簿'!AL21="●"),IF($E21="正規職員","正",IF($E21="契約上の就業時間を記載","","実績を入力")),"-"))</f>
        <v/>
      </c>
      <c r="P21" s="10" t="str">
        <f>IF($B21="","",IF(OR('②-1職員名簿'!AM21="○",'②-1職員名簿'!AM21="●"),IF($E21="正規職員","正",IF($E21="契約上の就業時間を記載","","実績を入力")),"-"))</f>
        <v/>
      </c>
      <c r="Q21" s="10" t="str">
        <f>IF($B21="","",IF(OR('②-1職員名簿'!AN21="○",'②-1職員名簿'!AN21="●"),IF($E21="正規職員","正",IF($E21="契約上の就業時間を記載","","実績を入力")),"-"))</f>
        <v/>
      </c>
      <c r="R21" s="101" t="str">
        <f>IF($B21="","",IF(OR('②-1職員名簿'!AC21="○",'②-1職員名簿'!AC21="●"),IF($E21="正規職員","正",IF($E21="契約上の就業時間を記載","",IF($E21&gt;=F$5,"常",F21))),"-"))</f>
        <v/>
      </c>
      <c r="S21" s="101" t="str">
        <f>IF($B21="","",IF(OR('②-1職員名簿'!AD21="○",'②-1職員名簿'!AD21="●"),IF($E21="正規職員","正",IF($E21="契約上の就業時間を記載","",IF($E21&gt;=G$5,"常",G21))),"-"))</f>
        <v/>
      </c>
      <c r="T21" s="101" t="str">
        <f>IF($B21="","",IF(OR('②-1職員名簿'!AE21="○",'②-1職員名簿'!AE21="●"),IF($E21="正規職員","正",IF($E21="契約上の就業時間を記載","",IF($E21&gt;=H$5,"常",H21))),"-"))</f>
        <v/>
      </c>
      <c r="U21" s="101" t="str">
        <f>IF($B21="","",IF(OR('②-1職員名簿'!AF21="○",'②-1職員名簿'!AF21="●"),IF($E21="正規職員","正",IF($E21="契約上の就業時間を記載","",IF($E21&gt;=I$5,"常",I21))),"-"))</f>
        <v/>
      </c>
      <c r="V21" s="101" t="str">
        <f>IF($B21="","",IF(OR('②-1職員名簿'!AG21="○",'②-1職員名簿'!AG21="●"),IF($E21="正規職員","正",IF($E21="契約上の就業時間を記載","",IF($E21&gt;=J$5,"常",J21))),"-"))</f>
        <v/>
      </c>
      <c r="W21" s="101" t="str">
        <f>IF($B21="","",IF(OR('②-1職員名簿'!AH21="○",'②-1職員名簿'!AH21="●"),IF($E21="正規職員","正",IF($E21="契約上の就業時間を記載","",IF($E21&gt;=K$5,"常",K21))),"-"))</f>
        <v/>
      </c>
      <c r="X21" s="101" t="str">
        <f>IF($B21="","",IF(OR('②-1職員名簿'!AI21="○",'②-1職員名簿'!AI21="●"),IF($E21="正規職員","正",IF($E21="契約上の就業時間を記載","",IF($E21&gt;=L$5,"常",L21))),"-"))</f>
        <v/>
      </c>
      <c r="Y21" s="101" t="str">
        <f>IF($B21="","",IF(OR('②-1職員名簿'!AJ21="○",'②-1職員名簿'!AJ21="●"),IF($E21="正規職員","正",IF($E21="契約上の就業時間を記載","",IF($E21&gt;=M$5,"常",M21))),"-"))</f>
        <v/>
      </c>
      <c r="Z21" s="101" t="str">
        <f>IF($B21="","",IF(OR('②-1職員名簿'!AK21="○",'②-1職員名簿'!AK21="●"),IF($E21="正規職員","正",IF($E21="契約上の就業時間を記載","",IF($E21&gt;=N$5,"常",N21))),"-"))</f>
        <v/>
      </c>
      <c r="AA21" s="101" t="str">
        <f>IF($B21="","",IF(OR('②-1職員名簿'!AL21="○",'②-1職員名簿'!AL21="●"),IF($E21="正規職員","正",IF($E21="契約上の就業時間を記載","",IF($E21&gt;=O$5,"常",O21))),"-"))</f>
        <v/>
      </c>
      <c r="AB21" s="101" t="str">
        <f>IF($B21="","",IF(OR('②-1職員名簿'!AM21="○",'②-1職員名簿'!AM21="●"),IF($E21="正規職員","正",IF($E21="契約上の就業時間を記載","",IF($E21&gt;=P$5,"常",P21))),"-"))</f>
        <v/>
      </c>
      <c r="AC21" s="101" t="str">
        <f>IF($B21="","",IF(OR('②-1職員名簿'!AN21="○",'②-1職員名簿'!AN21="●"),IF($E21="正規職員","正",IF($E21="契約上の就業時間を記載","",IF($E21&gt;=Q$5,"常",Q21))),"-"))</f>
        <v/>
      </c>
      <c r="AE21" s="98" t="str">
        <f>IF('②-1職員名簿'!W21="","",'②-1職員名簿'!W21)</f>
        <v/>
      </c>
      <c r="AJ21" s="18" t="str">
        <f t="shared" si="12"/>
        <v>○</v>
      </c>
      <c r="AK21" s="18" t="str">
        <f t="shared" si="10"/>
        <v>○</v>
      </c>
      <c r="AL21" s="18" t="str">
        <f t="shared" si="10"/>
        <v>○</v>
      </c>
      <c r="AM21" s="18" t="str">
        <f t="shared" si="10"/>
        <v>○</v>
      </c>
      <c r="AN21" s="18" t="str">
        <f t="shared" si="10"/>
        <v>○</v>
      </c>
      <c r="AO21" s="18" t="str">
        <f t="shared" si="10"/>
        <v>○</v>
      </c>
      <c r="AP21" s="18" t="str">
        <f t="shared" si="10"/>
        <v>○</v>
      </c>
      <c r="AQ21" s="18" t="str">
        <f t="shared" si="10"/>
        <v>○</v>
      </c>
      <c r="AR21" s="18" t="str">
        <f t="shared" si="10"/>
        <v>○</v>
      </c>
      <c r="AS21" s="18" t="str">
        <f t="shared" si="10"/>
        <v>○</v>
      </c>
      <c r="AT21" s="18" t="str">
        <f t="shared" si="10"/>
        <v>○</v>
      </c>
      <c r="AU21" s="18" t="str">
        <f t="shared" si="10"/>
        <v>○</v>
      </c>
    </row>
    <row r="22" spans="1:47" s="103" customFormat="1" ht="23.15" customHeight="1">
      <c r="A22" s="99">
        <v>16</v>
      </c>
      <c r="B22" s="98" t="str">
        <f>IF('②-1職員名簿'!E22="","",'②-1職員名簿'!Y22)</f>
        <v/>
      </c>
      <c r="C22" s="101" t="str">
        <f>'②-1職員名簿'!BE22</f>
        <v/>
      </c>
      <c r="D22" s="132" t="str">
        <f t="shared" si="9"/>
        <v/>
      </c>
      <c r="E22" s="19" t="str">
        <f>IF($B22="","",IF(AND('②-1職員名簿'!C22="正",'②-1職員名簿'!D22="常"),"正規職員","契約上の就業時間を記載"))</f>
        <v/>
      </c>
      <c r="F22" s="10" t="str">
        <f>IF($B22="","",IF(OR('②-1職員名簿'!AC22="○",'②-1職員名簿'!AC22="●"),IF($E22="正規職員","正",IF($E22="契約上の就業時間を記載","","見込を入力")),"-"))</f>
        <v/>
      </c>
      <c r="G22" s="10" t="str">
        <f>IF($B22="","",IF(OR('②-1職員名簿'!AD22="○",'②-1職員名簿'!AD22="●"),IF($E22="正規職員","正",IF($E22="契約上の就業時間を記載","","実績を入力")),"-"))</f>
        <v/>
      </c>
      <c r="H22" s="10" t="str">
        <f>IF($B22="","",IF(OR('②-1職員名簿'!AE22="○",'②-1職員名簿'!AE22="●"),IF($E22="正規職員","正",IF($E22="契約上の就業時間を記載","","実績を入力")),"-"))</f>
        <v/>
      </c>
      <c r="I22" s="10" t="str">
        <f>IF($B22="","",IF(OR('②-1職員名簿'!AF22="○",'②-1職員名簿'!AF22="●"),IF($E22="正規職員","正",IF($E22="契約上の就業時間を記載","","実績を入力")),"-"))</f>
        <v/>
      </c>
      <c r="J22" s="10" t="str">
        <f>IF($B22="","",IF(OR('②-1職員名簿'!AG22="○",'②-1職員名簿'!AG22="●"),IF($E22="正規職員","正",IF($E22="契約上の就業時間を記載","","実績を入力")),"-"))</f>
        <v/>
      </c>
      <c r="K22" s="10" t="str">
        <f>IF($B22="","",IF(OR('②-1職員名簿'!AH22="○",'②-1職員名簿'!AH22="●"),IF($E22="正規職員","正",IF($E22="契約上の就業時間を記載","","実績を入力")),"-"))</f>
        <v/>
      </c>
      <c r="L22" s="10" t="str">
        <f>IF($B22="","",IF(OR('②-1職員名簿'!AI22="○",'②-1職員名簿'!AI22="●"),IF($E22="正規職員","正",IF($E22="契約上の就業時間を記載","","実績を入力")),"-"))</f>
        <v/>
      </c>
      <c r="M22" s="10" t="str">
        <f>IF($B22="","",IF(OR('②-1職員名簿'!AJ22="○",'②-1職員名簿'!AJ22="●"),IF($E22="正規職員","正",IF($E22="契約上の就業時間を記載","","実績を入力")),"-"))</f>
        <v/>
      </c>
      <c r="N22" s="10" t="str">
        <f>IF($B22="","",IF(OR('②-1職員名簿'!AK22="○",'②-1職員名簿'!AK22="●"),IF($E22="正規職員","正",IF($E22="契約上の就業時間を記載","","実績を入力")),"-"))</f>
        <v/>
      </c>
      <c r="O22" s="10" t="str">
        <f>IF($B22="","",IF(OR('②-1職員名簿'!AL22="○",'②-1職員名簿'!AL22="●"),IF($E22="正規職員","正",IF($E22="契約上の就業時間を記載","","実績を入力")),"-"))</f>
        <v/>
      </c>
      <c r="P22" s="10" t="str">
        <f>IF($B22="","",IF(OR('②-1職員名簿'!AM22="○",'②-1職員名簿'!AM22="●"),IF($E22="正規職員","正",IF($E22="契約上の就業時間を記載","","実績を入力")),"-"))</f>
        <v/>
      </c>
      <c r="Q22" s="10" t="str">
        <f>IF($B22="","",IF(OR('②-1職員名簿'!AN22="○",'②-1職員名簿'!AN22="●"),IF($E22="正規職員","正",IF($E22="契約上の就業時間を記載","","実績を入力")),"-"))</f>
        <v/>
      </c>
      <c r="R22" s="101" t="str">
        <f>IF($B22="","",IF(OR('②-1職員名簿'!AC22="○",'②-1職員名簿'!AC22="●"),IF($E22="正規職員","正",IF($E22="契約上の就業時間を記載","",IF($E22&gt;=F$5,"常",F22))),"-"))</f>
        <v/>
      </c>
      <c r="S22" s="101" t="str">
        <f>IF($B22="","",IF(OR('②-1職員名簿'!AD22="○",'②-1職員名簿'!AD22="●"),IF($E22="正規職員","正",IF($E22="契約上の就業時間を記載","",IF($E22&gt;=G$5,"常",G22))),"-"))</f>
        <v/>
      </c>
      <c r="T22" s="101" t="str">
        <f>IF($B22="","",IF(OR('②-1職員名簿'!AE22="○",'②-1職員名簿'!AE22="●"),IF($E22="正規職員","正",IF($E22="契約上の就業時間を記載","",IF($E22&gt;=H$5,"常",H22))),"-"))</f>
        <v/>
      </c>
      <c r="U22" s="101" t="str">
        <f>IF($B22="","",IF(OR('②-1職員名簿'!AF22="○",'②-1職員名簿'!AF22="●"),IF($E22="正規職員","正",IF($E22="契約上の就業時間を記載","",IF($E22&gt;=I$5,"常",I22))),"-"))</f>
        <v/>
      </c>
      <c r="V22" s="101" t="str">
        <f>IF($B22="","",IF(OR('②-1職員名簿'!AG22="○",'②-1職員名簿'!AG22="●"),IF($E22="正規職員","正",IF($E22="契約上の就業時間を記載","",IF($E22&gt;=J$5,"常",J22))),"-"))</f>
        <v/>
      </c>
      <c r="W22" s="101" t="str">
        <f>IF($B22="","",IF(OR('②-1職員名簿'!AH22="○",'②-1職員名簿'!AH22="●"),IF($E22="正規職員","正",IF($E22="契約上の就業時間を記載","",IF($E22&gt;=K$5,"常",K22))),"-"))</f>
        <v/>
      </c>
      <c r="X22" s="101" t="str">
        <f>IF($B22="","",IF(OR('②-1職員名簿'!AI22="○",'②-1職員名簿'!AI22="●"),IF($E22="正規職員","正",IF($E22="契約上の就業時間を記載","",IF($E22&gt;=L$5,"常",L22))),"-"))</f>
        <v/>
      </c>
      <c r="Y22" s="101" t="str">
        <f>IF($B22="","",IF(OR('②-1職員名簿'!AJ22="○",'②-1職員名簿'!AJ22="●"),IF($E22="正規職員","正",IF($E22="契約上の就業時間を記載","",IF($E22&gt;=M$5,"常",M22))),"-"))</f>
        <v/>
      </c>
      <c r="Z22" s="101" t="str">
        <f>IF($B22="","",IF(OR('②-1職員名簿'!AK22="○",'②-1職員名簿'!AK22="●"),IF($E22="正規職員","正",IF($E22="契約上の就業時間を記載","",IF($E22&gt;=N$5,"常",N22))),"-"))</f>
        <v/>
      </c>
      <c r="AA22" s="101" t="str">
        <f>IF($B22="","",IF(OR('②-1職員名簿'!AL22="○",'②-1職員名簿'!AL22="●"),IF($E22="正規職員","正",IF($E22="契約上の就業時間を記載","",IF($E22&gt;=O$5,"常",O22))),"-"))</f>
        <v/>
      </c>
      <c r="AB22" s="101" t="str">
        <f>IF($B22="","",IF(OR('②-1職員名簿'!AM22="○",'②-1職員名簿'!AM22="●"),IF($E22="正規職員","正",IF($E22="契約上の就業時間を記載","",IF($E22&gt;=P$5,"常",P22))),"-"))</f>
        <v/>
      </c>
      <c r="AC22" s="101" t="str">
        <f>IF($B22="","",IF(OR('②-1職員名簿'!AN22="○",'②-1職員名簿'!AN22="●"),IF($E22="正規職員","正",IF($E22="契約上の就業時間を記載","",IF($E22&gt;=Q$5,"常",Q22))),"-"))</f>
        <v/>
      </c>
      <c r="AE22" s="98" t="str">
        <f>IF('②-1職員名簿'!W22="","",'②-1職員名簿'!W22)</f>
        <v/>
      </c>
      <c r="AJ22" s="18" t="str">
        <f t="shared" si="12"/>
        <v>○</v>
      </c>
      <c r="AK22" s="18" t="str">
        <f t="shared" si="10"/>
        <v>○</v>
      </c>
      <c r="AL22" s="18" t="str">
        <f t="shared" si="10"/>
        <v>○</v>
      </c>
      <c r="AM22" s="18" t="str">
        <f t="shared" si="10"/>
        <v>○</v>
      </c>
      <c r="AN22" s="18" t="str">
        <f t="shared" si="10"/>
        <v>○</v>
      </c>
      <c r="AO22" s="18" t="str">
        <f t="shared" si="10"/>
        <v>○</v>
      </c>
      <c r="AP22" s="18" t="str">
        <f t="shared" si="10"/>
        <v>○</v>
      </c>
      <c r="AQ22" s="18" t="str">
        <f t="shared" si="10"/>
        <v>○</v>
      </c>
      <c r="AR22" s="18" t="str">
        <f t="shared" si="10"/>
        <v>○</v>
      </c>
      <c r="AS22" s="18" t="str">
        <f t="shared" si="10"/>
        <v>○</v>
      </c>
      <c r="AT22" s="18" t="str">
        <f t="shared" si="10"/>
        <v>○</v>
      </c>
      <c r="AU22" s="18" t="str">
        <f t="shared" si="10"/>
        <v>○</v>
      </c>
    </row>
    <row r="23" spans="1:47" s="103" customFormat="1" ht="23.15" customHeight="1">
      <c r="A23" s="99">
        <v>17</v>
      </c>
      <c r="B23" s="98" t="str">
        <f>IF('②-1職員名簿'!E23="","",'②-1職員名簿'!Y23)</f>
        <v/>
      </c>
      <c r="C23" s="101" t="str">
        <f>'②-1職員名簿'!BE23</f>
        <v/>
      </c>
      <c r="D23" s="132" t="str">
        <f t="shared" si="9"/>
        <v/>
      </c>
      <c r="E23" s="19" t="str">
        <f>IF($B23="","",IF(AND('②-1職員名簿'!C23="正",'②-1職員名簿'!D23="常"),"正規職員","契約上の就業時間を記載"))</f>
        <v/>
      </c>
      <c r="F23" s="10" t="str">
        <f>IF($B23="","",IF(OR('②-1職員名簿'!AC23="○",'②-1職員名簿'!AC23="●"),IF($E23="正規職員","正",IF($E23="契約上の就業時間を記載","","見込を入力")),"-"))</f>
        <v/>
      </c>
      <c r="G23" s="10" t="str">
        <f>IF($B23="","",IF(OR('②-1職員名簿'!AD23="○",'②-1職員名簿'!AD23="●"),IF($E23="正規職員","正",IF($E23="契約上の就業時間を記載","","実績を入力")),"-"))</f>
        <v/>
      </c>
      <c r="H23" s="10" t="str">
        <f>IF($B23="","",IF(OR('②-1職員名簿'!AE23="○",'②-1職員名簿'!AE23="●"),IF($E23="正規職員","正",IF($E23="契約上の就業時間を記載","","実績を入力")),"-"))</f>
        <v/>
      </c>
      <c r="I23" s="10" t="str">
        <f>IF($B23="","",IF(OR('②-1職員名簿'!AF23="○",'②-1職員名簿'!AF23="●"),IF($E23="正規職員","正",IF($E23="契約上の就業時間を記載","","実績を入力")),"-"))</f>
        <v/>
      </c>
      <c r="J23" s="10" t="str">
        <f>IF($B23="","",IF(OR('②-1職員名簿'!AG23="○",'②-1職員名簿'!AG23="●"),IF($E23="正規職員","正",IF($E23="契約上の就業時間を記載","","実績を入力")),"-"))</f>
        <v/>
      </c>
      <c r="K23" s="10" t="str">
        <f>IF($B23="","",IF(OR('②-1職員名簿'!AH23="○",'②-1職員名簿'!AH23="●"),IF($E23="正規職員","正",IF($E23="契約上の就業時間を記載","","実績を入力")),"-"))</f>
        <v/>
      </c>
      <c r="L23" s="10" t="str">
        <f>IF($B23="","",IF(OR('②-1職員名簿'!AI23="○",'②-1職員名簿'!AI23="●"),IF($E23="正規職員","正",IF($E23="契約上の就業時間を記載","","実績を入力")),"-"))</f>
        <v/>
      </c>
      <c r="M23" s="10" t="str">
        <f>IF($B23="","",IF(OR('②-1職員名簿'!AJ23="○",'②-1職員名簿'!AJ23="●"),IF($E23="正規職員","正",IF($E23="契約上の就業時間を記載","","実績を入力")),"-"))</f>
        <v/>
      </c>
      <c r="N23" s="10" t="str">
        <f>IF($B23="","",IF(OR('②-1職員名簿'!AK23="○",'②-1職員名簿'!AK23="●"),IF($E23="正規職員","正",IF($E23="契約上の就業時間を記載","","実績を入力")),"-"))</f>
        <v/>
      </c>
      <c r="O23" s="10" t="str">
        <f>IF($B23="","",IF(OR('②-1職員名簿'!AL23="○",'②-1職員名簿'!AL23="●"),IF($E23="正規職員","正",IF($E23="契約上の就業時間を記載","","実績を入力")),"-"))</f>
        <v/>
      </c>
      <c r="P23" s="10" t="str">
        <f>IF($B23="","",IF(OR('②-1職員名簿'!AM23="○",'②-1職員名簿'!AM23="●"),IF($E23="正規職員","正",IF($E23="契約上の就業時間を記載","","実績を入力")),"-"))</f>
        <v/>
      </c>
      <c r="Q23" s="10" t="str">
        <f>IF($B23="","",IF(OR('②-1職員名簿'!AN23="○",'②-1職員名簿'!AN23="●"),IF($E23="正規職員","正",IF($E23="契約上の就業時間を記載","","実績を入力")),"-"))</f>
        <v/>
      </c>
      <c r="R23" s="101" t="str">
        <f>IF($B23="","",IF(OR('②-1職員名簿'!AC23="○",'②-1職員名簿'!AC23="●"),IF($E23="正規職員","正",IF($E23="契約上の就業時間を記載","",IF($E23&gt;=F$5,"常",F23))),"-"))</f>
        <v/>
      </c>
      <c r="S23" s="101" t="str">
        <f>IF($B23="","",IF(OR('②-1職員名簿'!AD23="○",'②-1職員名簿'!AD23="●"),IF($E23="正規職員","正",IF($E23="契約上の就業時間を記載","",IF($E23&gt;=G$5,"常",G23))),"-"))</f>
        <v/>
      </c>
      <c r="T23" s="101" t="str">
        <f>IF($B23="","",IF(OR('②-1職員名簿'!AE23="○",'②-1職員名簿'!AE23="●"),IF($E23="正規職員","正",IF($E23="契約上の就業時間を記載","",IF($E23&gt;=H$5,"常",H23))),"-"))</f>
        <v/>
      </c>
      <c r="U23" s="101" t="str">
        <f>IF($B23="","",IF(OR('②-1職員名簿'!AF23="○",'②-1職員名簿'!AF23="●"),IF($E23="正規職員","正",IF($E23="契約上の就業時間を記載","",IF($E23&gt;=I$5,"常",I23))),"-"))</f>
        <v/>
      </c>
      <c r="V23" s="101" t="str">
        <f>IF($B23="","",IF(OR('②-1職員名簿'!AG23="○",'②-1職員名簿'!AG23="●"),IF($E23="正規職員","正",IF($E23="契約上の就業時間を記載","",IF($E23&gt;=J$5,"常",J23))),"-"))</f>
        <v/>
      </c>
      <c r="W23" s="101" t="str">
        <f>IF($B23="","",IF(OR('②-1職員名簿'!AH23="○",'②-1職員名簿'!AH23="●"),IF($E23="正規職員","正",IF($E23="契約上の就業時間を記載","",IF($E23&gt;=K$5,"常",K23))),"-"))</f>
        <v/>
      </c>
      <c r="X23" s="101" t="str">
        <f>IF($B23="","",IF(OR('②-1職員名簿'!AI23="○",'②-1職員名簿'!AI23="●"),IF($E23="正規職員","正",IF($E23="契約上の就業時間を記載","",IF($E23&gt;=L$5,"常",L23))),"-"))</f>
        <v/>
      </c>
      <c r="Y23" s="101" t="str">
        <f>IF($B23="","",IF(OR('②-1職員名簿'!AJ23="○",'②-1職員名簿'!AJ23="●"),IF($E23="正規職員","正",IF($E23="契約上の就業時間を記載","",IF($E23&gt;=M$5,"常",M23))),"-"))</f>
        <v/>
      </c>
      <c r="Z23" s="101" t="str">
        <f>IF($B23="","",IF(OR('②-1職員名簿'!AK23="○",'②-1職員名簿'!AK23="●"),IF($E23="正規職員","正",IF($E23="契約上の就業時間を記載","",IF($E23&gt;=N$5,"常",N23))),"-"))</f>
        <v/>
      </c>
      <c r="AA23" s="101" t="str">
        <f>IF($B23="","",IF(OR('②-1職員名簿'!AL23="○",'②-1職員名簿'!AL23="●"),IF($E23="正規職員","正",IF($E23="契約上の就業時間を記載","",IF($E23&gt;=O$5,"常",O23))),"-"))</f>
        <v/>
      </c>
      <c r="AB23" s="101" t="str">
        <f>IF($B23="","",IF(OR('②-1職員名簿'!AM23="○",'②-1職員名簿'!AM23="●"),IF($E23="正規職員","正",IF($E23="契約上の就業時間を記載","",IF($E23&gt;=P$5,"常",P23))),"-"))</f>
        <v/>
      </c>
      <c r="AC23" s="101" t="str">
        <f>IF($B23="","",IF(OR('②-1職員名簿'!AN23="○",'②-1職員名簿'!AN23="●"),IF($E23="正規職員","正",IF($E23="契約上の就業時間を記載","",IF($E23&gt;=Q$5,"常",Q23))),"-"))</f>
        <v/>
      </c>
      <c r="AE23" s="98" t="str">
        <f>IF('②-1職員名簿'!W23="","",'②-1職員名簿'!W23)</f>
        <v/>
      </c>
      <c r="AJ23" s="18" t="str">
        <f t="shared" si="12"/>
        <v>○</v>
      </c>
      <c r="AK23" s="18" t="str">
        <f t="shared" ref="AK23:AK86" si="13">IF(AND($C23="常勤的非常勤",$E23&lt;G$5),"×",IF(AND($C23="短時間非常勤",G$5&lt;=$E23),"×",IF(AND($C23="嘱託常勤",$E23&lt;G$5),"×",IF(AND($C23="嘱託非常勤",G$5&lt;=$E23),"×","○"))))</f>
        <v>○</v>
      </c>
      <c r="AL23" s="18" t="str">
        <f t="shared" ref="AL23:AL86" si="14">IF(AND($C23="常勤的非常勤",$E23&lt;H$5),"×",IF(AND($C23="短時間非常勤",H$5&lt;=$E23),"×",IF(AND($C23="嘱託常勤",$E23&lt;H$5),"×",IF(AND($C23="嘱託非常勤",H$5&lt;=$E23),"×","○"))))</f>
        <v>○</v>
      </c>
      <c r="AM23" s="18" t="str">
        <f t="shared" ref="AM23:AM86" si="15">IF(AND($C23="常勤的非常勤",$E23&lt;I$5),"×",IF(AND($C23="短時間非常勤",I$5&lt;=$E23),"×",IF(AND($C23="嘱託常勤",$E23&lt;I$5),"×",IF(AND($C23="嘱託非常勤",I$5&lt;=$E23),"×","○"))))</f>
        <v>○</v>
      </c>
      <c r="AN23" s="18" t="str">
        <f t="shared" ref="AN23:AN86" si="16">IF(AND($C23="常勤的非常勤",$E23&lt;J$5),"×",IF(AND($C23="短時間非常勤",J$5&lt;=$E23),"×",IF(AND($C23="嘱託常勤",$E23&lt;J$5),"×",IF(AND($C23="嘱託非常勤",J$5&lt;=$E23),"×","○"))))</f>
        <v>○</v>
      </c>
      <c r="AO23" s="18" t="str">
        <f t="shared" ref="AO23:AO86" si="17">IF(AND($C23="常勤的非常勤",$E23&lt;K$5),"×",IF(AND($C23="短時間非常勤",K$5&lt;=$E23),"×",IF(AND($C23="嘱託常勤",$E23&lt;K$5),"×",IF(AND($C23="嘱託非常勤",K$5&lt;=$E23),"×","○"))))</f>
        <v>○</v>
      </c>
      <c r="AP23" s="18" t="str">
        <f t="shared" ref="AP23:AP86" si="18">IF(AND($C23="常勤的非常勤",$E23&lt;L$5),"×",IF(AND($C23="短時間非常勤",L$5&lt;=$E23),"×",IF(AND($C23="嘱託常勤",$E23&lt;L$5),"×",IF(AND($C23="嘱託非常勤",L$5&lt;=$E23),"×","○"))))</f>
        <v>○</v>
      </c>
      <c r="AQ23" s="18" t="str">
        <f t="shared" ref="AQ23:AQ86" si="19">IF(AND($C23="常勤的非常勤",$E23&lt;M$5),"×",IF(AND($C23="短時間非常勤",M$5&lt;=$E23),"×",IF(AND($C23="嘱託常勤",$E23&lt;M$5),"×",IF(AND($C23="嘱託非常勤",M$5&lt;=$E23),"×","○"))))</f>
        <v>○</v>
      </c>
      <c r="AR23" s="18" t="str">
        <f t="shared" ref="AR23:AR86" si="20">IF(AND($C23="常勤的非常勤",$E23&lt;N$5),"×",IF(AND($C23="短時間非常勤",N$5&lt;=$E23),"×",IF(AND($C23="嘱託常勤",$E23&lt;N$5),"×",IF(AND($C23="嘱託非常勤",N$5&lt;=$E23),"×","○"))))</f>
        <v>○</v>
      </c>
      <c r="AS23" s="18" t="str">
        <f t="shared" ref="AS23:AS86" si="21">IF(AND($C23="常勤的非常勤",$E23&lt;O$5),"×",IF(AND($C23="短時間非常勤",O$5&lt;=$E23),"×",IF(AND($C23="嘱託常勤",$E23&lt;O$5),"×",IF(AND($C23="嘱託非常勤",O$5&lt;=$E23),"×","○"))))</f>
        <v>○</v>
      </c>
      <c r="AT23" s="18" t="str">
        <f t="shared" ref="AT23:AT86" si="22">IF(AND($C23="常勤的非常勤",$E23&lt;P$5),"×",IF(AND($C23="短時間非常勤",P$5&lt;=$E23),"×",IF(AND($C23="嘱託常勤",$E23&lt;P$5),"×",IF(AND($C23="嘱託非常勤",P$5&lt;=$E23),"×","○"))))</f>
        <v>○</v>
      </c>
      <c r="AU23" s="18" t="str">
        <f t="shared" ref="AU23:AU86" si="23">IF(AND($C23="常勤的非常勤",$E23&lt;Q$5),"×",IF(AND($C23="短時間非常勤",Q$5&lt;=$E23),"×",IF(AND($C23="嘱託常勤",$E23&lt;Q$5),"×",IF(AND($C23="嘱託非常勤",Q$5&lt;=$E23),"×","○"))))</f>
        <v>○</v>
      </c>
    </row>
    <row r="24" spans="1:47" s="103" customFormat="1" ht="23.15" customHeight="1">
      <c r="A24" s="99">
        <v>18</v>
      </c>
      <c r="B24" s="98" t="str">
        <f>IF('②-1職員名簿'!E24="","",'②-1職員名簿'!Y24)</f>
        <v/>
      </c>
      <c r="C24" s="101" t="str">
        <f>'②-1職員名簿'!BE24</f>
        <v/>
      </c>
      <c r="D24" s="132" t="str">
        <f t="shared" si="9"/>
        <v/>
      </c>
      <c r="E24" s="19" t="str">
        <f>IF($B24="","",IF(AND('②-1職員名簿'!C24="正",'②-1職員名簿'!D24="常"),"正規職員","契約上の就業時間を記載"))</f>
        <v/>
      </c>
      <c r="F24" s="10" t="str">
        <f>IF($B24="","",IF(OR('②-1職員名簿'!AC24="○",'②-1職員名簿'!AC24="●"),IF($E24="正規職員","正",IF($E24="契約上の就業時間を記載","","見込を入力")),"-"))</f>
        <v/>
      </c>
      <c r="G24" s="10" t="str">
        <f>IF($B24="","",IF(OR('②-1職員名簿'!AD24="○",'②-1職員名簿'!AD24="●"),IF($E24="正規職員","正",IF($E24="契約上の就業時間を記載","","実績を入力")),"-"))</f>
        <v/>
      </c>
      <c r="H24" s="10" t="str">
        <f>IF($B24="","",IF(OR('②-1職員名簿'!AE24="○",'②-1職員名簿'!AE24="●"),IF($E24="正規職員","正",IF($E24="契約上の就業時間を記載","","実績を入力")),"-"))</f>
        <v/>
      </c>
      <c r="I24" s="10" t="str">
        <f>IF($B24="","",IF(OR('②-1職員名簿'!AF24="○",'②-1職員名簿'!AF24="●"),IF($E24="正規職員","正",IF($E24="契約上の就業時間を記載","","実績を入力")),"-"))</f>
        <v/>
      </c>
      <c r="J24" s="10" t="str">
        <f>IF($B24="","",IF(OR('②-1職員名簿'!AG24="○",'②-1職員名簿'!AG24="●"),IF($E24="正規職員","正",IF($E24="契約上の就業時間を記載","","実績を入力")),"-"))</f>
        <v/>
      </c>
      <c r="K24" s="10" t="str">
        <f>IF($B24="","",IF(OR('②-1職員名簿'!AH24="○",'②-1職員名簿'!AH24="●"),IF($E24="正規職員","正",IF($E24="契約上の就業時間を記載","","実績を入力")),"-"))</f>
        <v/>
      </c>
      <c r="L24" s="10" t="str">
        <f>IF($B24="","",IF(OR('②-1職員名簿'!AI24="○",'②-1職員名簿'!AI24="●"),IF($E24="正規職員","正",IF($E24="契約上の就業時間を記載","","実績を入力")),"-"))</f>
        <v/>
      </c>
      <c r="M24" s="10" t="str">
        <f>IF($B24="","",IF(OR('②-1職員名簿'!AJ24="○",'②-1職員名簿'!AJ24="●"),IF($E24="正規職員","正",IF($E24="契約上の就業時間を記載","","実績を入力")),"-"))</f>
        <v/>
      </c>
      <c r="N24" s="10" t="str">
        <f>IF($B24="","",IF(OR('②-1職員名簿'!AK24="○",'②-1職員名簿'!AK24="●"),IF($E24="正規職員","正",IF($E24="契約上の就業時間を記載","","実績を入力")),"-"))</f>
        <v/>
      </c>
      <c r="O24" s="10" t="str">
        <f>IF($B24="","",IF(OR('②-1職員名簿'!AL24="○",'②-1職員名簿'!AL24="●"),IF($E24="正規職員","正",IF($E24="契約上の就業時間を記載","","実績を入力")),"-"))</f>
        <v/>
      </c>
      <c r="P24" s="10" t="str">
        <f>IF($B24="","",IF(OR('②-1職員名簿'!AM24="○",'②-1職員名簿'!AM24="●"),IF($E24="正規職員","正",IF($E24="契約上の就業時間を記載","","実績を入力")),"-"))</f>
        <v/>
      </c>
      <c r="Q24" s="10" t="str">
        <f>IF($B24="","",IF(OR('②-1職員名簿'!AN24="○",'②-1職員名簿'!AN24="●"),IF($E24="正規職員","正",IF($E24="契約上の就業時間を記載","","実績を入力")),"-"))</f>
        <v/>
      </c>
      <c r="R24" s="101" t="str">
        <f>IF($B24="","",IF(OR('②-1職員名簿'!AC24="○",'②-1職員名簿'!AC24="●"),IF($E24="正規職員","正",IF($E24="契約上の就業時間を記載","",IF($E24&gt;=F$5,"常",F24))),"-"))</f>
        <v/>
      </c>
      <c r="S24" s="101" t="str">
        <f>IF($B24="","",IF(OR('②-1職員名簿'!AD24="○",'②-1職員名簿'!AD24="●"),IF($E24="正規職員","正",IF($E24="契約上の就業時間を記載","",IF($E24&gt;=G$5,"常",G24))),"-"))</f>
        <v/>
      </c>
      <c r="T24" s="101" t="str">
        <f>IF($B24="","",IF(OR('②-1職員名簿'!AE24="○",'②-1職員名簿'!AE24="●"),IF($E24="正規職員","正",IF($E24="契約上の就業時間を記載","",IF($E24&gt;=H$5,"常",H24))),"-"))</f>
        <v/>
      </c>
      <c r="U24" s="101" t="str">
        <f>IF($B24="","",IF(OR('②-1職員名簿'!AF24="○",'②-1職員名簿'!AF24="●"),IF($E24="正規職員","正",IF($E24="契約上の就業時間を記載","",IF($E24&gt;=I$5,"常",I24))),"-"))</f>
        <v/>
      </c>
      <c r="V24" s="101" t="str">
        <f>IF($B24="","",IF(OR('②-1職員名簿'!AG24="○",'②-1職員名簿'!AG24="●"),IF($E24="正規職員","正",IF($E24="契約上の就業時間を記載","",IF($E24&gt;=J$5,"常",J24))),"-"))</f>
        <v/>
      </c>
      <c r="W24" s="101" t="str">
        <f>IF($B24="","",IF(OR('②-1職員名簿'!AH24="○",'②-1職員名簿'!AH24="●"),IF($E24="正規職員","正",IF($E24="契約上の就業時間を記載","",IF($E24&gt;=K$5,"常",K24))),"-"))</f>
        <v/>
      </c>
      <c r="X24" s="101" t="str">
        <f>IF($B24="","",IF(OR('②-1職員名簿'!AI24="○",'②-1職員名簿'!AI24="●"),IF($E24="正規職員","正",IF($E24="契約上の就業時間を記載","",IF($E24&gt;=L$5,"常",L24))),"-"))</f>
        <v/>
      </c>
      <c r="Y24" s="101" t="str">
        <f>IF($B24="","",IF(OR('②-1職員名簿'!AJ24="○",'②-1職員名簿'!AJ24="●"),IF($E24="正規職員","正",IF($E24="契約上の就業時間を記載","",IF($E24&gt;=M$5,"常",M24))),"-"))</f>
        <v/>
      </c>
      <c r="Z24" s="101" t="str">
        <f>IF($B24="","",IF(OR('②-1職員名簿'!AK24="○",'②-1職員名簿'!AK24="●"),IF($E24="正規職員","正",IF($E24="契約上の就業時間を記載","",IF($E24&gt;=N$5,"常",N24))),"-"))</f>
        <v/>
      </c>
      <c r="AA24" s="101" t="str">
        <f>IF($B24="","",IF(OR('②-1職員名簿'!AL24="○",'②-1職員名簿'!AL24="●"),IF($E24="正規職員","正",IF($E24="契約上の就業時間を記載","",IF($E24&gt;=O$5,"常",O24))),"-"))</f>
        <v/>
      </c>
      <c r="AB24" s="101" t="str">
        <f>IF($B24="","",IF(OR('②-1職員名簿'!AM24="○",'②-1職員名簿'!AM24="●"),IF($E24="正規職員","正",IF($E24="契約上の就業時間を記載","",IF($E24&gt;=P$5,"常",P24))),"-"))</f>
        <v/>
      </c>
      <c r="AC24" s="101" t="str">
        <f>IF($B24="","",IF(OR('②-1職員名簿'!AN24="○",'②-1職員名簿'!AN24="●"),IF($E24="正規職員","正",IF($E24="契約上の就業時間を記載","",IF($E24&gt;=Q$5,"常",Q24))),"-"))</f>
        <v/>
      </c>
      <c r="AE24" s="98" t="str">
        <f>IF('②-1職員名簿'!W24="","",'②-1職員名簿'!W24)</f>
        <v/>
      </c>
      <c r="AJ24" s="18" t="str">
        <f t="shared" si="12"/>
        <v>○</v>
      </c>
      <c r="AK24" s="18" t="str">
        <f t="shared" si="13"/>
        <v>○</v>
      </c>
      <c r="AL24" s="18" t="str">
        <f t="shared" si="14"/>
        <v>○</v>
      </c>
      <c r="AM24" s="18" t="str">
        <f t="shared" si="15"/>
        <v>○</v>
      </c>
      <c r="AN24" s="18" t="str">
        <f t="shared" si="16"/>
        <v>○</v>
      </c>
      <c r="AO24" s="18" t="str">
        <f t="shared" si="17"/>
        <v>○</v>
      </c>
      <c r="AP24" s="18" t="str">
        <f t="shared" si="18"/>
        <v>○</v>
      </c>
      <c r="AQ24" s="18" t="str">
        <f t="shared" si="19"/>
        <v>○</v>
      </c>
      <c r="AR24" s="18" t="str">
        <f t="shared" si="20"/>
        <v>○</v>
      </c>
      <c r="AS24" s="18" t="str">
        <f t="shared" si="21"/>
        <v>○</v>
      </c>
      <c r="AT24" s="18" t="str">
        <f t="shared" si="22"/>
        <v>○</v>
      </c>
      <c r="AU24" s="18" t="str">
        <f t="shared" si="23"/>
        <v>○</v>
      </c>
    </row>
    <row r="25" spans="1:47" s="103" customFormat="1" ht="23.15" customHeight="1">
      <c r="A25" s="99">
        <v>19</v>
      </c>
      <c r="B25" s="98" t="str">
        <f>IF('②-1職員名簿'!E25="","",'②-1職員名簿'!Y25)</f>
        <v/>
      </c>
      <c r="C25" s="101" t="str">
        <f>'②-1職員名簿'!BE25</f>
        <v/>
      </c>
      <c r="D25" s="132" t="str">
        <f t="shared" si="9"/>
        <v/>
      </c>
      <c r="E25" s="19" t="str">
        <f>IF($B25="","",IF(AND('②-1職員名簿'!C25="正",'②-1職員名簿'!D25="常"),"正規職員","契約上の就業時間を記載"))</f>
        <v/>
      </c>
      <c r="F25" s="10" t="str">
        <f>IF($B25="","",IF(OR('②-1職員名簿'!AC25="○",'②-1職員名簿'!AC25="●"),IF($E25="正規職員","正",IF($E25="契約上の就業時間を記載","","見込を入力")),"-"))</f>
        <v/>
      </c>
      <c r="G25" s="10" t="str">
        <f>IF($B25="","",IF(OR('②-1職員名簿'!AD25="○",'②-1職員名簿'!AD25="●"),IF($E25="正規職員","正",IF($E25="契約上の就業時間を記載","","実績を入力")),"-"))</f>
        <v/>
      </c>
      <c r="H25" s="10" t="str">
        <f>IF($B25="","",IF(OR('②-1職員名簿'!AE25="○",'②-1職員名簿'!AE25="●"),IF($E25="正規職員","正",IF($E25="契約上の就業時間を記載","","実績を入力")),"-"))</f>
        <v/>
      </c>
      <c r="I25" s="10" t="str">
        <f>IF($B25="","",IF(OR('②-1職員名簿'!AF25="○",'②-1職員名簿'!AF25="●"),IF($E25="正規職員","正",IF($E25="契約上の就業時間を記載","","実績を入力")),"-"))</f>
        <v/>
      </c>
      <c r="J25" s="10" t="str">
        <f>IF($B25="","",IF(OR('②-1職員名簿'!AG25="○",'②-1職員名簿'!AG25="●"),IF($E25="正規職員","正",IF($E25="契約上の就業時間を記載","","実績を入力")),"-"))</f>
        <v/>
      </c>
      <c r="K25" s="10" t="str">
        <f>IF($B25="","",IF(OR('②-1職員名簿'!AH25="○",'②-1職員名簿'!AH25="●"),IF($E25="正規職員","正",IF($E25="契約上の就業時間を記載","","実績を入力")),"-"))</f>
        <v/>
      </c>
      <c r="L25" s="10" t="str">
        <f>IF($B25="","",IF(OR('②-1職員名簿'!AI25="○",'②-1職員名簿'!AI25="●"),IF($E25="正規職員","正",IF($E25="契約上の就業時間を記載","","実績を入力")),"-"))</f>
        <v/>
      </c>
      <c r="M25" s="10" t="str">
        <f>IF($B25="","",IF(OR('②-1職員名簿'!AJ25="○",'②-1職員名簿'!AJ25="●"),IF($E25="正規職員","正",IF($E25="契約上の就業時間を記載","","実績を入力")),"-"))</f>
        <v/>
      </c>
      <c r="N25" s="10" t="str">
        <f>IF($B25="","",IF(OR('②-1職員名簿'!AK25="○",'②-1職員名簿'!AK25="●"),IF($E25="正規職員","正",IF($E25="契約上の就業時間を記載","","実績を入力")),"-"))</f>
        <v/>
      </c>
      <c r="O25" s="10" t="str">
        <f>IF($B25="","",IF(OR('②-1職員名簿'!AL25="○",'②-1職員名簿'!AL25="●"),IF($E25="正規職員","正",IF($E25="契約上の就業時間を記載","","実績を入力")),"-"))</f>
        <v/>
      </c>
      <c r="P25" s="10" t="str">
        <f>IF($B25="","",IF(OR('②-1職員名簿'!AM25="○",'②-1職員名簿'!AM25="●"),IF($E25="正規職員","正",IF($E25="契約上の就業時間を記載","","実績を入力")),"-"))</f>
        <v/>
      </c>
      <c r="Q25" s="10" t="str">
        <f>IF($B25="","",IF(OR('②-1職員名簿'!AN25="○",'②-1職員名簿'!AN25="●"),IF($E25="正規職員","正",IF($E25="契約上の就業時間を記載","","実績を入力")),"-"))</f>
        <v/>
      </c>
      <c r="R25" s="101" t="str">
        <f>IF($B25="","",IF(OR('②-1職員名簿'!AC25="○",'②-1職員名簿'!AC25="●"),IF($E25="正規職員","正",IF($E25="契約上の就業時間を記載","",IF($E25&gt;=F$5,"常",F25))),"-"))</f>
        <v/>
      </c>
      <c r="S25" s="101" t="str">
        <f>IF($B25="","",IF(OR('②-1職員名簿'!AD25="○",'②-1職員名簿'!AD25="●"),IF($E25="正規職員","正",IF($E25="契約上の就業時間を記載","",IF($E25&gt;=G$5,"常",G25))),"-"))</f>
        <v/>
      </c>
      <c r="T25" s="101" t="str">
        <f>IF($B25="","",IF(OR('②-1職員名簿'!AE25="○",'②-1職員名簿'!AE25="●"),IF($E25="正規職員","正",IF($E25="契約上の就業時間を記載","",IF($E25&gt;=H$5,"常",H25))),"-"))</f>
        <v/>
      </c>
      <c r="U25" s="101" t="str">
        <f>IF($B25="","",IF(OR('②-1職員名簿'!AF25="○",'②-1職員名簿'!AF25="●"),IF($E25="正規職員","正",IF($E25="契約上の就業時間を記載","",IF($E25&gt;=I$5,"常",I25))),"-"))</f>
        <v/>
      </c>
      <c r="V25" s="101" t="str">
        <f>IF($B25="","",IF(OR('②-1職員名簿'!AG25="○",'②-1職員名簿'!AG25="●"),IF($E25="正規職員","正",IF($E25="契約上の就業時間を記載","",IF($E25&gt;=J$5,"常",J25))),"-"))</f>
        <v/>
      </c>
      <c r="W25" s="101" t="str">
        <f>IF($B25="","",IF(OR('②-1職員名簿'!AH25="○",'②-1職員名簿'!AH25="●"),IF($E25="正規職員","正",IF($E25="契約上の就業時間を記載","",IF($E25&gt;=K$5,"常",K25))),"-"))</f>
        <v/>
      </c>
      <c r="X25" s="101" t="str">
        <f>IF($B25="","",IF(OR('②-1職員名簿'!AI25="○",'②-1職員名簿'!AI25="●"),IF($E25="正規職員","正",IF($E25="契約上の就業時間を記載","",IF($E25&gt;=L$5,"常",L25))),"-"))</f>
        <v/>
      </c>
      <c r="Y25" s="101" t="str">
        <f>IF($B25="","",IF(OR('②-1職員名簿'!AJ25="○",'②-1職員名簿'!AJ25="●"),IF($E25="正規職員","正",IF($E25="契約上の就業時間を記載","",IF($E25&gt;=M$5,"常",M25))),"-"))</f>
        <v/>
      </c>
      <c r="Z25" s="101" t="str">
        <f>IF($B25="","",IF(OR('②-1職員名簿'!AK25="○",'②-1職員名簿'!AK25="●"),IF($E25="正規職員","正",IF($E25="契約上の就業時間を記載","",IF($E25&gt;=N$5,"常",N25))),"-"))</f>
        <v/>
      </c>
      <c r="AA25" s="101" t="str">
        <f>IF($B25="","",IF(OR('②-1職員名簿'!AL25="○",'②-1職員名簿'!AL25="●"),IF($E25="正規職員","正",IF($E25="契約上の就業時間を記載","",IF($E25&gt;=O$5,"常",O25))),"-"))</f>
        <v/>
      </c>
      <c r="AB25" s="101" t="str">
        <f>IF($B25="","",IF(OR('②-1職員名簿'!AM25="○",'②-1職員名簿'!AM25="●"),IF($E25="正規職員","正",IF($E25="契約上の就業時間を記載","",IF($E25&gt;=P$5,"常",P25))),"-"))</f>
        <v/>
      </c>
      <c r="AC25" s="101" t="str">
        <f>IF($B25="","",IF(OR('②-1職員名簿'!AN25="○",'②-1職員名簿'!AN25="●"),IF($E25="正規職員","正",IF($E25="契約上の就業時間を記載","",IF($E25&gt;=Q$5,"常",Q25))),"-"))</f>
        <v/>
      </c>
      <c r="AE25" s="98" t="str">
        <f>IF('②-1職員名簿'!W25="","",'②-1職員名簿'!W25)</f>
        <v/>
      </c>
      <c r="AJ25" s="18" t="str">
        <f t="shared" si="12"/>
        <v>○</v>
      </c>
      <c r="AK25" s="18" t="str">
        <f t="shared" si="13"/>
        <v>○</v>
      </c>
      <c r="AL25" s="18" t="str">
        <f t="shared" si="14"/>
        <v>○</v>
      </c>
      <c r="AM25" s="18" t="str">
        <f t="shared" si="15"/>
        <v>○</v>
      </c>
      <c r="AN25" s="18" t="str">
        <f t="shared" si="16"/>
        <v>○</v>
      </c>
      <c r="AO25" s="18" t="str">
        <f t="shared" si="17"/>
        <v>○</v>
      </c>
      <c r="AP25" s="18" t="str">
        <f t="shared" si="18"/>
        <v>○</v>
      </c>
      <c r="AQ25" s="18" t="str">
        <f t="shared" si="19"/>
        <v>○</v>
      </c>
      <c r="AR25" s="18" t="str">
        <f t="shared" si="20"/>
        <v>○</v>
      </c>
      <c r="AS25" s="18" t="str">
        <f t="shared" si="21"/>
        <v>○</v>
      </c>
      <c r="AT25" s="18" t="str">
        <f t="shared" si="22"/>
        <v>○</v>
      </c>
      <c r="AU25" s="18" t="str">
        <f t="shared" si="23"/>
        <v>○</v>
      </c>
    </row>
    <row r="26" spans="1:47" s="103" customFormat="1" ht="23.15" customHeight="1">
      <c r="A26" s="99">
        <v>20</v>
      </c>
      <c r="B26" s="98" t="str">
        <f>IF('②-1職員名簿'!E26="","",'②-1職員名簿'!Y26)</f>
        <v/>
      </c>
      <c r="C26" s="101" t="str">
        <f>'②-1職員名簿'!BE26</f>
        <v/>
      </c>
      <c r="D26" s="132" t="str">
        <f t="shared" si="9"/>
        <v/>
      </c>
      <c r="E26" s="19" t="str">
        <f>IF($B26="","",IF(AND('②-1職員名簿'!C26="正",'②-1職員名簿'!D26="常"),"正規職員","契約上の就業時間を記載"))</f>
        <v/>
      </c>
      <c r="F26" s="10" t="str">
        <f>IF($B26="","",IF(OR('②-1職員名簿'!AC26="○",'②-1職員名簿'!AC26="●"),IF($E26="正規職員","正",IF($E26="契約上の就業時間を記載","","見込を入力")),"-"))</f>
        <v/>
      </c>
      <c r="G26" s="10" t="str">
        <f>IF($B26="","",IF(OR('②-1職員名簿'!AD26="○",'②-1職員名簿'!AD26="●"),IF($E26="正規職員","正",IF($E26="契約上の就業時間を記載","","実績を入力")),"-"))</f>
        <v/>
      </c>
      <c r="H26" s="10" t="str">
        <f>IF($B26="","",IF(OR('②-1職員名簿'!AE26="○",'②-1職員名簿'!AE26="●"),IF($E26="正規職員","正",IF($E26="契約上の就業時間を記載","","実績を入力")),"-"))</f>
        <v/>
      </c>
      <c r="I26" s="10" t="str">
        <f>IF($B26="","",IF(OR('②-1職員名簿'!AF26="○",'②-1職員名簿'!AF26="●"),IF($E26="正規職員","正",IF($E26="契約上の就業時間を記載","","実績を入力")),"-"))</f>
        <v/>
      </c>
      <c r="J26" s="10" t="str">
        <f>IF($B26="","",IF(OR('②-1職員名簿'!AG26="○",'②-1職員名簿'!AG26="●"),IF($E26="正規職員","正",IF($E26="契約上の就業時間を記載","","実績を入力")),"-"))</f>
        <v/>
      </c>
      <c r="K26" s="10" t="str">
        <f>IF($B26="","",IF(OR('②-1職員名簿'!AH26="○",'②-1職員名簿'!AH26="●"),IF($E26="正規職員","正",IF($E26="契約上の就業時間を記載","","実績を入力")),"-"))</f>
        <v/>
      </c>
      <c r="L26" s="10" t="str">
        <f>IF($B26="","",IF(OR('②-1職員名簿'!AI26="○",'②-1職員名簿'!AI26="●"),IF($E26="正規職員","正",IF($E26="契約上の就業時間を記載","","実績を入力")),"-"))</f>
        <v/>
      </c>
      <c r="M26" s="10" t="str">
        <f>IF($B26="","",IF(OR('②-1職員名簿'!AJ26="○",'②-1職員名簿'!AJ26="●"),IF($E26="正規職員","正",IF($E26="契約上の就業時間を記載","","実績を入力")),"-"))</f>
        <v/>
      </c>
      <c r="N26" s="10" t="str">
        <f>IF($B26="","",IF(OR('②-1職員名簿'!AK26="○",'②-1職員名簿'!AK26="●"),IF($E26="正規職員","正",IF($E26="契約上の就業時間を記載","","実績を入力")),"-"))</f>
        <v/>
      </c>
      <c r="O26" s="10" t="str">
        <f>IF($B26="","",IF(OR('②-1職員名簿'!AL26="○",'②-1職員名簿'!AL26="●"),IF($E26="正規職員","正",IF($E26="契約上の就業時間を記載","","実績を入力")),"-"))</f>
        <v/>
      </c>
      <c r="P26" s="10" t="str">
        <f>IF($B26="","",IF(OR('②-1職員名簿'!AM26="○",'②-1職員名簿'!AM26="●"),IF($E26="正規職員","正",IF($E26="契約上の就業時間を記載","","実績を入力")),"-"))</f>
        <v/>
      </c>
      <c r="Q26" s="10" t="str">
        <f>IF($B26="","",IF(OR('②-1職員名簿'!AN26="○",'②-1職員名簿'!AN26="●"),IF($E26="正規職員","正",IF($E26="契約上の就業時間を記載","","実績を入力")),"-"))</f>
        <v/>
      </c>
      <c r="R26" s="101" t="str">
        <f>IF($B26="","",IF(OR('②-1職員名簿'!AC26="○",'②-1職員名簿'!AC26="●"),IF($E26="正規職員","正",IF($E26="契約上の就業時間を記載","",IF($E26&gt;=F$5,"常",F26))),"-"))</f>
        <v/>
      </c>
      <c r="S26" s="101" t="str">
        <f>IF($B26="","",IF(OR('②-1職員名簿'!AD26="○",'②-1職員名簿'!AD26="●"),IF($E26="正規職員","正",IF($E26="契約上の就業時間を記載","",IF($E26&gt;=G$5,"常",G26))),"-"))</f>
        <v/>
      </c>
      <c r="T26" s="101" t="str">
        <f>IF($B26="","",IF(OR('②-1職員名簿'!AE26="○",'②-1職員名簿'!AE26="●"),IF($E26="正規職員","正",IF($E26="契約上の就業時間を記載","",IF($E26&gt;=H$5,"常",H26))),"-"))</f>
        <v/>
      </c>
      <c r="U26" s="101" t="str">
        <f>IF($B26="","",IF(OR('②-1職員名簿'!AF26="○",'②-1職員名簿'!AF26="●"),IF($E26="正規職員","正",IF($E26="契約上の就業時間を記載","",IF($E26&gt;=I$5,"常",I26))),"-"))</f>
        <v/>
      </c>
      <c r="V26" s="101" t="str">
        <f>IF($B26="","",IF(OR('②-1職員名簿'!AG26="○",'②-1職員名簿'!AG26="●"),IF($E26="正規職員","正",IF($E26="契約上の就業時間を記載","",IF($E26&gt;=J$5,"常",J26))),"-"))</f>
        <v/>
      </c>
      <c r="W26" s="101" t="str">
        <f>IF($B26="","",IF(OR('②-1職員名簿'!AH26="○",'②-1職員名簿'!AH26="●"),IF($E26="正規職員","正",IF($E26="契約上の就業時間を記載","",IF($E26&gt;=K$5,"常",K26))),"-"))</f>
        <v/>
      </c>
      <c r="X26" s="101" t="str">
        <f>IF($B26="","",IF(OR('②-1職員名簿'!AI26="○",'②-1職員名簿'!AI26="●"),IF($E26="正規職員","正",IF($E26="契約上の就業時間を記載","",IF($E26&gt;=L$5,"常",L26))),"-"))</f>
        <v/>
      </c>
      <c r="Y26" s="101" t="str">
        <f>IF($B26="","",IF(OR('②-1職員名簿'!AJ26="○",'②-1職員名簿'!AJ26="●"),IF($E26="正規職員","正",IF($E26="契約上の就業時間を記載","",IF($E26&gt;=M$5,"常",M26))),"-"))</f>
        <v/>
      </c>
      <c r="Z26" s="101" t="str">
        <f>IF($B26="","",IF(OR('②-1職員名簿'!AK26="○",'②-1職員名簿'!AK26="●"),IF($E26="正規職員","正",IF($E26="契約上の就業時間を記載","",IF($E26&gt;=N$5,"常",N26))),"-"))</f>
        <v/>
      </c>
      <c r="AA26" s="101" t="str">
        <f>IF($B26="","",IF(OR('②-1職員名簿'!AL26="○",'②-1職員名簿'!AL26="●"),IF($E26="正規職員","正",IF($E26="契約上の就業時間を記載","",IF($E26&gt;=O$5,"常",O26))),"-"))</f>
        <v/>
      </c>
      <c r="AB26" s="101" t="str">
        <f>IF($B26="","",IF(OR('②-1職員名簿'!AM26="○",'②-1職員名簿'!AM26="●"),IF($E26="正規職員","正",IF($E26="契約上の就業時間を記載","",IF($E26&gt;=P$5,"常",P26))),"-"))</f>
        <v/>
      </c>
      <c r="AC26" s="101" t="str">
        <f>IF($B26="","",IF(OR('②-1職員名簿'!AN26="○",'②-1職員名簿'!AN26="●"),IF($E26="正規職員","正",IF($E26="契約上の就業時間を記載","",IF($E26&gt;=Q$5,"常",Q26))),"-"))</f>
        <v/>
      </c>
      <c r="AE26" s="98" t="str">
        <f>IF('②-1職員名簿'!W26="","",'②-1職員名簿'!W26)</f>
        <v/>
      </c>
      <c r="AJ26" s="18" t="str">
        <f t="shared" si="12"/>
        <v>○</v>
      </c>
      <c r="AK26" s="18" t="str">
        <f t="shared" si="13"/>
        <v>○</v>
      </c>
      <c r="AL26" s="18" t="str">
        <f t="shared" si="14"/>
        <v>○</v>
      </c>
      <c r="AM26" s="18" t="str">
        <f t="shared" si="15"/>
        <v>○</v>
      </c>
      <c r="AN26" s="18" t="str">
        <f t="shared" si="16"/>
        <v>○</v>
      </c>
      <c r="AO26" s="18" t="str">
        <f t="shared" si="17"/>
        <v>○</v>
      </c>
      <c r="AP26" s="18" t="str">
        <f t="shared" si="18"/>
        <v>○</v>
      </c>
      <c r="AQ26" s="18" t="str">
        <f t="shared" si="19"/>
        <v>○</v>
      </c>
      <c r="AR26" s="18" t="str">
        <f t="shared" si="20"/>
        <v>○</v>
      </c>
      <c r="AS26" s="18" t="str">
        <f t="shared" si="21"/>
        <v>○</v>
      </c>
      <c r="AT26" s="18" t="str">
        <f t="shared" si="22"/>
        <v>○</v>
      </c>
      <c r="AU26" s="18" t="str">
        <f t="shared" si="23"/>
        <v>○</v>
      </c>
    </row>
    <row r="27" spans="1:47" s="103" customFormat="1" ht="23.15" customHeight="1">
      <c r="A27" s="99">
        <v>21</v>
      </c>
      <c r="B27" s="98" t="str">
        <f>IF('②-1職員名簿'!E27="","",'②-1職員名簿'!Y27)</f>
        <v/>
      </c>
      <c r="C27" s="101" t="str">
        <f>'②-1職員名簿'!BE27</f>
        <v/>
      </c>
      <c r="D27" s="132" t="str">
        <f t="shared" si="9"/>
        <v/>
      </c>
      <c r="E27" s="19" t="str">
        <f>IF($B27="","",IF(AND('②-1職員名簿'!C27="正",'②-1職員名簿'!D27="常"),"正規職員","契約上の就業時間を記載"))</f>
        <v/>
      </c>
      <c r="F27" s="10" t="str">
        <f>IF($B27="","",IF(OR('②-1職員名簿'!AC27="○",'②-1職員名簿'!AC27="●"),IF($E27="正規職員","正",IF($E27="契約上の就業時間を記載","","見込を入力")),"-"))</f>
        <v/>
      </c>
      <c r="G27" s="10" t="str">
        <f>IF($B27="","",IF(OR('②-1職員名簿'!AD27="○",'②-1職員名簿'!AD27="●"),IF($E27="正規職員","正",IF($E27="契約上の就業時間を記載","","実績を入力")),"-"))</f>
        <v/>
      </c>
      <c r="H27" s="10" t="str">
        <f>IF($B27="","",IF(OR('②-1職員名簿'!AE27="○",'②-1職員名簿'!AE27="●"),IF($E27="正規職員","正",IF($E27="契約上の就業時間を記載","","実績を入力")),"-"))</f>
        <v/>
      </c>
      <c r="I27" s="10" t="str">
        <f>IF($B27="","",IF(OR('②-1職員名簿'!AF27="○",'②-1職員名簿'!AF27="●"),IF($E27="正規職員","正",IF($E27="契約上の就業時間を記載","","実績を入力")),"-"))</f>
        <v/>
      </c>
      <c r="J27" s="10" t="str">
        <f>IF($B27="","",IF(OR('②-1職員名簿'!AG27="○",'②-1職員名簿'!AG27="●"),IF($E27="正規職員","正",IF($E27="契約上の就業時間を記載","","実績を入力")),"-"))</f>
        <v/>
      </c>
      <c r="K27" s="10" t="str">
        <f>IF($B27="","",IF(OR('②-1職員名簿'!AH27="○",'②-1職員名簿'!AH27="●"),IF($E27="正規職員","正",IF($E27="契約上の就業時間を記載","","実績を入力")),"-"))</f>
        <v/>
      </c>
      <c r="L27" s="10" t="str">
        <f>IF($B27="","",IF(OR('②-1職員名簿'!AI27="○",'②-1職員名簿'!AI27="●"),IF($E27="正規職員","正",IF($E27="契約上の就業時間を記載","","実績を入力")),"-"))</f>
        <v/>
      </c>
      <c r="M27" s="10" t="str">
        <f>IF($B27="","",IF(OR('②-1職員名簿'!AJ27="○",'②-1職員名簿'!AJ27="●"),IF($E27="正規職員","正",IF($E27="契約上の就業時間を記載","","実績を入力")),"-"))</f>
        <v/>
      </c>
      <c r="N27" s="10" t="str">
        <f>IF($B27="","",IF(OR('②-1職員名簿'!AK27="○",'②-1職員名簿'!AK27="●"),IF($E27="正規職員","正",IF($E27="契約上の就業時間を記載","","実績を入力")),"-"))</f>
        <v/>
      </c>
      <c r="O27" s="10" t="str">
        <f>IF($B27="","",IF(OR('②-1職員名簿'!AL27="○",'②-1職員名簿'!AL27="●"),IF($E27="正規職員","正",IF($E27="契約上の就業時間を記載","","実績を入力")),"-"))</f>
        <v/>
      </c>
      <c r="P27" s="10" t="str">
        <f>IF($B27="","",IF(OR('②-1職員名簿'!AM27="○",'②-1職員名簿'!AM27="●"),IF($E27="正規職員","正",IF($E27="契約上の就業時間を記載","","実績を入力")),"-"))</f>
        <v/>
      </c>
      <c r="Q27" s="10" t="str">
        <f>IF($B27="","",IF(OR('②-1職員名簿'!AN27="○",'②-1職員名簿'!AN27="●"),IF($E27="正規職員","正",IF($E27="契約上の就業時間を記載","","実績を入力")),"-"))</f>
        <v/>
      </c>
      <c r="R27" s="101" t="str">
        <f>IF($B27="","",IF(OR('②-1職員名簿'!AC27="○",'②-1職員名簿'!AC27="●"),IF($E27="正規職員","正",IF($E27="契約上の就業時間を記載","",IF($E27&gt;=F$5,"常",F27))),"-"))</f>
        <v/>
      </c>
      <c r="S27" s="101" t="str">
        <f>IF($B27="","",IF(OR('②-1職員名簿'!AD27="○",'②-1職員名簿'!AD27="●"),IF($E27="正規職員","正",IF($E27="契約上の就業時間を記載","",IF($E27&gt;=G$5,"常",G27))),"-"))</f>
        <v/>
      </c>
      <c r="T27" s="101" t="str">
        <f>IF($B27="","",IF(OR('②-1職員名簿'!AE27="○",'②-1職員名簿'!AE27="●"),IF($E27="正規職員","正",IF($E27="契約上の就業時間を記載","",IF($E27&gt;=H$5,"常",H27))),"-"))</f>
        <v/>
      </c>
      <c r="U27" s="101" t="str">
        <f>IF($B27="","",IF(OR('②-1職員名簿'!AF27="○",'②-1職員名簿'!AF27="●"),IF($E27="正規職員","正",IF($E27="契約上の就業時間を記載","",IF($E27&gt;=I$5,"常",I27))),"-"))</f>
        <v/>
      </c>
      <c r="V27" s="101" t="str">
        <f>IF($B27="","",IF(OR('②-1職員名簿'!AG27="○",'②-1職員名簿'!AG27="●"),IF($E27="正規職員","正",IF($E27="契約上の就業時間を記載","",IF($E27&gt;=J$5,"常",J27))),"-"))</f>
        <v/>
      </c>
      <c r="W27" s="101" t="str">
        <f>IF($B27="","",IF(OR('②-1職員名簿'!AH27="○",'②-1職員名簿'!AH27="●"),IF($E27="正規職員","正",IF($E27="契約上の就業時間を記載","",IF($E27&gt;=K$5,"常",K27))),"-"))</f>
        <v/>
      </c>
      <c r="X27" s="101" t="str">
        <f>IF($B27="","",IF(OR('②-1職員名簿'!AI27="○",'②-1職員名簿'!AI27="●"),IF($E27="正規職員","正",IF($E27="契約上の就業時間を記載","",IF($E27&gt;=L$5,"常",L27))),"-"))</f>
        <v/>
      </c>
      <c r="Y27" s="101" t="str">
        <f>IF($B27="","",IF(OR('②-1職員名簿'!AJ27="○",'②-1職員名簿'!AJ27="●"),IF($E27="正規職員","正",IF($E27="契約上の就業時間を記載","",IF($E27&gt;=M$5,"常",M27))),"-"))</f>
        <v/>
      </c>
      <c r="Z27" s="101" t="str">
        <f>IF($B27="","",IF(OR('②-1職員名簿'!AK27="○",'②-1職員名簿'!AK27="●"),IF($E27="正規職員","正",IF($E27="契約上の就業時間を記載","",IF($E27&gt;=N$5,"常",N27))),"-"))</f>
        <v/>
      </c>
      <c r="AA27" s="101" t="str">
        <f>IF($B27="","",IF(OR('②-1職員名簿'!AL27="○",'②-1職員名簿'!AL27="●"),IF($E27="正規職員","正",IF($E27="契約上の就業時間を記載","",IF($E27&gt;=O$5,"常",O27))),"-"))</f>
        <v/>
      </c>
      <c r="AB27" s="101" t="str">
        <f>IF($B27="","",IF(OR('②-1職員名簿'!AM27="○",'②-1職員名簿'!AM27="●"),IF($E27="正規職員","正",IF($E27="契約上の就業時間を記載","",IF($E27&gt;=P$5,"常",P27))),"-"))</f>
        <v/>
      </c>
      <c r="AC27" s="101" t="str">
        <f>IF($B27="","",IF(OR('②-1職員名簿'!AN27="○",'②-1職員名簿'!AN27="●"),IF($E27="正規職員","正",IF($E27="契約上の就業時間を記載","",IF($E27&gt;=Q$5,"常",Q27))),"-"))</f>
        <v/>
      </c>
      <c r="AE27" s="98" t="str">
        <f>IF('②-1職員名簿'!W27="","",'②-1職員名簿'!W27)</f>
        <v/>
      </c>
      <c r="AJ27" s="18" t="str">
        <f t="shared" si="12"/>
        <v>○</v>
      </c>
      <c r="AK27" s="18" t="str">
        <f t="shared" si="13"/>
        <v>○</v>
      </c>
      <c r="AL27" s="18" t="str">
        <f t="shared" si="14"/>
        <v>○</v>
      </c>
      <c r="AM27" s="18" t="str">
        <f t="shared" si="15"/>
        <v>○</v>
      </c>
      <c r="AN27" s="18" t="str">
        <f t="shared" si="16"/>
        <v>○</v>
      </c>
      <c r="AO27" s="18" t="str">
        <f t="shared" si="17"/>
        <v>○</v>
      </c>
      <c r="AP27" s="18" t="str">
        <f t="shared" si="18"/>
        <v>○</v>
      </c>
      <c r="AQ27" s="18" t="str">
        <f t="shared" si="19"/>
        <v>○</v>
      </c>
      <c r="AR27" s="18" t="str">
        <f t="shared" si="20"/>
        <v>○</v>
      </c>
      <c r="AS27" s="18" t="str">
        <f t="shared" si="21"/>
        <v>○</v>
      </c>
      <c r="AT27" s="18" t="str">
        <f t="shared" si="22"/>
        <v>○</v>
      </c>
      <c r="AU27" s="18" t="str">
        <f t="shared" si="23"/>
        <v>○</v>
      </c>
    </row>
    <row r="28" spans="1:47" s="103" customFormat="1" ht="23.15" customHeight="1">
      <c r="A28" s="99">
        <v>22</v>
      </c>
      <c r="B28" s="98" t="str">
        <f>IF('②-1職員名簿'!E28="","",'②-1職員名簿'!Y28)</f>
        <v/>
      </c>
      <c r="C28" s="101" t="str">
        <f>'②-1職員名簿'!BE28</f>
        <v/>
      </c>
      <c r="D28" s="132" t="str">
        <f t="shared" si="9"/>
        <v/>
      </c>
      <c r="E28" s="19" t="str">
        <f>IF($B28="","",IF(AND('②-1職員名簿'!C28="正",'②-1職員名簿'!D28="常"),"正規職員","契約上の就業時間を記載"))</f>
        <v/>
      </c>
      <c r="F28" s="10" t="str">
        <f>IF($B28="","",IF(OR('②-1職員名簿'!AC28="○",'②-1職員名簿'!AC28="●"),IF($E28="正規職員","正",IF($E28="契約上の就業時間を記載","","見込を入力")),"-"))</f>
        <v/>
      </c>
      <c r="G28" s="10" t="str">
        <f>IF($B28="","",IF(OR('②-1職員名簿'!AD28="○",'②-1職員名簿'!AD28="●"),IF($E28="正規職員","正",IF($E28="契約上の就業時間を記載","","実績を入力")),"-"))</f>
        <v/>
      </c>
      <c r="H28" s="10" t="str">
        <f>IF($B28="","",IF(OR('②-1職員名簿'!AE28="○",'②-1職員名簿'!AE28="●"),IF($E28="正規職員","正",IF($E28="契約上の就業時間を記載","","実績を入力")),"-"))</f>
        <v/>
      </c>
      <c r="I28" s="10" t="str">
        <f>IF($B28="","",IF(OR('②-1職員名簿'!AF28="○",'②-1職員名簿'!AF28="●"),IF($E28="正規職員","正",IF($E28="契約上の就業時間を記載","","実績を入力")),"-"))</f>
        <v/>
      </c>
      <c r="J28" s="10" t="str">
        <f>IF($B28="","",IF(OR('②-1職員名簿'!AG28="○",'②-1職員名簿'!AG28="●"),IF($E28="正規職員","正",IF($E28="契約上の就業時間を記載","","実績を入力")),"-"))</f>
        <v/>
      </c>
      <c r="K28" s="10" t="str">
        <f>IF($B28="","",IF(OR('②-1職員名簿'!AH28="○",'②-1職員名簿'!AH28="●"),IF($E28="正規職員","正",IF($E28="契約上の就業時間を記載","","実績を入力")),"-"))</f>
        <v/>
      </c>
      <c r="L28" s="10" t="str">
        <f>IF($B28="","",IF(OR('②-1職員名簿'!AI28="○",'②-1職員名簿'!AI28="●"),IF($E28="正規職員","正",IF($E28="契約上の就業時間を記載","","実績を入力")),"-"))</f>
        <v/>
      </c>
      <c r="M28" s="10" t="str">
        <f>IF($B28="","",IF(OR('②-1職員名簿'!AJ28="○",'②-1職員名簿'!AJ28="●"),IF($E28="正規職員","正",IF($E28="契約上の就業時間を記載","","実績を入力")),"-"))</f>
        <v/>
      </c>
      <c r="N28" s="10" t="str">
        <f>IF($B28="","",IF(OR('②-1職員名簿'!AK28="○",'②-1職員名簿'!AK28="●"),IF($E28="正規職員","正",IF($E28="契約上の就業時間を記載","","実績を入力")),"-"))</f>
        <v/>
      </c>
      <c r="O28" s="10" t="str">
        <f>IF($B28="","",IF(OR('②-1職員名簿'!AL28="○",'②-1職員名簿'!AL28="●"),IF($E28="正規職員","正",IF($E28="契約上の就業時間を記載","","実績を入力")),"-"))</f>
        <v/>
      </c>
      <c r="P28" s="10" t="str">
        <f>IF($B28="","",IF(OR('②-1職員名簿'!AM28="○",'②-1職員名簿'!AM28="●"),IF($E28="正規職員","正",IF($E28="契約上の就業時間を記載","","実績を入力")),"-"))</f>
        <v/>
      </c>
      <c r="Q28" s="10" t="str">
        <f>IF($B28="","",IF(OR('②-1職員名簿'!AN28="○",'②-1職員名簿'!AN28="●"),IF($E28="正規職員","正",IF($E28="契約上の就業時間を記載","","実績を入力")),"-"))</f>
        <v/>
      </c>
      <c r="R28" s="101" t="str">
        <f>IF($B28="","",IF(OR('②-1職員名簿'!AC28="○",'②-1職員名簿'!AC28="●"),IF($E28="正規職員","正",IF($E28="契約上の就業時間を記載","",IF($E28&gt;=F$5,"常",F28))),"-"))</f>
        <v/>
      </c>
      <c r="S28" s="101" t="str">
        <f>IF($B28="","",IF(OR('②-1職員名簿'!AD28="○",'②-1職員名簿'!AD28="●"),IF($E28="正規職員","正",IF($E28="契約上の就業時間を記載","",IF($E28&gt;=G$5,"常",G28))),"-"))</f>
        <v/>
      </c>
      <c r="T28" s="101" t="str">
        <f>IF($B28="","",IF(OR('②-1職員名簿'!AE28="○",'②-1職員名簿'!AE28="●"),IF($E28="正規職員","正",IF($E28="契約上の就業時間を記載","",IF($E28&gt;=H$5,"常",H28))),"-"))</f>
        <v/>
      </c>
      <c r="U28" s="101" t="str">
        <f>IF($B28="","",IF(OR('②-1職員名簿'!AF28="○",'②-1職員名簿'!AF28="●"),IF($E28="正規職員","正",IF($E28="契約上の就業時間を記載","",IF($E28&gt;=I$5,"常",I28))),"-"))</f>
        <v/>
      </c>
      <c r="V28" s="101" t="str">
        <f>IF($B28="","",IF(OR('②-1職員名簿'!AG28="○",'②-1職員名簿'!AG28="●"),IF($E28="正規職員","正",IF($E28="契約上の就業時間を記載","",IF($E28&gt;=J$5,"常",J28))),"-"))</f>
        <v/>
      </c>
      <c r="W28" s="101" t="str">
        <f>IF($B28="","",IF(OR('②-1職員名簿'!AH28="○",'②-1職員名簿'!AH28="●"),IF($E28="正規職員","正",IF($E28="契約上の就業時間を記載","",IF($E28&gt;=K$5,"常",K28))),"-"))</f>
        <v/>
      </c>
      <c r="X28" s="101" t="str">
        <f>IF($B28="","",IF(OR('②-1職員名簿'!AI28="○",'②-1職員名簿'!AI28="●"),IF($E28="正規職員","正",IF($E28="契約上の就業時間を記載","",IF($E28&gt;=L$5,"常",L28))),"-"))</f>
        <v/>
      </c>
      <c r="Y28" s="101" t="str">
        <f>IF($B28="","",IF(OR('②-1職員名簿'!AJ28="○",'②-1職員名簿'!AJ28="●"),IF($E28="正規職員","正",IF($E28="契約上の就業時間を記載","",IF($E28&gt;=M$5,"常",M28))),"-"))</f>
        <v/>
      </c>
      <c r="Z28" s="101" t="str">
        <f>IF($B28="","",IF(OR('②-1職員名簿'!AK28="○",'②-1職員名簿'!AK28="●"),IF($E28="正規職員","正",IF($E28="契約上の就業時間を記載","",IF($E28&gt;=N$5,"常",N28))),"-"))</f>
        <v/>
      </c>
      <c r="AA28" s="101" t="str">
        <f>IF($B28="","",IF(OR('②-1職員名簿'!AL28="○",'②-1職員名簿'!AL28="●"),IF($E28="正規職員","正",IF($E28="契約上の就業時間を記載","",IF($E28&gt;=O$5,"常",O28))),"-"))</f>
        <v/>
      </c>
      <c r="AB28" s="101" t="str">
        <f>IF($B28="","",IF(OR('②-1職員名簿'!AM28="○",'②-1職員名簿'!AM28="●"),IF($E28="正規職員","正",IF($E28="契約上の就業時間を記載","",IF($E28&gt;=P$5,"常",P28))),"-"))</f>
        <v/>
      </c>
      <c r="AC28" s="101" t="str">
        <f>IF($B28="","",IF(OR('②-1職員名簿'!AN28="○",'②-1職員名簿'!AN28="●"),IF($E28="正規職員","正",IF($E28="契約上の就業時間を記載","",IF($E28&gt;=Q$5,"常",Q28))),"-"))</f>
        <v/>
      </c>
      <c r="AE28" s="98" t="str">
        <f>IF('②-1職員名簿'!W28="","",'②-1職員名簿'!W28)</f>
        <v/>
      </c>
      <c r="AJ28" s="18" t="str">
        <f t="shared" si="12"/>
        <v>○</v>
      </c>
      <c r="AK28" s="18" t="str">
        <f t="shared" si="13"/>
        <v>○</v>
      </c>
      <c r="AL28" s="18" t="str">
        <f t="shared" si="14"/>
        <v>○</v>
      </c>
      <c r="AM28" s="18" t="str">
        <f t="shared" si="15"/>
        <v>○</v>
      </c>
      <c r="AN28" s="18" t="str">
        <f t="shared" si="16"/>
        <v>○</v>
      </c>
      <c r="AO28" s="18" t="str">
        <f t="shared" si="17"/>
        <v>○</v>
      </c>
      <c r="AP28" s="18" t="str">
        <f t="shared" si="18"/>
        <v>○</v>
      </c>
      <c r="AQ28" s="18" t="str">
        <f t="shared" si="19"/>
        <v>○</v>
      </c>
      <c r="AR28" s="18" t="str">
        <f t="shared" si="20"/>
        <v>○</v>
      </c>
      <c r="AS28" s="18" t="str">
        <f t="shared" si="21"/>
        <v>○</v>
      </c>
      <c r="AT28" s="18" t="str">
        <f t="shared" si="22"/>
        <v>○</v>
      </c>
      <c r="AU28" s="18" t="str">
        <f t="shared" si="23"/>
        <v>○</v>
      </c>
    </row>
    <row r="29" spans="1:47" s="103" customFormat="1" ht="23.15" customHeight="1">
      <c r="A29" s="99">
        <v>23</v>
      </c>
      <c r="B29" s="98" t="str">
        <f>IF('②-1職員名簿'!E29="","",'②-1職員名簿'!Y29)</f>
        <v/>
      </c>
      <c r="C29" s="101" t="str">
        <f>'②-1職員名簿'!BE29</f>
        <v/>
      </c>
      <c r="D29" s="132" t="str">
        <f t="shared" si="9"/>
        <v/>
      </c>
      <c r="E29" s="19" t="str">
        <f>IF($B29="","",IF(AND('②-1職員名簿'!C29="正",'②-1職員名簿'!D29="常"),"正規職員","契約上の就業時間を記載"))</f>
        <v/>
      </c>
      <c r="F29" s="10" t="str">
        <f>IF($B29="","",IF(OR('②-1職員名簿'!AC29="○",'②-1職員名簿'!AC29="●"),IF($E29="正規職員","正",IF($E29="契約上の就業時間を記載","","見込を入力")),"-"))</f>
        <v/>
      </c>
      <c r="G29" s="10" t="str">
        <f>IF($B29="","",IF(OR('②-1職員名簿'!AD29="○",'②-1職員名簿'!AD29="●"),IF($E29="正規職員","正",IF($E29="契約上の就業時間を記載","","実績を入力")),"-"))</f>
        <v/>
      </c>
      <c r="H29" s="10" t="str">
        <f>IF($B29="","",IF(OR('②-1職員名簿'!AE29="○",'②-1職員名簿'!AE29="●"),IF($E29="正規職員","正",IF($E29="契約上の就業時間を記載","","実績を入力")),"-"))</f>
        <v/>
      </c>
      <c r="I29" s="10" t="str">
        <f>IF($B29="","",IF(OR('②-1職員名簿'!AF29="○",'②-1職員名簿'!AF29="●"),IF($E29="正規職員","正",IF($E29="契約上の就業時間を記載","","実績を入力")),"-"))</f>
        <v/>
      </c>
      <c r="J29" s="10" t="str">
        <f>IF($B29="","",IF(OR('②-1職員名簿'!AG29="○",'②-1職員名簿'!AG29="●"),IF($E29="正規職員","正",IF($E29="契約上の就業時間を記載","","実績を入力")),"-"))</f>
        <v/>
      </c>
      <c r="K29" s="10" t="str">
        <f>IF($B29="","",IF(OR('②-1職員名簿'!AH29="○",'②-1職員名簿'!AH29="●"),IF($E29="正規職員","正",IF($E29="契約上の就業時間を記載","","実績を入力")),"-"))</f>
        <v/>
      </c>
      <c r="L29" s="10" t="str">
        <f>IF($B29="","",IF(OR('②-1職員名簿'!AI29="○",'②-1職員名簿'!AI29="●"),IF($E29="正規職員","正",IF($E29="契約上の就業時間を記載","","実績を入力")),"-"))</f>
        <v/>
      </c>
      <c r="M29" s="10" t="str">
        <f>IF($B29="","",IF(OR('②-1職員名簿'!AJ29="○",'②-1職員名簿'!AJ29="●"),IF($E29="正規職員","正",IF($E29="契約上の就業時間を記載","","実績を入力")),"-"))</f>
        <v/>
      </c>
      <c r="N29" s="10" t="str">
        <f>IF($B29="","",IF(OR('②-1職員名簿'!AK29="○",'②-1職員名簿'!AK29="●"),IF($E29="正規職員","正",IF($E29="契約上の就業時間を記載","","実績を入力")),"-"))</f>
        <v/>
      </c>
      <c r="O29" s="10" t="str">
        <f>IF($B29="","",IF(OR('②-1職員名簿'!AL29="○",'②-1職員名簿'!AL29="●"),IF($E29="正規職員","正",IF($E29="契約上の就業時間を記載","","実績を入力")),"-"))</f>
        <v/>
      </c>
      <c r="P29" s="10" t="str">
        <f>IF($B29="","",IF(OR('②-1職員名簿'!AM29="○",'②-1職員名簿'!AM29="●"),IF($E29="正規職員","正",IF($E29="契約上の就業時間を記載","","実績を入力")),"-"))</f>
        <v/>
      </c>
      <c r="Q29" s="10" t="str">
        <f>IF($B29="","",IF(OR('②-1職員名簿'!AN29="○",'②-1職員名簿'!AN29="●"),IF($E29="正規職員","正",IF($E29="契約上の就業時間を記載","","実績を入力")),"-"))</f>
        <v/>
      </c>
      <c r="R29" s="101" t="str">
        <f>IF($B29="","",IF(OR('②-1職員名簿'!AC29="○",'②-1職員名簿'!AC29="●"),IF($E29="正規職員","正",IF($E29="契約上の就業時間を記載","",IF($E29&gt;=F$5,"常",F29))),"-"))</f>
        <v/>
      </c>
      <c r="S29" s="101" t="str">
        <f>IF($B29="","",IF(OR('②-1職員名簿'!AD29="○",'②-1職員名簿'!AD29="●"),IF($E29="正規職員","正",IF($E29="契約上の就業時間を記載","",IF($E29&gt;=G$5,"常",G29))),"-"))</f>
        <v/>
      </c>
      <c r="T29" s="101" t="str">
        <f>IF($B29="","",IF(OR('②-1職員名簿'!AE29="○",'②-1職員名簿'!AE29="●"),IF($E29="正規職員","正",IF($E29="契約上の就業時間を記載","",IF($E29&gt;=H$5,"常",H29))),"-"))</f>
        <v/>
      </c>
      <c r="U29" s="101" t="str">
        <f>IF($B29="","",IF(OR('②-1職員名簿'!AF29="○",'②-1職員名簿'!AF29="●"),IF($E29="正規職員","正",IF($E29="契約上の就業時間を記載","",IF($E29&gt;=I$5,"常",I29))),"-"))</f>
        <v/>
      </c>
      <c r="V29" s="101" t="str">
        <f>IF($B29="","",IF(OR('②-1職員名簿'!AG29="○",'②-1職員名簿'!AG29="●"),IF($E29="正規職員","正",IF($E29="契約上の就業時間を記載","",IF($E29&gt;=J$5,"常",J29))),"-"))</f>
        <v/>
      </c>
      <c r="W29" s="101" t="str">
        <f>IF($B29="","",IF(OR('②-1職員名簿'!AH29="○",'②-1職員名簿'!AH29="●"),IF($E29="正規職員","正",IF($E29="契約上の就業時間を記載","",IF($E29&gt;=K$5,"常",K29))),"-"))</f>
        <v/>
      </c>
      <c r="X29" s="101" t="str">
        <f>IF($B29="","",IF(OR('②-1職員名簿'!AI29="○",'②-1職員名簿'!AI29="●"),IF($E29="正規職員","正",IF($E29="契約上の就業時間を記載","",IF($E29&gt;=L$5,"常",L29))),"-"))</f>
        <v/>
      </c>
      <c r="Y29" s="101" t="str">
        <f>IF($B29="","",IF(OR('②-1職員名簿'!AJ29="○",'②-1職員名簿'!AJ29="●"),IF($E29="正規職員","正",IF($E29="契約上の就業時間を記載","",IF($E29&gt;=M$5,"常",M29))),"-"))</f>
        <v/>
      </c>
      <c r="Z29" s="101" t="str">
        <f>IF($B29="","",IF(OR('②-1職員名簿'!AK29="○",'②-1職員名簿'!AK29="●"),IF($E29="正規職員","正",IF($E29="契約上の就業時間を記載","",IF($E29&gt;=N$5,"常",N29))),"-"))</f>
        <v/>
      </c>
      <c r="AA29" s="101" t="str">
        <f>IF($B29="","",IF(OR('②-1職員名簿'!AL29="○",'②-1職員名簿'!AL29="●"),IF($E29="正規職員","正",IF($E29="契約上の就業時間を記載","",IF($E29&gt;=O$5,"常",O29))),"-"))</f>
        <v/>
      </c>
      <c r="AB29" s="101" t="str">
        <f>IF($B29="","",IF(OR('②-1職員名簿'!AM29="○",'②-1職員名簿'!AM29="●"),IF($E29="正規職員","正",IF($E29="契約上の就業時間を記載","",IF($E29&gt;=P$5,"常",P29))),"-"))</f>
        <v/>
      </c>
      <c r="AC29" s="101" t="str">
        <f>IF($B29="","",IF(OR('②-1職員名簿'!AN29="○",'②-1職員名簿'!AN29="●"),IF($E29="正規職員","正",IF($E29="契約上の就業時間を記載","",IF($E29&gt;=Q$5,"常",Q29))),"-"))</f>
        <v/>
      </c>
      <c r="AE29" s="98" t="str">
        <f>IF('②-1職員名簿'!W29="","",'②-1職員名簿'!W29)</f>
        <v/>
      </c>
      <c r="AJ29" s="18" t="str">
        <f t="shared" si="12"/>
        <v>○</v>
      </c>
      <c r="AK29" s="18" t="str">
        <f t="shared" si="13"/>
        <v>○</v>
      </c>
      <c r="AL29" s="18" t="str">
        <f t="shared" si="14"/>
        <v>○</v>
      </c>
      <c r="AM29" s="18" t="str">
        <f t="shared" si="15"/>
        <v>○</v>
      </c>
      <c r="AN29" s="18" t="str">
        <f t="shared" si="16"/>
        <v>○</v>
      </c>
      <c r="AO29" s="18" t="str">
        <f t="shared" si="17"/>
        <v>○</v>
      </c>
      <c r="AP29" s="18" t="str">
        <f t="shared" si="18"/>
        <v>○</v>
      </c>
      <c r="AQ29" s="18" t="str">
        <f t="shared" si="19"/>
        <v>○</v>
      </c>
      <c r="AR29" s="18" t="str">
        <f t="shared" si="20"/>
        <v>○</v>
      </c>
      <c r="AS29" s="18" t="str">
        <f t="shared" si="21"/>
        <v>○</v>
      </c>
      <c r="AT29" s="18" t="str">
        <f t="shared" si="22"/>
        <v>○</v>
      </c>
      <c r="AU29" s="18" t="str">
        <f t="shared" si="23"/>
        <v>○</v>
      </c>
    </row>
    <row r="30" spans="1:47" s="103" customFormat="1" ht="23.15" customHeight="1">
      <c r="A30" s="99">
        <v>24</v>
      </c>
      <c r="B30" s="98" t="str">
        <f>IF('②-1職員名簿'!E30="","",'②-1職員名簿'!Y30)</f>
        <v/>
      </c>
      <c r="C30" s="101" t="str">
        <f>'②-1職員名簿'!BE30</f>
        <v/>
      </c>
      <c r="D30" s="132" t="str">
        <f t="shared" si="9"/>
        <v/>
      </c>
      <c r="E30" s="19" t="str">
        <f>IF($B30="","",IF(AND('②-1職員名簿'!C30="正",'②-1職員名簿'!D30="常"),"正規職員","契約上の就業時間を記載"))</f>
        <v/>
      </c>
      <c r="F30" s="10" t="str">
        <f>IF($B30="","",IF(OR('②-1職員名簿'!AC30="○",'②-1職員名簿'!AC30="●"),IF($E30="正規職員","正",IF($E30="契約上の就業時間を記載","","見込を入力")),"-"))</f>
        <v/>
      </c>
      <c r="G30" s="10" t="str">
        <f>IF($B30="","",IF(OR('②-1職員名簿'!AD30="○",'②-1職員名簿'!AD30="●"),IF($E30="正規職員","正",IF($E30="契約上の就業時間を記載","","実績を入力")),"-"))</f>
        <v/>
      </c>
      <c r="H30" s="10" t="str">
        <f>IF($B30="","",IF(OR('②-1職員名簿'!AE30="○",'②-1職員名簿'!AE30="●"),IF($E30="正規職員","正",IF($E30="契約上の就業時間を記載","","実績を入力")),"-"))</f>
        <v/>
      </c>
      <c r="I30" s="10" t="str">
        <f>IF($B30="","",IF(OR('②-1職員名簿'!AF30="○",'②-1職員名簿'!AF30="●"),IF($E30="正規職員","正",IF($E30="契約上の就業時間を記載","","実績を入力")),"-"))</f>
        <v/>
      </c>
      <c r="J30" s="10" t="str">
        <f>IF($B30="","",IF(OR('②-1職員名簿'!AG30="○",'②-1職員名簿'!AG30="●"),IF($E30="正規職員","正",IF($E30="契約上の就業時間を記載","","実績を入力")),"-"))</f>
        <v/>
      </c>
      <c r="K30" s="10" t="str">
        <f>IF($B30="","",IF(OR('②-1職員名簿'!AH30="○",'②-1職員名簿'!AH30="●"),IF($E30="正規職員","正",IF($E30="契約上の就業時間を記載","","実績を入力")),"-"))</f>
        <v/>
      </c>
      <c r="L30" s="10" t="str">
        <f>IF($B30="","",IF(OR('②-1職員名簿'!AI30="○",'②-1職員名簿'!AI30="●"),IF($E30="正規職員","正",IF($E30="契約上の就業時間を記載","","実績を入力")),"-"))</f>
        <v/>
      </c>
      <c r="M30" s="10" t="str">
        <f>IF($B30="","",IF(OR('②-1職員名簿'!AJ30="○",'②-1職員名簿'!AJ30="●"),IF($E30="正規職員","正",IF($E30="契約上の就業時間を記載","","実績を入力")),"-"))</f>
        <v/>
      </c>
      <c r="N30" s="10" t="str">
        <f>IF($B30="","",IF(OR('②-1職員名簿'!AK30="○",'②-1職員名簿'!AK30="●"),IF($E30="正規職員","正",IF($E30="契約上の就業時間を記載","","実績を入力")),"-"))</f>
        <v/>
      </c>
      <c r="O30" s="10" t="str">
        <f>IF($B30="","",IF(OR('②-1職員名簿'!AL30="○",'②-1職員名簿'!AL30="●"),IF($E30="正規職員","正",IF($E30="契約上の就業時間を記載","","実績を入力")),"-"))</f>
        <v/>
      </c>
      <c r="P30" s="10" t="str">
        <f>IF($B30="","",IF(OR('②-1職員名簿'!AM30="○",'②-1職員名簿'!AM30="●"),IF($E30="正規職員","正",IF($E30="契約上の就業時間を記載","","実績を入力")),"-"))</f>
        <v/>
      </c>
      <c r="Q30" s="10" t="str">
        <f>IF($B30="","",IF(OR('②-1職員名簿'!AN30="○",'②-1職員名簿'!AN30="●"),IF($E30="正規職員","正",IF($E30="契約上の就業時間を記載","","実績を入力")),"-"))</f>
        <v/>
      </c>
      <c r="R30" s="101" t="str">
        <f>IF($B30="","",IF(OR('②-1職員名簿'!AC30="○",'②-1職員名簿'!AC30="●"),IF($E30="正規職員","正",IF($E30="契約上の就業時間を記載","",IF($E30&gt;=F$5,"常",F30))),"-"))</f>
        <v/>
      </c>
      <c r="S30" s="101" t="str">
        <f>IF($B30="","",IF(OR('②-1職員名簿'!AD30="○",'②-1職員名簿'!AD30="●"),IF($E30="正規職員","正",IF($E30="契約上の就業時間を記載","",IF($E30&gt;=G$5,"常",G30))),"-"))</f>
        <v/>
      </c>
      <c r="T30" s="101" t="str">
        <f>IF($B30="","",IF(OR('②-1職員名簿'!AE30="○",'②-1職員名簿'!AE30="●"),IF($E30="正規職員","正",IF($E30="契約上の就業時間を記載","",IF($E30&gt;=H$5,"常",H30))),"-"))</f>
        <v/>
      </c>
      <c r="U30" s="101" t="str">
        <f>IF($B30="","",IF(OR('②-1職員名簿'!AF30="○",'②-1職員名簿'!AF30="●"),IF($E30="正規職員","正",IF($E30="契約上の就業時間を記載","",IF($E30&gt;=I$5,"常",I30))),"-"))</f>
        <v/>
      </c>
      <c r="V30" s="101" t="str">
        <f>IF($B30="","",IF(OR('②-1職員名簿'!AG30="○",'②-1職員名簿'!AG30="●"),IF($E30="正規職員","正",IF($E30="契約上の就業時間を記載","",IF($E30&gt;=J$5,"常",J30))),"-"))</f>
        <v/>
      </c>
      <c r="W30" s="101" t="str">
        <f>IF($B30="","",IF(OR('②-1職員名簿'!AH30="○",'②-1職員名簿'!AH30="●"),IF($E30="正規職員","正",IF($E30="契約上の就業時間を記載","",IF($E30&gt;=K$5,"常",K30))),"-"))</f>
        <v/>
      </c>
      <c r="X30" s="101" t="str">
        <f>IF($B30="","",IF(OR('②-1職員名簿'!AI30="○",'②-1職員名簿'!AI30="●"),IF($E30="正規職員","正",IF($E30="契約上の就業時間を記載","",IF($E30&gt;=L$5,"常",L30))),"-"))</f>
        <v/>
      </c>
      <c r="Y30" s="101" t="str">
        <f>IF($B30="","",IF(OR('②-1職員名簿'!AJ30="○",'②-1職員名簿'!AJ30="●"),IF($E30="正規職員","正",IF($E30="契約上の就業時間を記載","",IF($E30&gt;=M$5,"常",M30))),"-"))</f>
        <v/>
      </c>
      <c r="Z30" s="101" t="str">
        <f>IF($B30="","",IF(OR('②-1職員名簿'!AK30="○",'②-1職員名簿'!AK30="●"),IF($E30="正規職員","正",IF($E30="契約上の就業時間を記載","",IF($E30&gt;=N$5,"常",N30))),"-"))</f>
        <v/>
      </c>
      <c r="AA30" s="101" t="str">
        <f>IF($B30="","",IF(OR('②-1職員名簿'!AL30="○",'②-1職員名簿'!AL30="●"),IF($E30="正規職員","正",IF($E30="契約上の就業時間を記載","",IF($E30&gt;=O$5,"常",O30))),"-"))</f>
        <v/>
      </c>
      <c r="AB30" s="101" t="str">
        <f>IF($B30="","",IF(OR('②-1職員名簿'!AM30="○",'②-1職員名簿'!AM30="●"),IF($E30="正規職員","正",IF($E30="契約上の就業時間を記載","",IF($E30&gt;=P$5,"常",P30))),"-"))</f>
        <v/>
      </c>
      <c r="AC30" s="101" t="str">
        <f>IF($B30="","",IF(OR('②-1職員名簿'!AN30="○",'②-1職員名簿'!AN30="●"),IF($E30="正規職員","正",IF($E30="契約上の就業時間を記載","",IF($E30&gt;=Q$5,"常",Q30))),"-"))</f>
        <v/>
      </c>
      <c r="AE30" s="98" t="str">
        <f>IF('②-1職員名簿'!W30="","",'②-1職員名簿'!W30)</f>
        <v/>
      </c>
      <c r="AJ30" s="18" t="str">
        <f t="shared" si="12"/>
        <v>○</v>
      </c>
      <c r="AK30" s="18" t="str">
        <f t="shared" si="13"/>
        <v>○</v>
      </c>
      <c r="AL30" s="18" t="str">
        <f t="shared" si="14"/>
        <v>○</v>
      </c>
      <c r="AM30" s="18" t="str">
        <f t="shared" si="15"/>
        <v>○</v>
      </c>
      <c r="AN30" s="18" t="str">
        <f t="shared" si="16"/>
        <v>○</v>
      </c>
      <c r="AO30" s="18" t="str">
        <f t="shared" si="17"/>
        <v>○</v>
      </c>
      <c r="AP30" s="18" t="str">
        <f t="shared" si="18"/>
        <v>○</v>
      </c>
      <c r="AQ30" s="18" t="str">
        <f t="shared" si="19"/>
        <v>○</v>
      </c>
      <c r="AR30" s="18" t="str">
        <f t="shared" si="20"/>
        <v>○</v>
      </c>
      <c r="AS30" s="18" t="str">
        <f t="shared" si="21"/>
        <v>○</v>
      </c>
      <c r="AT30" s="18" t="str">
        <f t="shared" si="22"/>
        <v>○</v>
      </c>
      <c r="AU30" s="18" t="str">
        <f t="shared" si="23"/>
        <v>○</v>
      </c>
    </row>
    <row r="31" spans="1:47" s="103" customFormat="1" ht="23.15" customHeight="1">
      <c r="A31" s="99">
        <v>25</v>
      </c>
      <c r="B31" s="98" t="str">
        <f>IF('②-1職員名簿'!E31="","",'②-1職員名簿'!Y31)</f>
        <v/>
      </c>
      <c r="C31" s="101" t="str">
        <f>'②-1職員名簿'!BE31</f>
        <v/>
      </c>
      <c r="D31" s="132" t="str">
        <f t="shared" si="9"/>
        <v/>
      </c>
      <c r="E31" s="19" t="str">
        <f>IF($B31="","",IF(AND('②-1職員名簿'!C31="正",'②-1職員名簿'!D31="常"),"正規職員","契約上の就業時間を記載"))</f>
        <v/>
      </c>
      <c r="F31" s="10" t="str">
        <f>IF($B31="","",IF(OR('②-1職員名簿'!AC31="○",'②-1職員名簿'!AC31="●"),IF($E31="正規職員","正",IF($E31="契約上の就業時間を記載","","見込を入力")),"-"))</f>
        <v/>
      </c>
      <c r="G31" s="10" t="str">
        <f>IF($B31="","",IF(OR('②-1職員名簿'!AD31="○",'②-1職員名簿'!AD31="●"),IF($E31="正規職員","正",IF($E31="契約上の就業時間を記載","","実績を入力")),"-"))</f>
        <v/>
      </c>
      <c r="H31" s="10" t="str">
        <f>IF($B31="","",IF(OR('②-1職員名簿'!AE31="○",'②-1職員名簿'!AE31="●"),IF($E31="正規職員","正",IF($E31="契約上の就業時間を記載","","実績を入力")),"-"))</f>
        <v/>
      </c>
      <c r="I31" s="10" t="str">
        <f>IF($B31="","",IF(OR('②-1職員名簿'!AF31="○",'②-1職員名簿'!AF31="●"),IF($E31="正規職員","正",IF($E31="契約上の就業時間を記載","","実績を入力")),"-"))</f>
        <v/>
      </c>
      <c r="J31" s="10" t="str">
        <f>IF($B31="","",IF(OR('②-1職員名簿'!AG31="○",'②-1職員名簿'!AG31="●"),IF($E31="正規職員","正",IF($E31="契約上の就業時間を記載","","実績を入力")),"-"))</f>
        <v/>
      </c>
      <c r="K31" s="10" t="str">
        <f>IF($B31="","",IF(OR('②-1職員名簿'!AH31="○",'②-1職員名簿'!AH31="●"),IF($E31="正規職員","正",IF($E31="契約上の就業時間を記載","","実績を入力")),"-"))</f>
        <v/>
      </c>
      <c r="L31" s="10" t="str">
        <f>IF($B31="","",IF(OR('②-1職員名簿'!AI31="○",'②-1職員名簿'!AI31="●"),IF($E31="正規職員","正",IF($E31="契約上の就業時間を記載","","実績を入力")),"-"))</f>
        <v/>
      </c>
      <c r="M31" s="10" t="str">
        <f>IF($B31="","",IF(OR('②-1職員名簿'!AJ31="○",'②-1職員名簿'!AJ31="●"),IF($E31="正規職員","正",IF($E31="契約上の就業時間を記載","","実績を入力")),"-"))</f>
        <v/>
      </c>
      <c r="N31" s="10" t="str">
        <f>IF($B31="","",IF(OR('②-1職員名簿'!AK31="○",'②-1職員名簿'!AK31="●"),IF($E31="正規職員","正",IF($E31="契約上の就業時間を記載","","実績を入力")),"-"))</f>
        <v/>
      </c>
      <c r="O31" s="10" t="str">
        <f>IF($B31="","",IF(OR('②-1職員名簿'!AL31="○",'②-1職員名簿'!AL31="●"),IF($E31="正規職員","正",IF($E31="契約上の就業時間を記載","","実績を入力")),"-"))</f>
        <v/>
      </c>
      <c r="P31" s="10" t="str">
        <f>IF($B31="","",IF(OR('②-1職員名簿'!AM31="○",'②-1職員名簿'!AM31="●"),IF($E31="正規職員","正",IF($E31="契約上の就業時間を記載","","実績を入力")),"-"))</f>
        <v/>
      </c>
      <c r="Q31" s="10" t="str">
        <f>IF($B31="","",IF(OR('②-1職員名簿'!AN31="○",'②-1職員名簿'!AN31="●"),IF($E31="正規職員","正",IF($E31="契約上の就業時間を記載","","実績を入力")),"-"))</f>
        <v/>
      </c>
      <c r="R31" s="101" t="str">
        <f>IF($B31="","",IF(OR('②-1職員名簿'!AC31="○",'②-1職員名簿'!AC31="●"),IF($E31="正規職員","正",IF($E31="契約上の就業時間を記載","",IF($E31&gt;=F$5,"常",F31))),"-"))</f>
        <v/>
      </c>
      <c r="S31" s="101" t="str">
        <f>IF($B31="","",IF(OR('②-1職員名簿'!AD31="○",'②-1職員名簿'!AD31="●"),IF($E31="正規職員","正",IF($E31="契約上の就業時間を記載","",IF($E31&gt;=G$5,"常",G31))),"-"))</f>
        <v/>
      </c>
      <c r="T31" s="101" t="str">
        <f>IF($B31="","",IF(OR('②-1職員名簿'!AE31="○",'②-1職員名簿'!AE31="●"),IF($E31="正規職員","正",IF($E31="契約上の就業時間を記載","",IF($E31&gt;=H$5,"常",H31))),"-"))</f>
        <v/>
      </c>
      <c r="U31" s="101" t="str">
        <f>IF($B31="","",IF(OR('②-1職員名簿'!AF31="○",'②-1職員名簿'!AF31="●"),IF($E31="正規職員","正",IF($E31="契約上の就業時間を記載","",IF($E31&gt;=I$5,"常",I31))),"-"))</f>
        <v/>
      </c>
      <c r="V31" s="101" t="str">
        <f>IF($B31="","",IF(OR('②-1職員名簿'!AG31="○",'②-1職員名簿'!AG31="●"),IF($E31="正規職員","正",IF($E31="契約上の就業時間を記載","",IF($E31&gt;=J$5,"常",J31))),"-"))</f>
        <v/>
      </c>
      <c r="W31" s="101" t="str">
        <f>IF($B31="","",IF(OR('②-1職員名簿'!AH31="○",'②-1職員名簿'!AH31="●"),IF($E31="正規職員","正",IF($E31="契約上の就業時間を記載","",IF($E31&gt;=K$5,"常",K31))),"-"))</f>
        <v/>
      </c>
      <c r="X31" s="101" t="str">
        <f>IF($B31="","",IF(OR('②-1職員名簿'!AI31="○",'②-1職員名簿'!AI31="●"),IF($E31="正規職員","正",IF($E31="契約上の就業時間を記載","",IF($E31&gt;=L$5,"常",L31))),"-"))</f>
        <v/>
      </c>
      <c r="Y31" s="101" t="str">
        <f>IF($B31="","",IF(OR('②-1職員名簿'!AJ31="○",'②-1職員名簿'!AJ31="●"),IF($E31="正規職員","正",IF($E31="契約上の就業時間を記載","",IF($E31&gt;=M$5,"常",M31))),"-"))</f>
        <v/>
      </c>
      <c r="Z31" s="101" t="str">
        <f>IF($B31="","",IF(OR('②-1職員名簿'!AK31="○",'②-1職員名簿'!AK31="●"),IF($E31="正規職員","正",IF($E31="契約上の就業時間を記載","",IF($E31&gt;=N$5,"常",N31))),"-"))</f>
        <v/>
      </c>
      <c r="AA31" s="101" t="str">
        <f>IF($B31="","",IF(OR('②-1職員名簿'!AL31="○",'②-1職員名簿'!AL31="●"),IF($E31="正規職員","正",IF($E31="契約上の就業時間を記載","",IF($E31&gt;=O$5,"常",O31))),"-"))</f>
        <v/>
      </c>
      <c r="AB31" s="101" t="str">
        <f>IF($B31="","",IF(OR('②-1職員名簿'!AM31="○",'②-1職員名簿'!AM31="●"),IF($E31="正規職員","正",IF($E31="契約上の就業時間を記載","",IF($E31&gt;=P$5,"常",P31))),"-"))</f>
        <v/>
      </c>
      <c r="AC31" s="101" t="str">
        <f>IF($B31="","",IF(OR('②-1職員名簿'!AN31="○",'②-1職員名簿'!AN31="●"),IF($E31="正規職員","正",IF($E31="契約上の就業時間を記載","",IF($E31&gt;=Q$5,"常",Q31))),"-"))</f>
        <v/>
      </c>
      <c r="AE31" s="98" t="str">
        <f>IF('②-1職員名簿'!W31="","",'②-1職員名簿'!W31)</f>
        <v/>
      </c>
      <c r="AJ31" s="18" t="str">
        <f t="shared" si="12"/>
        <v>○</v>
      </c>
      <c r="AK31" s="18" t="str">
        <f t="shared" si="13"/>
        <v>○</v>
      </c>
      <c r="AL31" s="18" t="str">
        <f t="shared" si="14"/>
        <v>○</v>
      </c>
      <c r="AM31" s="18" t="str">
        <f t="shared" si="15"/>
        <v>○</v>
      </c>
      <c r="AN31" s="18" t="str">
        <f t="shared" si="16"/>
        <v>○</v>
      </c>
      <c r="AO31" s="18" t="str">
        <f t="shared" si="17"/>
        <v>○</v>
      </c>
      <c r="AP31" s="18" t="str">
        <f t="shared" si="18"/>
        <v>○</v>
      </c>
      <c r="AQ31" s="18" t="str">
        <f t="shared" si="19"/>
        <v>○</v>
      </c>
      <c r="AR31" s="18" t="str">
        <f t="shared" si="20"/>
        <v>○</v>
      </c>
      <c r="AS31" s="18" t="str">
        <f t="shared" si="21"/>
        <v>○</v>
      </c>
      <c r="AT31" s="18" t="str">
        <f t="shared" si="22"/>
        <v>○</v>
      </c>
      <c r="AU31" s="18" t="str">
        <f t="shared" si="23"/>
        <v>○</v>
      </c>
    </row>
    <row r="32" spans="1:47" s="103" customFormat="1" ht="23.15" customHeight="1">
      <c r="A32" s="99">
        <v>26</v>
      </c>
      <c r="B32" s="98" t="str">
        <f>IF('②-1職員名簿'!E32="","",'②-1職員名簿'!Y32)</f>
        <v/>
      </c>
      <c r="C32" s="101" t="str">
        <f>'②-1職員名簿'!BE32</f>
        <v/>
      </c>
      <c r="D32" s="132" t="str">
        <f t="shared" si="9"/>
        <v/>
      </c>
      <c r="E32" s="19" t="str">
        <f>IF($B32="","",IF(AND('②-1職員名簿'!C32="正",'②-1職員名簿'!D32="常"),"正規職員","契約上の就業時間を記載"))</f>
        <v/>
      </c>
      <c r="F32" s="10" t="str">
        <f>IF($B32="","",IF(OR('②-1職員名簿'!AC32="○",'②-1職員名簿'!AC32="●"),IF($E32="正規職員","正",IF($E32="契約上の就業時間を記載","","見込を入力")),"-"))</f>
        <v/>
      </c>
      <c r="G32" s="10" t="str">
        <f>IF($B32="","",IF(OR('②-1職員名簿'!AD32="○",'②-1職員名簿'!AD32="●"),IF($E32="正規職員","正",IF($E32="契約上の就業時間を記載","","実績を入力")),"-"))</f>
        <v/>
      </c>
      <c r="H32" s="10" t="str">
        <f>IF($B32="","",IF(OR('②-1職員名簿'!AE32="○",'②-1職員名簿'!AE32="●"),IF($E32="正規職員","正",IF($E32="契約上の就業時間を記載","","実績を入力")),"-"))</f>
        <v/>
      </c>
      <c r="I32" s="10" t="str">
        <f>IF($B32="","",IF(OR('②-1職員名簿'!AF32="○",'②-1職員名簿'!AF32="●"),IF($E32="正規職員","正",IF($E32="契約上の就業時間を記載","","実績を入力")),"-"))</f>
        <v/>
      </c>
      <c r="J32" s="10" t="str">
        <f>IF($B32="","",IF(OR('②-1職員名簿'!AG32="○",'②-1職員名簿'!AG32="●"),IF($E32="正規職員","正",IF($E32="契約上の就業時間を記載","","実績を入力")),"-"))</f>
        <v/>
      </c>
      <c r="K32" s="10" t="str">
        <f>IF($B32="","",IF(OR('②-1職員名簿'!AH32="○",'②-1職員名簿'!AH32="●"),IF($E32="正規職員","正",IF($E32="契約上の就業時間を記載","","実績を入力")),"-"))</f>
        <v/>
      </c>
      <c r="L32" s="10" t="str">
        <f>IF($B32="","",IF(OR('②-1職員名簿'!AI32="○",'②-1職員名簿'!AI32="●"),IF($E32="正規職員","正",IF($E32="契約上の就業時間を記載","","実績を入力")),"-"))</f>
        <v/>
      </c>
      <c r="M32" s="10" t="str">
        <f>IF($B32="","",IF(OR('②-1職員名簿'!AJ32="○",'②-1職員名簿'!AJ32="●"),IF($E32="正規職員","正",IF($E32="契約上の就業時間を記載","","実績を入力")),"-"))</f>
        <v/>
      </c>
      <c r="N32" s="10" t="str">
        <f>IF($B32="","",IF(OR('②-1職員名簿'!AK32="○",'②-1職員名簿'!AK32="●"),IF($E32="正規職員","正",IF($E32="契約上の就業時間を記載","","実績を入力")),"-"))</f>
        <v/>
      </c>
      <c r="O32" s="10" t="str">
        <f>IF($B32="","",IF(OR('②-1職員名簿'!AL32="○",'②-1職員名簿'!AL32="●"),IF($E32="正規職員","正",IF($E32="契約上の就業時間を記載","","実績を入力")),"-"))</f>
        <v/>
      </c>
      <c r="P32" s="10" t="str">
        <f>IF($B32="","",IF(OR('②-1職員名簿'!AM32="○",'②-1職員名簿'!AM32="●"),IF($E32="正規職員","正",IF($E32="契約上の就業時間を記載","","実績を入力")),"-"))</f>
        <v/>
      </c>
      <c r="Q32" s="10" t="str">
        <f>IF($B32="","",IF(OR('②-1職員名簿'!AN32="○",'②-1職員名簿'!AN32="●"),IF($E32="正規職員","正",IF($E32="契約上の就業時間を記載","","実績を入力")),"-"))</f>
        <v/>
      </c>
      <c r="R32" s="101" t="str">
        <f>IF($B32="","",IF(OR('②-1職員名簿'!AC32="○",'②-1職員名簿'!AC32="●"),IF($E32="正規職員","正",IF($E32="契約上の就業時間を記載","",IF($E32&gt;=F$5,"常",F32))),"-"))</f>
        <v/>
      </c>
      <c r="S32" s="101" t="str">
        <f>IF($B32="","",IF(OR('②-1職員名簿'!AD32="○",'②-1職員名簿'!AD32="●"),IF($E32="正規職員","正",IF($E32="契約上の就業時間を記載","",IF($E32&gt;=G$5,"常",G32))),"-"))</f>
        <v/>
      </c>
      <c r="T32" s="101" t="str">
        <f>IF($B32="","",IF(OR('②-1職員名簿'!AE32="○",'②-1職員名簿'!AE32="●"),IF($E32="正規職員","正",IF($E32="契約上の就業時間を記載","",IF($E32&gt;=H$5,"常",H32))),"-"))</f>
        <v/>
      </c>
      <c r="U32" s="101" t="str">
        <f>IF($B32="","",IF(OR('②-1職員名簿'!AF32="○",'②-1職員名簿'!AF32="●"),IF($E32="正規職員","正",IF($E32="契約上の就業時間を記載","",IF($E32&gt;=I$5,"常",I32))),"-"))</f>
        <v/>
      </c>
      <c r="V32" s="101" t="str">
        <f>IF($B32="","",IF(OR('②-1職員名簿'!AG32="○",'②-1職員名簿'!AG32="●"),IF($E32="正規職員","正",IF($E32="契約上の就業時間を記載","",IF($E32&gt;=J$5,"常",J32))),"-"))</f>
        <v/>
      </c>
      <c r="W32" s="101" t="str">
        <f>IF($B32="","",IF(OR('②-1職員名簿'!AH32="○",'②-1職員名簿'!AH32="●"),IF($E32="正規職員","正",IF($E32="契約上の就業時間を記載","",IF($E32&gt;=K$5,"常",K32))),"-"))</f>
        <v/>
      </c>
      <c r="X32" s="101" t="str">
        <f>IF($B32="","",IF(OR('②-1職員名簿'!AI32="○",'②-1職員名簿'!AI32="●"),IF($E32="正規職員","正",IF($E32="契約上の就業時間を記載","",IF($E32&gt;=L$5,"常",L32))),"-"))</f>
        <v/>
      </c>
      <c r="Y32" s="101" t="str">
        <f>IF($B32="","",IF(OR('②-1職員名簿'!AJ32="○",'②-1職員名簿'!AJ32="●"),IF($E32="正規職員","正",IF($E32="契約上の就業時間を記載","",IF($E32&gt;=M$5,"常",M32))),"-"))</f>
        <v/>
      </c>
      <c r="Z32" s="101" t="str">
        <f>IF($B32="","",IF(OR('②-1職員名簿'!AK32="○",'②-1職員名簿'!AK32="●"),IF($E32="正規職員","正",IF($E32="契約上の就業時間を記載","",IF($E32&gt;=N$5,"常",N32))),"-"))</f>
        <v/>
      </c>
      <c r="AA32" s="101" t="str">
        <f>IF($B32="","",IF(OR('②-1職員名簿'!AL32="○",'②-1職員名簿'!AL32="●"),IF($E32="正規職員","正",IF($E32="契約上の就業時間を記載","",IF($E32&gt;=O$5,"常",O32))),"-"))</f>
        <v/>
      </c>
      <c r="AB32" s="101" t="str">
        <f>IF($B32="","",IF(OR('②-1職員名簿'!AM32="○",'②-1職員名簿'!AM32="●"),IF($E32="正規職員","正",IF($E32="契約上の就業時間を記載","",IF($E32&gt;=P$5,"常",P32))),"-"))</f>
        <v/>
      </c>
      <c r="AC32" s="101" t="str">
        <f>IF($B32="","",IF(OR('②-1職員名簿'!AN32="○",'②-1職員名簿'!AN32="●"),IF($E32="正規職員","正",IF($E32="契約上の就業時間を記載","",IF($E32&gt;=Q$5,"常",Q32))),"-"))</f>
        <v/>
      </c>
      <c r="AE32" s="98" t="str">
        <f>IF('②-1職員名簿'!W32="","",'②-1職員名簿'!W32)</f>
        <v/>
      </c>
      <c r="AJ32" s="18" t="str">
        <f t="shared" si="12"/>
        <v>○</v>
      </c>
      <c r="AK32" s="18" t="str">
        <f t="shared" si="13"/>
        <v>○</v>
      </c>
      <c r="AL32" s="18" t="str">
        <f t="shared" si="14"/>
        <v>○</v>
      </c>
      <c r="AM32" s="18" t="str">
        <f t="shared" si="15"/>
        <v>○</v>
      </c>
      <c r="AN32" s="18" t="str">
        <f t="shared" si="16"/>
        <v>○</v>
      </c>
      <c r="AO32" s="18" t="str">
        <f t="shared" si="17"/>
        <v>○</v>
      </c>
      <c r="AP32" s="18" t="str">
        <f t="shared" si="18"/>
        <v>○</v>
      </c>
      <c r="AQ32" s="18" t="str">
        <f t="shared" si="19"/>
        <v>○</v>
      </c>
      <c r="AR32" s="18" t="str">
        <f t="shared" si="20"/>
        <v>○</v>
      </c>
      <c r="AS32" s="18" t="str">
        <f t="shared" si="21"/>
        <v>○</v>
      </c>
      <c r="AT32" s="18" t="str">
        <f t="shared" si="22"/>
        <v>○</v>
      </c>
      <c r="AU32" s="18" t="str">
        <f t="shared" si="23"/>
        <v>○</v>
      </c>
    </row>
    <row r="33" spans="1:47" s="103" customFormat="1" ht="23.15" customHeight="1">
      <c r="A33" s="99">
        <v>27</v>
      </c>
      <c r="B33" s="98" t="str">
        <f>IF('②-1職員名簿'!E33="","",'②-1職員名簿'!Y33)</f>
        <v/>
      </c>
      <c r="C33" s="101" t="str">
        <f>'②-1職員名簿'!BE33</f>
        <v/>
      </c>
      <c r="D33" s="132" t="str">
        <f t="shared" si="9"/>
        <v/>
      </c>
      <c r="E33" s="19" t="str">
        <f>IF($B33="","",IF(AND('②-1職員名簿'!C33="正",'②-1職員名簿'!D33="常"),"正規職員","契約上の就業時間を記載"))</f>
        <v/>
      </c>
      <c r="F33" s="10" t="str">
        <f>IF($B33="","",IF(OR('②-1職員名簿'!AC33="○",'②-1職員名簿'!AC33="●"),IF($E33="正規職員","正",IF($E33="契約上の就業時間を記載","","見込を入力")),"-"))</f>
        <v/>
      </c>
      <c r="G33" s="10" t="str">
        <f>IF($B33="","",IF(OR('②-1職員名簿'!AD33="○",'②-1職員名簿'!AD33="●"),IF($E33="正規職員","正",IF($E33="契約上の就業時間を記載","","実績を入力")),"-"))</f>
        <v/>
      </c>
      <c r="H33" s="10" t="str">
        <f>IF($B33="","",IF(OR('②-1職員名簿'!AE33="○",'②-1職員名簿'!AE33="●"),IF($E33="正規職員","正",IF($E33="契約上の就業時間を記載","","実績を入力")),"-"))</f>
        <v/>
      </c>
      <c r="I33" s="10" t="str">
        <f>IF($B33="","",IF(OR('②-1職員名簿'!AF33="○",'②-1職員名簿'!AF33="●"),IF($E33="正規職員","正",IF($E33="契約上の就業時間を記載","","実績を入力")),"-"))</f>
        <v/>
      </c>
      <c r="J33" s="10" t="str">
        <f>IF($B33="","",IF(OR('②-1職員名簿'!AG33="○",'②-1職員名簿'!AG33="●"),IF($E33="正規職員","正",IF($E33="契約上の就業時間を記載","","実績を入力")),"-"))</f>
        <v/>
      </c>
      <c r="K33" s="10" t="str">
        <f>IF($B33="","",IF(OR('②-1職員名簿'!AH33="○",'②-1職員名簿'!AH33="●"),IF($E33="正規職員","正",IF($E33="契約上の就業時間を記載","","実績を入力")),"-"))</f>
        <v/>
      </c>
      <c r="L33" s="10" t="str">
        <f>IF($B33="","",IF(OR('②-1職員名簿'!AI33="○",'②-1職員名簿'!AI33="●"),IF($E33="正規職員","正",IF($E33="契約上の就業時間を記載","","実績を入力")),"-"))</f>
        <v/>
      </c>
      <c r="M33" s="10" t="str">
        <f>IF($B33="","",IF(OR('②-1職員名簿'!AJ33="○",'②-1職員名簿'!AJ33="●"),IF($E33="正規職員","正",IF($E33="契約上の就業時間を記載","","実績を入力")),"-"))</f>
        <v/>
      </c>
      <c r="N33" s="10" t="str">
        <f>IF($B33="","",IF(OR('②-1職員名簿'!AK33="○",'②-1職員名簿'!AK33="●"),IF($E33="正規職員","正",IF($E33="契約上の就業時間を記載","","実績を入力")),"-"))</f>
        <v/>
      </c>
      <c r="O33" s="10" t="str">
        <f>IF($B33="","",IF(OR('②-1職員名簿'!AL33="○",'②-1職員名簿'!AL33="●"),IF($E33="正規職員","正",IF($E33="契約上の就業時間を記載","","実績を入力")),"-"))</f>
        <v/>
      </c>
      <c r="P33" s="10" t="str">
        <f>IF($B33="","",IF(OR('②-1職員名簿'!AM33="○",'②-1職員名簿'!AM33="●"),IF($E33="正規職員","正",IF($E33="契約上の就業時間を記載","","実績を入力")),"-"))</f>
        <v/>
      </c>
      <c r="Q33" s="10" t="str">
        <f>IF($B33="","",IF(OR('②-1職員名簿'!AN33="○",'②-1職員名簿'!AN33="●"),IF($E33="正規職員","正",IF($E33="契約上の就業時間を記載","","実績を入力")),"-"))</f>
        <v/>
      </c>
      <c r="R33" s="101" t="str">
        <f>IF($B33="","",IF(OR('②-1職員名簿'!AC33="○",'②-1職員名簿'!AC33="●"),IF($E33="正規職員","正",IF($E33="契約上の就業時間を記載","",IF($E33&gt;=F$5,"常",F33))),"-"))</f>
        <v/>
      </c>
      <c r="S33" s="101" t="str">
        <f>IF($B33="","",IF(OR('②-1職員名簿'!AD33="○",'②-1職員名簿'!AD33="●"),IF($E33="正規職員","正",IF($E33="契約上の就業時間を記載","",IF($E33&gt;=G$5,"常",G33))),"-"))</f>
        <v/>
      </c>
      <c r="T33" s="101" t="str">
        <f>IF($B33="","",IF(OR('②-1職員名簿'!AE33="○",'②-1職員名簿'!AE33="●"),IF($E33="正規職員","正",IF($E33="契約上の就業時間を記載","",IF($E33&gt;=H$5,"常",H33))),"-"))</f>
        <v/>
      </c>
      <c r="U33" s="101" t="str">
        <f>IF($B33="","",IF(OR('②-1職員名簿'!AF33="○",'②-1職員名簿'!AF33="●"),IF($E33="正規職員","正",IF($E33="契約上の就業時間を記載","",IF($E33&gt;=I$5,"常",I33))),"-"))</f>
        <v/>
      </c>
      <c r="V33" s="101" t="str">
        <f>IF($B33="","",IF(OR('②-1職員名簿'!AG33="○",'②-1職員名簿'!AG33="●"),IF($E33="正規職員","正",IF($E33="契約上の就業時間を記載","",IF($E33&gt;=J$5,"常",J33))),"-"))</f>
        <v/>
      </c>
      <c r="W33" s="101" t="str">
        <f>IF($B33="","",IF(OR('②-1職員名簿'!AH33="○",'②-1職員名簿'!AH33="●"),IF($E33="正規職員","正",IF($E33="契約上の就業時間を記載","",IF($E33&gt;=K$5,"常",K33))),"-"))</f>
        <v/>
      </c>
      <c r="X33" s="101" t="str">
        <f>IF($B33="","",IF(OR('②-1職員名簿'!AI33="○",'②-1職員名簿'!AI33="●"),IF($E33="正規職員","正",IF($E33="契約上の就業時間を記載","",IF($E33&gt;=L$5,"常",L33))),"-"))</f>
        <v/>
      </c>
      <c r="Y33" s="101" t="str">
        <f>IF($B33="","",IF(OR('②-1職員名簿'!AJ33="○",'②-1職員名簿'!AJ33="●"),IF($E33="正規職員","正",IF($E33="契約上の就業時間を記載","",IF($E33&gt;=M$5,"常",M33))),"-"))</f>
        <v/>
      </c>
      <c r="Z33" s="101" t="str">
        <f>IF($B33="","",IF(OR('②-1職員名簿'!AK33="○",'②-1職員名簿'!AK33="●"),IF($E33="正規職員","正",IF($E33="契約上の就業時間を記載","",IF($E33&gt;=N$5,"常",N33))),"-"))</f>
        <v/>
      </c>
      <c r="AA33" s="101" t="str">
        <f>IF($B33="","",IF(OR('②-1職員名簿'!AL33="○",'②-1職員名簿'!AL33="●"),IF($E33="正規職員","正",IF($E33="契約上の就業時間を記載","",IF($E33&gt;=O$5,"常",O33))),"-"))</f>
        <v/>
      </c>
      <c r="AB33" s="101" t="str">
        <f>IF($B33="","",IF(OR('②-1職員名簿'!AM33="○",'②-1職員名簿'!AM33="●"),IF($E33="正規職員","正",IF($E33="契約上の就業時間を記載","",IF($E33&gt;=P$5,"常",P33))),"-"))</f>
        <v/>
      </c>
      <c r="AC33" s="101" t="str">
        <f>IF($B33="","",IF(OR('②-1職員名簿'!AN33="○",'②-1職員名簿'!AN33="●"),IF($E33="正規職員","正",IF($E33="契約上の就業時間を記載","",IF($E33&gt;=Q$5,"常",Q33))),"-"))</f>
        <v/>
      </c>
      <c r="AE33" s="98" t="str">
        <f>IF('②-1職員名簿'!W33="","",'②-1職員名簿'!W33)</f>
        <v/>
      </c>
      <c r="AJ33" s="18" t="str">
        <f t="shared" si="12"/>
        <v>○</v>
      </c>
      <c r="AK33" s="18" t="str">
        <f t="shared" si="13"/>
        <v>○</v>
      </c>
      <c r="AL33" s="18" t="str">
        <f t="shared" si="14"/>
        <v>○</v>
      </c>
      <c r="AM33" s="18" t="str">
        <f t="shared" si="15"/>
        <v>○</v>
      </c>
      <c r="AN33" s="18" t="str">
        <f t="shared" si="16"/>
        <v>○</v>
      </c>
      <c r="AO33" s="18" t="str">
        <f t="shared" si="17"/>
        <v>○</v>
      </c>
      <c r="AP33" s="18" t="str">
        <f t="shared" si="18"/>
        <v>○</v>
      </c>
      <c r="AQ33" s="18" t="str">
        <f t="shared" si="19"/>
        <v>○</v>
      </c>
      <c r="AR33" s="18" t="str">
        <f t="shared" si="20"/>
        <v>○</v>
      </c>
      <c r="AS33" s="18" t="str">
        <f t="shared" si="21"/>
        <v>○</v>
      </c>
      <c r="AT33" s="18" t="str">
        <f t="shared" si="22"/>
        <v>○</v>
      </c>
      <c r="AU33" s="18" t="str">
        <f t="shared" si="23"/>
        <v>○</v>
      </c>
    </row>
    <row r="34" spans="1:47" s="103" customFormat="1" ht="23.15" customHeight="1">
      <c r="A34" s="99">
        <v>28</v>
      </c>
      <c r="B34" s="98" t="str">
        <f>IF('②-1職員名簿'!E34="","",'②-1職員名簿'!Y34)</f>
        <v/>
      </c>
      <c r="C34" s="101" t="str">
        <f>'②-1職員名簿'!BE34</f>
        <v/>
      </c>
      <c r="D34" s="132" t="str">
        <f t="shared" si="9"/>
        <v/>
      </c>
      <c r="E34" s="19" t="str">
        <f>IF($B34="","",IF(AND('②-1職員名簿'!C34="正",'②-1職員名簿'!D34="常"),"正規職員","契約上の就業時間を記載"))</f>
        <v/>
      </c>
      <c r="F34" s="10" t="str">
        <f>IF($B34="","",IF(OR('②-1職員名簿'!AC34="○",'②-1職員名簿'!AC34="●"),IF($E34="正規職員","正",IF($E34="契約上の就業時間を記載","","見込を入力")),"-"))</f>
        <v/>
      </c>
      <c r="G34" s="10" t="str">
        <f>IF($B34="","",IF(OR('②-1職員名簿'!AD34="○",'②-1職員名簿'!AD34="●"),IF($E34="正規職員","正",IF($E34="契約上の就業時間を記載","","実績を入力")),"-"))</f>
        <v/>
      </c>
      <c r="H34" s="10" t="str">
        <f>IF($B34="","",IF(OR('②-1職員名簿'!AE34="○",'②-1職員名簿'!AE34="●"),IF($E34="正規職員","正",IF($E34="契約上の就業時間を記載","","実績を入力")),"-"))</f>
        <v/>
      </c>
      <c r="I34" s="10" t="str">
        <f>IF($B34="","",IF(OR('②-1職員名簿'!AF34="○",'②-1職員名簿'!AF34="●"),IF($E34="正規職員","正",IF($E34="契約上の就業時間を記載","","実績を入力")),"-"))</f>
        <v/>
      </c>
      <c r="J34" s="10" t="str">
        <f>IF($B34="","",IF(OR('②-1職員名簿'!AG34="○",'②-1職員名簿'!AG34="●"),IF($E34="正規職員","正",IF($E34="契約上の就業時間を記載","","実績を入力")),"-"))</f>
        <v/>
      </c>
      <c r="K34" s="10" t="str">
        <f>IF($B34="","",IF(OR('②-1職員名簿'!AH34="○",'②-1職員名簿'!AH34="●"),IF($E34="正規職員","正",IF($E34="契約上の就業時間を記載","","実績を入力")),"-"))</f>
        <v/>
      </c>
      <c r="L34" s="10" t="str">
        <f>IF($B34="","",IF(OR('②-1職員名簿'!AI34="○",'②-1職員名簿'!AI34="●"),IF($E34="正規職員","正",IF($E34="契約上の就業時間を記載","","実績を入力")),"-"))</f>
        <v/>
      </c>
      <c r="M34" s="10" t="str">
        <f>IF($B34="","",IF(OR('②-1職員名簿'!AJ34="○",'②-1職員名簿'!AJ34="●"),IF($E34="正規職員","正",IF($E34="契約上の就業時間を記載","","実績を入力")),"-"))</f>
        <v/>
      </c>
      <c r="N34" s="10" t="str">
        <f>IF($B34="","",IF(OR('②-1職員名簿'!AK34="○",'②-1職員名簿'!AK34="●"),IF($E34="正規職員","正",IF($E34="契約上の就業時間を記載","","実績を入力")),"-"))</f>
        <v/>
      </c>
      <c r="O34" s="10" t="str">
        <f>IF($B34="","",IF(OR('②-1職員名簿'!AL34="○",'②-1職員名簿'!AL34="●"),IF($E34="正規職員","正",IF($E34="契約上の就業時間を記載","","実績を入力")),"-"))</f>
        <v/>
      </c>
      <c r="P34" s="10" t="str">
        <f>IF($B34="","",IF(OR('②-1職員名簿'!AM34="○",'②-1職員名簿'!AM34="●"),IF($E34="正規職員","正",IF($E34="契約上の就業時間を記載","","実績を入力")),"-"))</f>
        <v/>
      </c>
      <c r="Q34" s="10" t="str">
        <f>IF($B34="","",IF(OR('②-1職員名簿'!AN34="○",'②-1職員名簿'!AN34="●"),IF($E34="正規職員","正",IF($E34="契約上の就業時間を記載","","実績を入力")),"-"))</f>
        <v/>
      </c>
      <c r="R34" s="101" t="str">
        <f>IF($B34="","",IF(OR('②-1職員名簿'!AC34="○",'②-1職員名簿'!AC34="●"),IF($E34="正規職員","正",IF($E34="契約上の就業時間を記載","",IF($E34&gt;=F$5,"常",F34))),"-"))</f>
        <v/>
      </c>
      <c r="S34" s="101" t="str">
        <f>IF($B34="","",IF(OR('②-1職員名簿'!AD34="○",'②-1職員名簿'!AD34="●"),IF($E34="正規職員","正",IF($E34="契約上の就業時間を記載","",IF($E34&gt;=G$5,"常",G34))),"-"))</f>
        <v/>
      </c>
      <c r="T34" s="101" t="str">
        <f>IF($B34="","",IF(OR('②-1職員名簿'!AE34="○",'②-1職員名簿'!AE34="●"),IF($E34="正規職員","正",IF($E34="契約上の就業時間を記載","",IF($E34&gt;=H$5,"常",H34))),"-"))</f>
        <v/>
      </c>
      <c r="U34" s="101" t="str">
        <f>IF($B34="","",IF(OR('②-1職員名簿'!AF34="○",'②-1職員名簿'!AF34="●"),IF($E34="正規職員","正",IF($E34="契約上の就業時間を記載","",IF($E34&gt;=I$5,"常",I34))),"-"))</f>
        <v/>
      </c>
      <c r="V34" s="101" t="str">
        <f>IF($B34="","",IF(OR('②-1職員名簿'!AG34="○",'②-1職員名簿'!AG34="●"),IF($E34="正規職員","正",IF($E34="契約上の就業時間を記載","",IF($E34&gt;=J$5,"常",J34))),"-"))</f>
        <v/>
      </c>
      <c r="W34" s="101" t="str">
        <f>IF($B34="","",IF(OR('②-1職員名簿'!AH34="○",'②-1職員名簿'!AH34="●"),IF($E34="正規職員","正",IF($E34="契約上の就業時間を記載","",IF($E34&gt;=K$5,"常",K34))),"-"))</f>
        <v/>
      </c>
      <c r="X34" s="101" t="str">
        <f>IF($B34="","",IF(OR('②-1職員名簿'!AI34="○",'②-1職員名簿'!AI34="●"),IF($E34="正規職員","正",IF($E34="契約上の就業時間を記載","",IF($E34&gt;=L$5,"常",L34))),"-"))</f>
        <v/>
      </c>
      <c r="Y34" s="101" t="str">
        <f>IF($B34="","",IF(OR('②-1職員名簿'!AJ34="○",'②-1職員名簿'!AJ34="●"),IF($E34="正規職員","正",IF($E34="契約上の就業時間を記載","",IF($E34&gt;=M$5,"常",M34))),"-"))</f>
        <v/>
      </c>
      <c r="Z34" s="101" t="str">
        <f>IF($B34="","",IF(OR('②-1職員名簿'!AK34="○",'②-1職員名簿'!AK34="●"),IF($E34="正規職員","正",IF($E34="契約上の就業時間を記載","",IF($E34&gt;=N$5,"常",N34))),"-"))</f>
        <v/>
      </c>
      <c r="AA34" s="101" t="str">
        <f>IF($B34="","",IF(OR('②-1職員名簿'!AL34="○",'②-1職員名簿'!AL34="●"),IF($E34="正規職員","正",IF($E34="契約上の就業時間を記載","",IF($E34&gt;=O$5,"常",O34))),"-"))</f>
        <v/>
      </c>
      <c r="AB34" s="101" t="str">
        <f>IF($B34="","",IF(OR('②-1職員名簿'!AM34="○",'②-1職員名簿'!AM34="●"),IF($E34="正規職員","正",IF($E34="契約上の就業時間を記載","",IF($E34&gt;=P$5,"常",P34))),"-"))</f>
        <v/>
      </c>
      <c r="AC34" s="101" t="str">
        <f>IF($B34="","",IF(OR('②-1職員名簿'!AN34="○",'②-1職員名簿'!AN34="●"),IF($E34="正規職員","正",IF($E34="契約上の就業時間を記載","",IF($E34&gt;=Q$5,"常",Q34))),"-"))</f>
        <v/>
      </c>
      <c r="AE34" s="98" t="str">
        <f>IF('②-1職員名簿'!W34="","",'②-1職員名簿'!W34)</f>
        <v/>
      </c>
      <c r="AJ34" s="18" t="str">
        <f t="shared" si="12"/>
        <v>○</v>
      </c>
      <c r="AK34" s="18" t="str">
        <f t="shared" si="13"/>
        <v>○</v>
      </c>
      <c r="AL34" s="18" t="str">
        <f t="shared" si="14"/>
        <v>○</v>
      </c>
      <c r="AM34" s="18" t="str">
        <f t="shared" si="15"/>
        <v>○</v>
      </c>
      <c r="AN34" s="18" t="str">
        <f t="shared" si="16"/>
        <v>○</v>
      </c>
      <c r="AO34" s="18" t="str">
        <f t="shared" si="17"/>
        <v>○</v>
      </c>
      <c r="AP34" s="18" t="str">
        <f t="shared" si="18"/>
        <v>○</v>
      </c>
      <c r="AQ34" s="18" t="str">
        <f t="shared" si="19"/>
        <v>○</v>
      </c>
      <c r="AR34" s="18" t="str">
        <f t="shared" si="20"/>
        <v>○</v>
      </c>
      <c r="AS34" s="18" t="str">
        <f t="shared" si="21"/>
        <v>○</v>
      </c>
      <c r="AT34" s="18" t="str">
        <f t="shared" si="22"/>
        <v>○</v>
      </c>
      <c r="AU34" s="18" t="str">
        <f t="shared" si="23"/>
        <v>○</v>
      </c>
    </row>
    <row r="35" spans="1:47" s="103" customFormat="1" ht="23.15" customHeight="1">
      <c r="A35" s="99">
        <v>29</v>
      </c>
      <c r="B35" s="98" t="str">
        <f>IF('②-1職員名簿'!E35="","",'②-1職員名簿'!Y35)</f>
        <v/>
      </c>
      <c r="C35" s="101" t="str">
        <f>'②-1職員名簿'!BE35</f>
        <v/>
      </c>
      <c r="D35" s="132" t="str">
        <f t="shared" si="9"/>
        <v/>
      </c>
      <c r="E35" s="19" t="str">
        <f>IF($B35="","",IF(AND('②-1職員名簿'!C35="正",'②-1職員名簿'!D35="常"),"正規職員","契約上の就業時間を記載"))</f>
        <v/>
      </c>
      <c r="F35" s="10" t="str">
        <f>IF($B35="","",IF(OR('②-1職員名簿'!AC35="○",'②-1職員名簿'!AC35="●"),IF($E35="正規職員","正",IF($E35="契約上の就業時間を記載","","見込を入力")),"-"))</f>
        <v/>
      </c>
      <c r="G35" s="10" t="str">
        <f>IF($B35="","",IF(OR('②-1職員名簿'!AD35="○",'②-1職員名簿'!AD35="●"),IF($E35="正規職員","正",IF($E35="契約上の就業時間を記載","","実績を入力")),"-"))</f>
        <v/>
      </c>
      <c r="H35" s="10" t="str">
        <f>IF($B35="","",IF(OR('②-1職員名簿'!AE35="○",'②-1職員名簿'!AE35="●"),IF($E35="正規職員","正",IF($E35="契約上の就業時間を記載","","実績を入力")),"-"))</f>
        <v/>
      </c>
      <c r="I35" s="10" t="str">
        <f>IF($B35="","",IF(OR('②-1職員名簿'!AF35="○",'②-1職員名簿'!AF35="●"),IF($E35="正規職員","正",IF($E35="契約上の就業時間を記載","","実績を入力")),"-"))</f>
        <v/>
      </c>
      <c r="J35" s="10" t="str">
        <f>IF($B35="","",IF(OR('②-1職員名簿'!AG35="○",'②-1職員名簿'!AG35="●"),IF($E35="正規職員","正",IF($E35="契約上の就業時間を記載","","実績を入力")),"-"))</f>
        <v/>
      </c>
      <c r="K35" s="10" t="str">
        <f>IF($B35="","",IF(OR('②-1職員名簿'!AH35="○",'②-1職員名簿'!AH35="●"),IF($E35="正規職員","正",IF($E35="契約上の就業時間を記載","","実績を入力")),"-"))</f>
        <v/>
      </c>
      <c r="L35" s="10" t="str">
        <f>IF($B35="","",IF(OR('②-1職員名簿'!AI35="○",'②-1職員名簿'!AI35="●"),IF($E35="正規職員","正",IF($E35="契約上の就業時間を記載","","実績を入力")),"-"))</f>
        <v/>
      </c>
      <c r="M35" s="10" t="str">
        <f>IF($B35="","",IF(OR('②-1職員名簿'!AJ35="○",'②-1職員名簿'!AJ35="●"),IF($E35="正規職員","正",IF($E35="契約上の就業時間を記載","","実績を入力")),"-"))</f>
        <v/>
      </c>
      <c r="N35" s="10" t="str">
        <f>IF($B35="","",IF(OR('②-1職員名簿'!AK35="○",'②-1職員名簿'!AK35="●"),IF($E35="正規職員","正",IF($E35="契約上の就業時間を記載","","実績を入力")),"-"))</f>
        <v/>
      </c>
      <c r="O35" s="10" t="str">
        <f>IF($B35="","",IF(OR('②-1職員名簿'!AL35="○",'②-1職員名簿'!AL35="●"),IF($E35="正規職員","正",IF($E35="契約上の就業時間を記載","","実績を入力")),"-"))</f>
        <v/>
      </c>
      <c r="P35" s="10" t="str">
        <f>IF($B35="","",IF(OR('②-1職員名簿'!AM35="○",'②-1職員名簿'!AM35="●"),IF($E35="正規職員","正",IF($E35="契約上の就業時間を記載","","実績を入力")),"-"))</f>
        <v/>
      </c>
      <c r="Q35" s="10" t="str">
        <f>IF($B35="","",IF(OR('②-1職員名簿'!AN35="○",'②-1職員名簿'!AN35="●"),IF($E35="正規職員","正",IF($E35="契約上の就業時間を記載","","実績を入力")),"-"))</f>
        <v/>
      </c>
      <c r="R35" s="101" t="str">
        <f>IF($B35="","",IF(OR('②-1職員名簿'!AC35="○",'②-1職員名簿'!AC35="●"),IF($E35="正規職員","正",IF($E35="契約上の就業時間を記載","",IF($E35&gt;=F$5,"常",F35))),"-"))</f>
        <v/>
      </c>
      <c r="S35" s="101" t="str">
        <f>IF($B35="","",IF(OR('②-1職員名簿'!AD35="○",'②-1職員名簿'!AD35="●"),IF($E35="正規職員","正",IF($E35="契約上の就業時間を記載","",IF($E35&gt;=G$5,"常",G35))),"-"))</f>
        <v/>
      </c>
      <c r="T35" s="101" t="str">
        <f>IF($B35="","",IF(OR('②-1職員名簿'!AE35="○",'②-1職員名簿'!AE35="●"),IF($E35="正規職員","正",IF($E35="契約上の就業時間を記載","",IF($E35&gt;=H$5,"常",H35))),"-"))</f>
        <v/>
      </c>
      <c r="U35" s="101" t="str">
        <f>IF($B35="","",IF(OR('②-1職員名簿'!AF35="○",'②-1職員名簿'!AF35="●"),IF($E35="正規職員","正",IF($E35="契約上の就業時間を記載","",IF($E35&gt;=I$5,"常",I35))),"-"))</f>
        <v/>
      </c>
      <c r="V35" s="101" t="str">
        <f>IF($B35="","",IF(OR('②-1職員名簿'!AG35="○",'②-1職員名簿'!AG35="●"),IF($E35="正規職員","正",IF($E35="契約上の就業時間を記載","",IF($E35&gt;=J$5,"常",J35))),"-"))</f>
        <v/>
      </c>
      <c r="W35" s="101" t="str">
        <f>IF($B35="","",IF(OR('②-1職員名簿'!AH35="○",'②-1職員名簿'!AH35="●"),IF($E35="正規職員","正",IF($E35="契約上の就業時間を記載","",IF($E35&gt;=K$5,"常",K35))),"-"))</f>
        <v/>
      </c>
      <c r="X35" s="101" t="str">
        <f>IF($B35="","",IF(OR('②-1職員名簿'!AI35="○",'②-1職員名簿'!AI35="●"),IF($E35="正規職員","正",IF($E35="契約上の就業時間を記載","",IF($E35&gt;=L$5,"常",L35))),"-"))</f>
        <v/>
      </c>
      <c r="Y35" s="101" t="str">
        <f>IF($B35="","",IF(OR('②-1職員名簿'!AJ35="○",'②-1職員名簿'!AJ35="●"),IF($E35="正規職員","正",IF($E35="契約上の就業時間を記載","",IF($E35&gt;=M$5,"常",M35))),"-"))</f>
        <v/>
      </c>
      <c r="Z35" s="101" t="str">
        <f>IF($B35="","",IF(OR('②-1職員名簿'!AK35="○",'②-1職員名簿'!AK35="●"),IF($E35="正規職員","正",IF($E35="契約上の就業時間を記載","",IF($E35&gt;=N$5,"常",N35))),"-"))</f>
        <v/>
      </c>
      <c r="AA35" s="101" t="str">
        <f>IF($B35="","",IF(OR('②-1職員名簿'!AL35="○",'②-1職員名簿'!AL35="●"),IF($E35="正規職員","正",IF($E35="契約上の就業時間を記載","",IF($E35&gt;=O$5,"常",O35))),"-"))</f>
        <v/>
      </c>
      <c r="AB35" s="101" t="str">
        <f>IF($B35="","",IF(OR('②-1職員名簿'!AM35="○",'②-1職員名簿'!AM35="●"),IF($E35="正規職員","正",IF($E35="契約上の就業時間を記載","",IF($E35&gt;=P$5,"常",P35))),"-"))</f>
        <v/>
      </c>
      <c r="AC35" s="101" t="str">
        <f>IF($B35="","",IF(OR('②-1職員名簿'!AN35="○",'②-1職員名簿'!AN35="●"),IF($E35="正規職員","正",IF($E35="契約上の就業時間を記載","",IF($E35&gt;=Q$5,"常",Q35))),"-"))</f>
        <v/>
      </c>
      <c r="AE35" s="98" t="str">
        <f>IF('②-1職員名簿'!W35="","",'②-1職員名簿'!W35)</f>
        <v/>
      </c>
      <c r="AJ35" s="18" t="str">
        <f t="shared" si="12"/>
        <v>○</v>
      </c>
      <c r="AK35" s="18" t="str">
        <f t="shared" si="13"/>
        <v>○</v>
      </c>
      <c r="AL35" s="18" t="str">
        <f t="shared" si="14"/>
        <v>○</v>
      </c>
      <c r="AM35" s="18" t="str">
        <f t="shared" si="15"/>
        <v>○</v>
      </c>
      <c r="AN35" s="18" t="str">
        <f t="shared" si="16"/>
        <v>○</v>
      </c>
      <c r="AO35" s="18" t="str">
        <f t="shared" si="17"/>
        <v>○</v>
      </c>
      <c r="AP35" s="18" t="str">
        <f t="shared" si="18"/>
        <v>○</v>
      </c>
      <c r="AQ35" s="18" t="str">
        <f t="shared" si="19"/>
        <v>○</v>
      </c>
      <c r="AR35" s="18" t="str">
        <f t="shared" si="20"/>
        <v>○</v>
      </c>
      <c r="AS35" s="18" t="str">
        <f t="shared" si="21"/>
        <v>○</v>
      </c>
      <c r="AT35" s="18" t="str">
        <f t="shared" si="22"/>
        <v>○</v>
      </c>
      <c r="AU35" s="18" t="str">
        <f t="shared" si="23"/>
        <v>○</v>
      </c>
    </row>
    <row r="36" spans="1:47" s="103" customFormat="1" ht="23.15" customHeight="1">
      <c r="A36" s="99">
        <v>30</v>
      </c>
      <c r="B36" s="98" t="str">
        <f>IF('②-1職員名簿'!E36="","",'②-1職員名簿'!Y36)</f>
        <v/>
      </c>
      <c r="C36" s="101" t="str">
        <f>'②-1職員名簿'!BE36</f>
        <v/>
      </c>
      <c r="D36" s="132" t="str">
        <f t="shared" si="9"/>
        <v/>
      </c>
      <c r="E36" s="19" t="str">
        <f>IF($B36="","",IF(AND('②-1職員名簿'!C36="正",'②-1職員名簿'!D36="常"),"正規職員","契約上の就業時間を記載"))</f>
        <v/>
      </c>
      <c r="F36" s="10" t="str">
        <f>IF($B36="","",IF(OR('②-1職員名簿'!AC36="○",'②-1職員名簿'!AC36="●"),IF($E36="正規職員","正",IF($E36="契約上の就業時間を記載","","見込を入力")),"-"))</f>
        <v/>
      </c>
      <c r="G36" s="10" t="str">
        <f>IF($B36="","",IF(OR('②-1職員名簿'!AD36="○",'②-1職員名簿'!AD36="●"),IF($E36="正規職員","正",IF($E36="契約上の就業時間を記載","","実績を入力")),"-"))</f>
        <v/>
      </c>
      <c r="H36" s="10" t="str">
        <f>IF($B36="","",IF(OR('②-1職員名簿'!AE36="○",'②-1職員名簿'!AE36="●"),IF($E36="正規職員","正",IF($E36="契約上の就業時間を記載","","実績を入力")),"-"))</f>
        <v/>
      </c>
      <c r="I36" s="10" t="str">
        <f>IF($B36="","",IF(OR('②-1職員名簿'!AF36="○",'②-1職員名簿'!AF36="●"),IF($E36="正規職員","正",IF($E36="契約上の就業時間を記載","","実績を入力")),"-"))</f>
        <v/>
      </c>
      <c r="J36" s="10" t="str">
        <f>IF($B36="","",IF(OR('②-1職員名簿'!AG36="○",'②-1職員名簿'!AG36="●"),IF($E36="正規職員","正",IF($E36="契約上の就業時間を記載","","実績を入力")),"-"))</f>
        <v/>
      </c>
      <c r="K36" s="10" t="str">
        <f>IF($B36="","",IF(OR('②-1職員名簿'!AH36="○",'②-1職員名簿'!AH36="●"),IF($E36="正規職員","正",IF($E36="契約上の就業時間を記載","","実績を入力")),"-"))</f>
        <v/>
      </c>
      <c r="L36" s="10" t="str">
        <f>IF($B36="","",IF(OR('②-1職員名簿'!AI36="○",'②-1職員名簿'!AI36="●"),IF($E36="正規職員","正",IF($E36="契約上の就業時間を記載","","実績を入力")),"-"))</f>
        <v/>
      </c>
      <c r="M36" s="10" t="str">
        <f>IF($B36="","",IF(OR('②-1職員名簿'!AJ36="○",'②-1職員名簿'!AJ36="●"),IF($E36="正規職員","正",IF($E36="契約上の就業時間を記載","","実績を入力")),"-"))</f>
        <v/>
      </c>
      <c r="N36" s="10" t="str">
        <f>IF($B36="","",IF(OR('②-1職員名簿'!AK36="○",'②-1職員名簿'!AK36="●"),IF($E36="正規職員","正",IF($E36="契約上の就業時間を記載","","実績を入力")),"-"))</f>
        <v/>
      </c>
      <c r="O36" s="10" t="str">
        <f>IF($B36="","",IF(OR('②-1職員名簿'!AL36="○",'②-1職員名簿'!AL36="●"),IF($E36="正規職員","正",IF($E36="契約上の就業時間を記載","","実績を入力")),"-"))</f>
        <v/>
      </c>
      <c r="P36" s="10" t="str">
        <f>IF($B36="","",IF(OR('②-1職員名簿'!AM36="○",'②-1職員名簿'!AM36="●"),IF($E36="正規職員","正",IF($E36="契約上の就業時間を記載","","実績を入力")),"-"))</f>
        <v/>
      </c>
      <c r="Q36" s="10" t="str">
        <f>IF($B36="","",IF(OR('②-1職員名簿'!AN36="○",'②-1職員名簿'!AN36="●"),IF($E36="正規職員","正",IF($E36="契約上の就業時間を記載","","実績を入力")),"-"))</f>
        <v/>
      </c>
      <c r="R36" s="101" t="str">
        <f>IF($B36="","",IF(OR('②-1職員名簿'!AC36="○",'②-1職員名簿'!AC36="●"),IF($E36="正規職員","正",IF($E36="契約上の就業時間を記載","",IF($E36&gt;=F$5,"常",F36))),"-"))</f>
        <v/>
      </c>
      <c r="S36" s="101" t="str">
        <f>IF($B36="","",IF(OR('②-1職員名簿'!AD36="○",'②-1職員名簿'!AD36="●"),IF($E36="正規職員","正",IF($E36="契約上の就業時間を記載","",IF($E36&gt;=G$5,"常",G36))),"-"))</f>
        <v/>
      </c>
      <c r="T36" s="101" t="str">
        <f>IF($B36="","",IF(OR('②-1職員名簿'!AE36="○",'②-1職員名簿'!AE36="●"),IF($E36="正規職員","正",IF($E36="契約上の就業時間を記載","",IF($E36&gt;=H$5,"常",H36))),"-"))</f>
        <v/>
      </c>
      <c r="U36" s="101" t="str">
        <f>IF($B36="","",IF(OR('②-1職員名簿'!AF36="○",'②-1職員名簿'!AF36="●"),IF($E36="正規職員","正",IF($E36="契約上の就業時間を記載","",IF($E36&gt;=I$5,"常",I36))),"-"))</f>
        <v/>
      </c>
      <c r="V36" s="101" t="str">
        <f>IF($B36="","",IF(OR('②-1職員名簿'!AG36="○",'②-1職員名簿'!AG36="●"),IF($E36="正規職員","正",IF($E36="契約上の就業時間を記載","",IF($E36&gt;=J$5,"常",J36))),"-"))</f>
        <v/>
      </c>
      <c r="W36" s="101" t="str">
        <f>IF($B36="","",IF(OR('②-1職員名簿'!AH36="○",'②-1職員名簿'!AH36="●"),IF($E36="正規職員","正",IF($E36="契約上の就業時間を記載","",IF($E36&gt;=K$5,"常",K36))),"-"))</f>
        <v/>
      </c>
      <c r="X36" s="101" t="str">
        <f>IF($B36="","",IF(OR('②-1職員名簿'!AI36="○",'②-1職員名簿'!AI36="●"),IF($E36="正規職員","正",IF($E36="契約上の就業時間を記載","",IF($E36&gt;=L$5,"常",L36))),"-"))</f>
        <v/>
      </c>
      <c r="Y36" s="101" t="str">
        <f>IF($B36="","",IF(OR('②-1職員名簿'!AJ36="○",'②-1職員名簿'!AJ36="●"),IF($E36="正規職員","正",IF($E36="契約上の就業時間を記載","",IF($E36&gt;=M$5,"常",M36))),"-"))</f>
        <v/>
      </c>
      <c r="Z36" s="101" t="str">
        <f>IF($B36="","",IF(OR('②-1職員名簿'!AK36="○",'②-1職員名簿'!AK36="●"),IF($E36="正規職員","正",IF($E36="契約上の就業時間を記載","",IF($E36&gt;=N$5,"常",N36))),"-"))</f>
        <v/>
      </c>
      <c r="AA36" s="101" t="str">
        <f>IF($B36="","",IF(OR('②-1職員名簿'!AL36="○",'②-1職員名簿'!AL36="●"),IF($E36="正規職員","正",IF($E36="契約上の就業時間を記載","",IF($E36&gt;=O$5,"常",O36))),"-"))</f>
        <v/>
      </c>
      <c r="AB36" s="101" t="str">
        <f>IF($B36="","",IF(OR('②-1職員名簿'!AM36="○",'②-1職員名簿'!AM36="●"),IF($E36="正規職員","正",IF($E36="契約上の就業時間を記載","",IF($E36&gt;=P$5,"常",P36))),"-"))</f>
        <v/>
      </c>
      <c r="AC36" s="101" t="str">
        <f>IF($B36="","",IF(OR('②-1職員名簿'!AN36="○",'②-1職員名簿'!AN36="●"),IF($E36="正規職員","正",IF($E36="契約上の就業時間を記載","",IF($E36&gt;=Q$5,"常",Q36))),"-"))</f>
        <v/>
      </c>
      <c r="AE36" s="98" t="str">
        <f>IF('②-1職員名簿'!W36="","",'②-1職員名簿'!W36)</f>
        <v/>
      </c>
      <c r="AJ36" s="18" t="str">
        <f t="shared" si="12"/>
        <v>○</v>
      </c>
      <c r="AK36" s="18" t="str">
        <f t="shared" si="13"/>
        <v>○</v>
      </c>
      <c r="AL36" s="18" t="str">
        <f t="shared" si="14"/>
        <v>○</v>
      </c>
      <c r="AM36" s="18" t="str">
        <f t="shared" si="15"/>
        <v>○</v>
      </c>
      <c r="AN36" s="18" t="str">
        <f t="shared" si="16"/>
        <v>○</v>
      </c>
      <c r="AO36" s="18" t="str">
        <f t="shared" si="17"/>
        <v>○</v>
      </c>
      <c r="AP36" s="18" t="str">
        <f t="shared" si="18"/>
        <v>○</v>
      </c>
      <c r="AQ36" s="18" t="str">
        <f t="shared" si="19"/>
        <v>○</v>
      </c>
      <c r="AR36" s="18" t="str">
        <f t="shared" si="20"/>
        <v>○</v>
      </c>
      <c r="AS36" s="18" t="str">
        <f t="shared" si="21"/>
        <v>○</v>
      </c>
      <c r="AT36" s="18" t="str">
        <f t="shared" si="22"/>
        <v>○</v>
      </c>
      <c r="AU36" s="18" t="str">
        <f t="shared" si="23"/>
        <v>○</v>
      </c>
    </row>
    <row r="37" spans="1:47" s="103" customFormat="1" ht="23.15" customHeight="1">
      <c r="A37" s="99">
        <v>31</v>
      </c>
      <c r="B37" s="98" t="str">
        <f>IF('②-1職員名簿'!E37="","",'②-1職員名簿'!Y37)</f>
        <v/>
      </c>
      <c r="C37" s="101" t="str">
        <f>'②-1職員名簿'!BE37</f>
        <v/>
      </c>
      <c r="D37" s="132" t="str">
        <f t="shared" si="9"/>
        <v/>
      </c>
      <c r="E37" s="19" t="str">
        <f>IF($B37="","",IF(AND('②-1職員名簿'!C37="正",'②-1職員名簿'!D37="常"),"正規職員","契約上の就業時間を記載"))</f>
        <v/>
      </c>
      <c r="F37" s="10" t="str">
        <f>IF($B37="","",IF(OR('②-1職員名簿'!AC37="○",'②-1職員名簿'!AC37="●"),IF($E37="正規職員","正",IF($E37="契約上の就業時間を記載","","見込を入力")),"-"))</f>
        <v/>
      </c>
      <c r="G37" s="10" t="str">
        <f>IF($B37="","",IF(OR('②-1職員名簿'!AD37="○",'②-1職員名簿'!AD37="●"),IF($E37="正規職員","正",IF($E37="契約上の就業時間を記載","","実績を入力")),"-"))</f>
        <v/>
      </c>
      <c r="H37" s="10" t="str">
        <f>IF($B37="","",IF(OR('②-1職員名簿'!AE37="○",'②-1職員名簿'!AE37="●"),IF($E37="正規職員","正",IF($E37="契約上の就業時間を記載","","実績を入力")),"-"))</f>
        <v/>
      </c>
      <c r="I37" s="10" t="str">
        <f>IF($B37="","",IF(OR('②-1職員名簿'!AF37="○",'②-1職員名簿'!AF37="●"),IF($E37="正規職員","正",IF($E37="契約上の就業時間を記載","","実績を入力")),"-"))</f>
        <v/>
      </c>
      <c r="J37" s="10" t="str">
        <f>IF($B37="","",IF(OR('②-1職員名簿'!AG37="○",'②-1職員名簿'!AG37="●"),IF($E37="正規職員","正",IF($E37="契約上の就業時間を記載","","実績を入力")),"-"))</f>
        <v/>
      </c>
      <c r="K37" s="10" t="str">
        <f>IF($B37="","",IF(OR('②-1職員名簿'!AH37="○",'②-1職員名簿'!AH37="●"),IF($E37="正規職員","正",IF($E37="契約上の就業時間を記載","","実績を入力")),"-"))</f>
        <v/>
      </c>
      <c r="L37" s="10" t="str">
        <f>IF($B37="","",IF(OR('②-1職員名簿'!AI37="○",'②-1職員名簿'!AI37="●"),IF($E37="正規職員","正",IF($E37="契約上の就業時間を記載","","実績を入力")),"-"))</f>
        <v/>
      </c>
      <c r="M37" s="10" t="str">
        <f>IF($B37="","",IF(OR('②-1職員名簿'!AJ37="○",'②-1職員名簿'!AJ37="●"),IF($E37="正規職員","正",IF($E37="契約上の就業時間を記載","","実績を入力")),"-"))</f>
        <v/>
      </c>
      <c r="N37" s="10" t="str">
        <f>IF($B37="","",IF(OR('②-1職員名簿'!AK37="○",'②-1職員名簿'!AK37="●"),IF($E37="正規職員","正",IF($E37="契約上の就業時間を記載","","実績を入力")),"-"))</f>
        <v/>
      </c>
      <c r="O37" s="10" t="str">
        <f>IF($B37="","",IF(OR('②-1職員名簿'!AL37="○",'②-1職員名簿'!AL37="●"),IF($E37="正規職員","正",IF($E37="契約上の就業時間を記載","","実績を入力")),"-"))</f>
        <v/>
      </c>
      <c r="P37" s="10" t="str">
        <f>IF($B37="","",IF(OR('②-1職員名簿'!AM37="○",'②-1職員名簿'!AM37="●"),IF($E37="正規職員","正",IF($E37="契約上の就業時間を記載","","実績を入力")),"-"))</f>
        <v/>
      </c>
      <c r="Q37" s="10" t="str">
        <f>IF($B37="","",IF(OR('②-1職員名簿'!AN37="○",'②-1職員名簿'!AN37="●"),IF($E37="正規職員","正",IF($E37="契約上の就業時間を記載","","実績を入力")),"-"))</f>
        <v/>
      </c>
      <c r="R37" s="101" t="str">
        <f>IF($B37="","",IF(OR('②-1職員名簿'!AC37="○",'②-1職員名簿'!AC37="●"),IF($E37="正規職員","正",IF($E37="契約上の就業時間を記載","",IF($E37&gt;=F$5,"常",F37))),"-"))</f>
        <v/>
      </c>
      <c r="S37" s="101" t="str">
        <f>IF($B37="","",IF(OR('②-1職員名簿'!AD37="○",'②-1職員名簿'!AD37="●"),IF($E37="正規職員","正",IF($E37="契約上の就業時間を記載","",IF($E37&gt;=G$5,"常",G37))),"-"))</f>
        <v/>
      </c>
      <c r="T37" s="101" t="str">
        <f>IF($B37="","",IF(OR('②-1職員名簿'!AE37="○",'②-1職員名簿'!AE37="●"),IF($E37="正規職員","正",IF($E37="契約上の就業時間を記載","",IF($E37&gt;=H$5,"常",H37))),"-"))</f>
        <v/>
      </c>
      <c r="U37" s="101" t="str">
        <f>IF($B37="","",IF(OR('②-1職員名簿'!AF37="○",'②-1職員名簿'!AF37="●"),IF($E37="正規職員","正",IF($E37="契約上の就業時間を記載","",IF($E37&gt;=I$5,"常",I37))),"-"))</f>
        <v/>
      </c>
      <c r="V37" s="101" t="str">
        <f>IF($B37="","",IF(OR('②-1職員名簿'!AG37="○",'②-1職員名簿'!AG37="●"),IF($E37="正規職員","正",IF($E37="契約上の就業時間を記載","",IF($E37&gt;=J$5,"常",J37))),"-"))</f>
        <v/>
      </c>
      <c r="W37" s="101" t="str">
        <f>IF($B37="","",IF(OR('②-1職員名簿'!AH37="○",'②-1職員名簿'!AH37="●"),IF($E37="正規職員","正",IF($E37="契約上の就業時間を記載","",IF($E37&gt;=K$5,"常",K37))),"-"))</f>
        <v/>
      </c>
      <c r="X37" s="101" t="str">
        <f>IF($B37="","",IF(OR('②-1職員名簿'!AI37="○",'②-1職員名簿'!AI37="●"),IF($E37="正規職員","正",IF($E37="契約上の就業時間を記載","",IF($E37&gt;=L$5,"常",L37))),"-"))</f>
        <v/>
      </c>
      <c r="Y37" s="101" t="str">
        <f>IF($B37="","",IF(OR('②-1職員名簿'!AJ37="○",'②-1職員名簿'!AJ37="●"),IF($E37="正規職員","正",IF($E37="契約上の就業時間を記載","",IF($E37&gt;=M$5,"常",M37))),"-"))</f>
        <v/>
      </c>
      <c r="Z37" s="101" t="str">
        <f>IF($B37="","",IF(OR('②-1職員名簿'!AK37="○",'②-1職員名簿'!AK37="●"),IF($E37="正規職員","正",IF($E37="契約上の就業時間を記載","",IF($E37&gt;=N$5,"常",N37))),"-"))</f>
        <v/>
      </c>
      <c r="AA37" s="101" t="str">
        <f>IF($B37="","",IF(OR('②-1職員名簿'!AL37="○",'②-1職員名簿'!AL37="●"),IF($E37="正規職員","正",IF($E37="契約上の就業時間を記載","",IF($E37&gt;=O$5,"常",O37))),"-"))</f>
        <v/>
      </c>
      <c r="AB37" s="101" t="str">
        <f>IF($B37="","",IF(OR('②-1職員名簿'!AM37="○",'②-1職員名簿'!AM37="●"),IF($E37="正規職員","正",IF($E37="契約上の就業時間を記載","",IF($E37&gt;=P$5,"常",P37))),"-"))</f>
        <v/>
      </c>
      <c r="AC37" s="101" t="str">
        <f>IF($B37="","",IF(OR('②-1職員名簿'!AN37="○",'②-1職員名簿'!AN37="●"),IF($E37="正規職員","正",IF($E37="契約上の就業時間を記載","",IF($E37&gt;=Q$5,"常",Q37))),"-"))</f>
        <v/>
      </c>
      <c r="AE37" s="98" t="str">
        <f>IF('②-1職員名簿'!W37="","",'②-1職員名簿'!W37)</f>
        <v/>
      </c>
      <c r="AJ37" s="18" t="str">
        <f t="shared" si="12"/>
        <v>○</v>
      </c>
      <c r="AK37" s="18" t="str">
        <f t="shared" si="13"/>
        <v>○</v>
      </c>
      <c r="AL37" s="18" t="str">
        <f t="shared" si="14"/>
        <v>○</v>
      </c>
      <c r="AM37" s="18" t="str">
        <f t="shared" si="15"/>
        <v>○</v>
      </c>
      <c r="AN37" s="18" t="str">
        <f t="shared" si="16"/>
        <v>○</v>
      </c>
      <c r="AO37" s="18" t="str">
        <f t="shared" si="17"/>
        <v>○</v>
      </c>
      <c r="AP37" s="18" t="str">
        <f t="shared" si="18"/>
        <v>○</v>
      </c>
      <c r="AQ37" s="18" t="str">
        <f t="shared" si="19"/>
        <v>○</v>
      </c>
      <c r="AR37" s="18" t="str">
        <f t="shared" si="20"/>
        <v>○</v>
      </c>
      <c r="AS37" s="18" t="str">
        <f t="shared" si="21"/>
        <v>○</v>
      </c>
      <c r="AT37" s="18" t="str">
        <f t="shared" si="22"/>
        <v>○</v>
      </c>
      <c r="AU37" s="18" t="str">
        <f t="shared" si="23"/>
        <v>○</v>
      </c>
    </row>
    <row r="38" spans="1:47" s="103" customFormat="1" ht="23.15" customHeight="1">
      <c r="A38" s="99">
        <v>32</v>
      </c>
      <c r="B38" s="98" t="str">
        <f>IF('②-1職員名簿'!E38="","",'②-1職員名簿'!Y38)</f>
        <v/>
      </c>
      <c r="C38" s="101" t="str">
        <f>'②-1職員名簿'!BE38</f>
        <v/>
      </c>
      <c r="D38" s="132" t="str">
        <f t="shared" si="9"/>
        <v/>
      </c>
      <c r="E38" s="19" t="str">
        <f>IF($B38="","",IF(AND('②-1職員名簿'!C38="正",'②-1職員名簿'!D38="常"),"正規職員","契約上の就業時間を記載"))</f>
        <v/>
      </c>
      <c r="F38" s="10" t="str">
        <f>IF($B38="","",IF(OR('②-1職員名簿'!AC38="○",'②-1職員名簿'!AC38="●"),IF($E38="正規職員","正",IF($E38="契約上の就業時間を記載","","見込を入力")),"-"))</f>
        <v/>
      </c>
      <c r="G38" s="10" t="str">
        <f>IF($B38="","",IF(OR('②-1職員名簿'!AD38="○",'②-1職員名簿'!AD38="●"),IF($E38="正規職員","正",IF($E38="契約上の就業時間を記載","","実績を入力")),"-"))</f>
        <v/>
      </c>
      <c r="H38" s="10" t="str">
        <f>IF($B38="","",IF(OR('②-1職員名簿'!AE38="○",'②-1職員名簿'!AE38="●"),IF($E38="正規職員","正",IF($E38="契約上の就業時間を記載","","実績を入力")),"-"))</f>
        <v/>
      </c>
      <c r="I38" s="10" t="str">
        <f>IF($B38="","",IF(OR('②-1職員名簿'!AF38="○",'②-1職員名簿'!AF38="●"),IF($E38="正規職員","正",IF($E38="契約上の就業時間を記載","","実績を入力")),"-"))</f>
        <v/>
      </c>
      <c r="J38" s="10" t="str">
        <f>IF($B38="","",IF(OR('②-1職員名簿'!AG38="○",'②-1職員名簿'!AG38="●"),IF($E38="正規職員","正",IF($E38="契約上の就業時間を記載","","実績を入力")),"-"))</f>
        <v/>
      </c>
      <c r="K38" s="10" t="str">
        <f>IF($B38="","",IF(OR('②-1職員名簿'!AH38="○",'②-1職員名簿'!AH38="●"),IF($E38="正規職員","正",IF($E38="契約上の就業時間を記載","","実績を入力")),"-"))</f>
        <v/>
      </c>
      <c r="L38" s="10" t="str">
        <f>IF($B38="","",IF(OR('②-1職員名簿'!AI38="○",'②-1職員名簿'!AI38="●"),IF($E38="正規職員","正",IF($E38="契約上の就業時間を記載","","実績を入力")),"-"))</f>
        <v/>
      </c>
      <c r="M38" s="10" t="str">
        <f>IF($B38="","",IF(OR('②-1職員名簿'!AJ38="○",'②-1職員名簿'!AJ38="●"),IF($E38="正規職員","正",IF($E38="契約上の就業時間を記載","","実績を入力")),"-"))</f>
        <v/>
      </c>
      <c r="N38" s="10" t="str">
        <f>IF($B38="","",IF(OR('②-1職員名簿'!AK38="○",'②-1職員名簿'!AK38="●"),IF($E38="正規職員","正",IF($E38="契約上の就業時間を記載","","実績を入力")),"-"))</f>
        <v/>
      </c>
      <c r="O38" s="10" t="str">
        <f>IF($B38="","",IF(OR('②-1職員名簿'!AL38="○",'②-1職員名簿'!AL38="●"),IF($E38="正規職員","正",IF($E38="契約上の就業時間を記載","","実績を入力")),"-"))</f>
        <v/>
      </c>
      <c r="P38" s="10" t="str">
        <f>IF($B38="","",IF(OR('②-1職員名簿'!AM38="○",'②-1職員名簿'!AM38="●"),IF($E38="正規職員","正",IF($E38="契約上の就業時間を記載","","実績を入力")),"-"))</f>
        <v/>
      </c>
      <c r="Q38" s="10" t="str">
        <f>IF($B38="","",IF(OR('②-1職員名簿'!AN38="○",'②-1職員名簿'!AN38="●"),IF($E38="正規職員","正",IF($E38="契約上の就業時間を記載","","実績を入力")),"-"))</f>
        <v/>
      </c>
      <c r="R38" s="101" t="str">
        <f>IF($B38="","",IF(OR('②-1職員名簿'!AC38="○",'②-1職員名簿'!AC38="●"),IF($E38="正規職員","正",IF($E38="契約上の就業時間を記載","",IF($E38&gt;=F$5,"常",F38))),"-"))</f>
        <v/>
      </c>
      <c r="S38" s="101" t="str">
        <f>IF($B38="","",IF(OR('②-1職員名簿'!AD38="○",'②-1職員名簿'!AD38="●"),IF($E38="正規職員","正",IF($E38="契約上の就業時間を記載","",IF($E38&gt;=G$5,"常",G38))),"-"))</f>
        <v/>
      </c>
      <c r="T38" s="101" t="str">
        <f>IF($B38="","",IF(OR('②-1職員名簿'!AE38="○",'②-1職員名簿'!AE38="●"),IF($E38="正規職員","正",IF($E38="契約上の就業時間を記載","",IF($E38&gt;=H$5,"常",H38))),"-"))</f>
        <v/>
      </c>
      <c r="U38" s="101" t="str">
        <f>IF($B38="","",IF(OR('②-1職員名簿'!AF38="○",'②-1職員名簿'!AF38="●"),IF($E38="正規職員","正",IF($E38="契約上の就業時間を記載","",IF($E38&gt;=I$5,"常",I38))),"-"))</f>
        <v/>
      </c>
      <c r="V38" s="101" t="str">
        <f>IF($B38="","",IF(OR('②-1職員名簿'!AG38="○",'②-1職員名簿'!AG38="●"),IF($E38="正規職員","正",IF($E38="契約上の就業時間を記載","",IF($E38&gt;=J$5,"常",J38))),"-"))</f>
        <v/>
      </c>
      <c r="W38" s="101" t="str">
        <f>IF($B38="","",IF(OR('②-1職員名簿'!AH38="○",'②-1職員名簿'!AH38="●"),IF($E38="正規職員","正",IF($E38="契約上の就業時間を記載","",IF($E38&gt;=K$5,"常",K38))),"-"))</f>
        <v/>
      </c>
      <c r="X38" s="101" t="str">
        <f>IF($B38="","",IF(OR('②-1職員名簿'!AI38="○",'②-1職員名簿'!AI38="●"),IF($E38="正規職員","正",IF($E38="契約上の就業時間を記載","",IF($E38&gt;=L$5,"常",L38))),"-"))</f>
        <v/>
      </c>
      <c r="Y38" s="101" t="str">
        <f>IF($B38="","",IF(OR('②-1職員名簿'!AJ38="○",'②-1職員名簿'!AJ38="●"),IF($E38="正規職員","正",IF($E38="契約上の就業時間を記載","",IF($E38&gt;=M$5,"常",M38))),"-"))</f>
        <v/>
      </c>
      <c r="Z38" s="101" t="str">
        <f>IF($B38="","",IF(OR('②-1職員名簿'!AK38="○",'②-1職員名簿'!AK38="●"),IF($E38="正規職員","正",IF($E38="契約上の就業時間を記載","",IF($E38&gt;=N$5,"常",N38))),"-"))</f>
        <v/>
      </c>
      <c r="AA38" s="101" t="str">
        <f>IF($B38="","",IF(OR('②-1職員名簿'!AL38="○",'②-1職員名簿'!AL38="●"),IF($E38="正規職員","正",IF($E38="契約上の就業時間を記載","",IF($E38&gt;=O$5,"常",O38))),"-"))</f>
        <v/>
      </c>
      <c r="AB38" s="101" t="str">
        <f>IF($B38="","",IF(OR('②-1職員名簿'!AM38="○",'②-1職員名簿'!AM38="●"),IF($E38="正規職員","正",IF($E38="契約上の就業時間を記載","",IF($E38&gt;=P$5,"常",P38))),"-"))</f>
        <v/>
      </c>
      <c r="AC38" s="101" t="str">
        <f>IF($B38="","",IF(OR('②-1職員名簿'!AN38="○",'②-1職員名簿'!AN38="●"),IF($E38="正規職員","正",IF($E38="契約上の就業時間を記載","",IF($E38&gt;=Q$5,"常",Q38))),"-"))</f>
        <v/>
      </c>
      <c r="AE38" s="98" t="str">
        <f>IF('②-1職員名簿'!W38="","",'②-1職員名簿'!W38)</f>
        <v/>
      </c>
      <c r="AJ38" s="18" t="str">
        <f t="shared" si="12"/>
        <v>○</v>
      </c>
      <c r="AK38" s="18" t="str">
        <f t="shared" si="13"/>
        <v>○</v>
      </c>
      <c r="AL38" s="18" t="str">
        <f t="shared" si="14"/>
        <v>○</v>
      </c>
      <c r="AM38" s="18" t="str">
        <f t="shared" si="15"/>
        <v>○</v>
      </c>
      <c r="AN38" s="18" t="str">
        <f t="shared" si="16"/>
        <v>○</v>
      </c>
      <c r="AO38" s="18" t="str">
        <f t="shared" si="17"/>
        <v>○</v>
      </c>
      <c r="AP38" s="18" t="str">
        <f t="shared" si="18"/>
        <v>○</v>
      </c>
      <c r="AQ38" s="18" t="str">
        <f t="shared" si="19"/>
        <v>○</v>
      </c>
      <c r="AR38" s="18" t="str">
        <f t="shared" si="20"/>
        <v>○</v>
      </c>
      <c r="AS38" s="18" t="str">
        <f t="shared" si="21"/>
        <v>○</v>
      </c>
      <c r="AT38" s="18" t="str">
        <f t="shared" si="22"/>
        <v>○</v>
      </c>
      <c r="AU38" s="18" t="str">
        <f t="shared" si="23"/>
        <v>○</v>
      </c>
    </row>
    <row r="39" spans="1:47" s="103" customFormat="1" ht="23.15" customHeight="1">
      <c r="A39" s="99">
        <v>33</v>
      </c>
      <c r="B39" s="98" t="str">
        <f>IF('②-1職員名簿'!E39="","",'②-1職員名簿'!Y39)</f>
        <v/>
      </c>
      <c r="C39" s="101" t="str">
        <f>'②-1職員名簿'!BE39</f>
        <v/>
      </c>
      <c r="D39" s="132" t="str">
        <f t="shared" si="9"/>
        <v/>
      </c>
      <c r="E39" s="19" t="str">
        <f>IF($B39="","",IF(AND('②-1職員名簿'!C39="正",'②-1職員名簿'!D39="常"),"正規職員","契約上の就業時間を記載"))</f>
        <v/>
      </c>
      <c r="F39" s="10" t="str">
        <f>IF($B39="","",IF(OR('②-1職員名簿'!AC39="○",'②-1職員名簿'!AC39="●"),IF($E39="正規職員","正",IF($E39="契約上の就業時間を記載","","見込を入力")),"-"))</f>
        <v/>
      </c>
      <c r="G39" s="10" t="str">
        <f>IF($B39="","",IF(OR('②-1職員名簿'!AD39="○",'②-1職員名簿'!AD39="●"),IF($E39="正規職員","正",IF($E39="契約上の就業時間を記載","","実績を入力")),"-"))</f>
        <v/>
      </c>
      <c r="H39" s="10" t="str">
        <f>IF($B39="","",IF(OR('②-1職員名簿'!AE39="○",'②-1職員名簿'!AE39="●"),IF($E39="正規職員","正",IF($E39="契約上の就業時間を記載","","実績を入力")),"-"))</f>
        <v/>
      </c>
      <c r="I39" s="10" t="str">
        <f>IF($B39="","",IF(OR('②-1職員名簿'!AF39="○",'②-1職員名簿'!AF39="●"),IF($E39="正規職員","正",IF($E39="契約上の就業時間を記載","","実績を入力")),"-"))</f>
        <v/>
      </c>
      <c r="J39" s="10" t="str">
        <f>IF($B39="","",IF(OR('②-1職員名簿'!AG39="○",'②-1職員名簿'!AG39="●"),IF($E39="正規職員","正",IF($E39="契約上の就業時間を記載","","実績を入力")),"-"))</f>
        <v/>
      </c>
      <c r="K39" s="10" t="str">
        <f>IF($B39="","",IF(OR('②-1職員名簿'!AH39="○",'②-1職員名簿'!AH39="●"),IF($E39="正規職員","正",IF($E39="契約上の就業時間を記載","","実績を入力")),"-"))</f>
        <v/>
      </c>
      <c r="L39" s="10" t="str">
        <f>IF($B39="","",IF(OR('②-1職員名簿'!AI39="○",'②-1職員名簿'!AI39="●"),IF($E39="正規職員","正",IF($E39="契約上の就業時間を記載","","実績を入力")),"-"))</f>
        <v/>
      </c>
      <c r="M39" s="10" t="str">
        <f>IF($B39="","",IF(OR('②-1職員名簿'!AJ39="○",'②-1職員名簿'!AJ39="●"),IF($E39="正規職員","正",IF($E39="契約上の就業時間を記載","","実績を入力")),"-"))</f>
        <v/>
      </c>
      <c r="N39" s="10" t="str">
        <f>IF($B39="","",IF(OR('②-1職員名簿'!AK39="○",'②-1職員名簿'!AK39="●"),IF($E39="正規職員","正",IF($E39="契約上の就業時間を記載","","実績を入力")),"-"))</f>
        <v/>
      </c>
      <c r="O39" s="10" t="str">
        <f>IF($B39="","",IF(OR('②-1職員名簿'!AL39="○",'②-1職員名簿'!AL39="●"),IF($E39="正規職員","正",IF($E39="契約上の就業時間を記載","","実績を入力")),"-"))</f>
        <v/>
      </c>
      <c r="P39" s="10" t="str">
        <f>IF($B39="","",IF(OR('②-1職員名簿'!AM39="○",'②-1職員名簿'!AM39="●"),IF($E39="正規職員","正",IF($E39="契約上の就業時間を記載","","実績を入力")),"-"))</f>
        <v/>
      </c>
      <c r="Q39" s="10" t="str">
        <f>IF($B39="","",IF(OR('②-1職員名簿'!AN39="○",'②-1職員名簿'!AN39="●"),IF($E39="正規職員","正",IF($E39="契約上の就業時間を記載","","実績を入力")),"-"))</f>
        <v/>
      </c>
      <c r="R39" s="101" t="str">
        <f>IF($B39="","",IF(OR('②-1職員名簿'!AC39="○",'②-1職員名簿'!AC39="●"),IF($E39="正規職員","正",IF($E39="契約上の就業時間を記載","",IF($E39&gt;=F$5,"常",F39))),"-"))</f>
        <v/>
      </c>
      <c r="S39" s="101" t="str">
        <f>IF($B39="","",IF(OR('②-1職員名簿'!AD39="○",'②-1職員名簿'!AD39="●"),IF($E39="正規職員","正",IF($E39="契約上の就業時間を記載","",IF($E39&gt;=G$5,"常",G39))),"-"))</f>
        <v/>
      </c>
      <c r="T39" s="101" t="str">
        <f>IF($B39="","",IF(OR('②-1職員名簿'!AE39="○",'②-1職員名簿'!AE39="●"),IF($E39="正規職員","正",IF($E39="契約上の就業時間を記載","",IF($E39&gt;=H$5,"常",H39))),"-"))</f>
        <v/>
      </c>
      <c r="U39" s="101" t="str">
        <f>IF($B39="","",IF(OR('②-1職員名簿'!AF39="○",'②-1職員名簿'!AF39="●"),IF($E39="正規職員","正",IF($E39="契約上の就業時間を記載","",IF($E39&gt;=I$5,"常",I39))),"-"))</f>
        <v/>
      </c>
      <c r="V39" s="101" t="str">
        <f>IF($B39="","",IF(OR('②-1職員名簿'!AG39="○",'②-1職員名簿'!AG39="●"),IF($E39="正規職員","正",IF($E39="契約上の就業時間を記載","",IF($E39&gt;=J$5,"常",J39))),"-"))</f>
        <v/>
      </c>
      <c r="W39" s="101" t="str">
        <f>IF($B39="","",IF(OR('②-1職員名簿'!AH39="○",'②-1職員名簿'!AH39="●"),IF($E39="正規職員","正",IF($E39="契約上の就業時間を記載","",IF($E39&gt;=K$5,"常",K39))),"-"))</f>
        <v/>
      </c>
      <c r="X39" s="101" t="str">
        <f>IF($B39="","",IF(OR('②-1職員名簿'!AI39="○",'②-1職員名簿'!AI39="●"),IF($E39="正規職員","正",IF($E39="契約上の就業時間を記載","",IF($E39&gt;=L$5,"常",L39))),"-"))</f>
        <v/>
      </c>
      <c r="Y39" s="101" t="str">
        <f>IF($B39="","",IF(OR('②-1職員名簿'!AJ39="○",'②-1職員名簿'!AJ39="●"),IF($E39="正規職員","正",IF($E39="契約上の就業時間を記載","",IF($E39&gt;=M$5,"常",M39))),"-"))</f>
        <v/>
      </c>
      <c r="Z39" s="101" t="str">
        <f>IF($B39="","",IF(OR('②-1職員名簿'!AK39="○",'②-1職員名簿'!AK39="●"),IF($E39="正規職員","正",IF($E39="契約上の就業時間を記載","",IF($E39&gt;=N$5,"常",N39))),"-"))</f>
        <v/>
      </c>
      <c r="AA39" s="101" t="str">
        <f>IF($B39="","",IF(OR('②-1職員名簿'!AL39="○",'②-1職員名簿'!AL39="●"),IF($E39="正規職員","正",IF($E39="契約上の就業時間を記載","",IF($E39&gt;=O$5,"常",O39))),"-"))</f>
        <v/>
      </c>
      <c r="AB39" s="101" t="str">
        <f>IF($B39="","",IF(OR('②-1職員名簿'!AM39="○",'②-1職員名簿'!AM39="●"),IF($E39="正規職員","正",IF($E39="契約上の就業時間を記載","",IF($E39&gt;=P$5,"常",P39))),"-"))</f>
        <v/>
      </c>
      <c r="AC39" s="101" t="str">
        <f>IF($B39="","",IF(OR('②-1職員名簿'!AN39="○",'②-1職員名簿'!AN39="●"),IF($E39="正規職員","正",IF($E39="契約上の就業時間を記載","",IF($E39&gt;=Q$5,"常",Q39))),"-"))</f>
        <v/>
      </c>
      <c r="AE39" s="98" t="str">
        <f>IF('②-1職員名簿'!W39="","",'②-1職員名簿'!W39)</f>
        <v/>
      </c>
      <c r="AJ39" s="18" t="str">
        <f t="shared" si="12"/>
        <v>○</v>
      </c>
      <c r="AK39" s="18" t="str">
        <f t="shared" si="13"/>
        <v>○</v>
      </c>
      <c r="AL39" s="18" t="str">
        <f t="shared" si="14"/>
        <v>○</v>
      </c>
      <c r="AM39" s="18" t="str">
        <f t="shared" si="15"/>
        <v>○</v>
      </c>
      <c r="AN39" s="18" t="str">
        <f t="shared" si="16"/>
        <v>○</v>
      </c>
      <c r="AO39" s="18" t="str">
        <f t="shared" si="17"/>
        <v>○</v>
      </c>
      <c r="AP39" s="18" t="str">
        <f t="shared" si="18"/>
        <v>○</v>
      </c>
      <c r="AQ39" s="18" t="str">
        <f t="shared" si="19"/>
        <v>○</v>
      </c>
      <c r="AR39" s="18" t="str">
        <f t="shared" si="20"/>
        <v>○</v>
      </c>
      <c r="AS39" s="18" t="str">
        <f t="shared" si="21"/>
        <v>○</v>
      </c>
      <c r="AT39" s="18" t="str">
        <f t="shared" si="22"/>
        <v>○</v>
      </c>
      <c r="AU39" s="18" t="str">
        <f t="shared" si="23"/>
        <v>○</v>
      </c>
    </row>
    <row r="40" spans="1:47" s="103" customFormat="1" ht="23.15" customHeight="1">
      <c r="A40" s="99">
        <v>34</v>
      </c>
      <c r="B40" s="98" t="str">
        <f>IF('②-1職員名簿'!E40="","",'②-1職員名簿'!Y40)</f>
        <v/>
      </c>
      <c r="C40" s="101" t="str">
        <f>'②-1職員名簿'!BE40</f>
        <v/>
      </c>
      <c r="D40" s="132" t="str">
        <f>B40&amp;C40</f>
        <v/>
      </c>
      <c r="E40" s="19" t="str">
        <f>IF($B40="","",IF(AND('②-1職員名簿'!C40="正",'②-1職員名簿'!D40="常"),"正規職員","契約上の就業時間を記載"))</f>
        <v/>
      </c>
      <c r="F40" s="10" t="str">
        <f>IF($B40="","",IF(OR('②-1職員名簿'!AC40="○",'②-1職員名簿'!AC40="●"),IF($E40="正規職員","正",IF($E40="契約上の就業時間を記載","","見込を入力")),"-"))</f>
        <v/>
      </c>
      <c r="G40" s="10" t="str">
        <f>IF($B40="","",IF(OR('②-1職員名簿'!AD40="○",'②-1職員名簿'!AD40="●"),IF($E40="正規職員","正",IF($E40="契約上の就業時間を記載","","実績を入力")),"-"))</f>
        <v/>
      </c>
      <c r="H40" s="10" t="str">
        <f>IF($B40="","",IF(OR('②-1職員名簿'!AE40="○",'②-1職員名簿'!AE40="●"),IF($E40="正規職員","正",IF($E40="契約上の就業時間を記載","","実績を入力")),"-"))</f>
        <v/>
      </c>
      <c r="I40" s="10" t="str">
        <f>IF($B40="","",IF(OR('②-1職員名簿'!AF40="○",'②-1職員名簿'!AF40="●"),IF($E40="正規職員","正",IF($E40="契約上の就業時間を記載","","実績を入力")),"-"))</f>
        <v/>
      </c>
      <c r="J40" s="10" t="str">
        <f>IF($B40="","",IF(OR('②-1職員名簿'!AG40="○",'②-1職員名簿'!AG40="●"),IF($E40="正規職員","正",IF($E40="契約上の就業時間を記載","","実績を入力")),"-"))</f>
        <v/>
      </c>
      <c r="K40" s="10" t="str">
        <f>IF($B40="","",IF(OR('②-1職員名簿'!AH40="○",'②-1職員名簿'!AH40="●"),IF($E40="正規職員","正",IF($E40="契約上の就業時間を記載","","実績を入力")),"-"))</f>
        <v/>
      </c>
      <c r="L40" s="10" t="str">
        <f>IF($B40="","",IF(OR('②-1職員名簿'!AI40="○",'②-1職員名簿'!AI40="●"),IF($E40="正規職員","正",IF($E40="契約上の就業時間を記載","","実績を入力")),"-"))</f>
        <v/>
      </c>
      <c r="M40" s="10" t="str">
        <f>IF($B40="","",IF(OR('②-1職員名簿'!AJ40="○",'②-1職員名簿'!AJ40="●"),IF($E40="正規職員","正",IF($E40="契約上の就業時間を記載","","実績を入力")),"-"))</f>
        <v/>
      </c>
      <c r="N40" s="10" t="str">
        <f>IF($B40="","",IF(OR('②-1職員名簿'!AK40="○",'②-1職員名簿'!AK40="●"),IF($E40="正規職員","正",IF($E40="契約上の就業時間を記載","","実績を入力")),"-"))</f>
        <v/>
      </c>
      <c r="O40" s="10" t="str">
        <f>IF($B40="","",IF(OR('②-1職員名簿'!AL40="○",'②-1職員名簿'!AL40="●"),IF($E40="正規職員","正",IF($E40="契約上の就業時間を記載","","実績を入力")),"-"))</f>
        <v/>
      </c>
      <c r="P40" s="10" t="str">
        <f>IF($B40="","",IF(OR('②-1職員名簿'!AM40="○",'②-1職員名簿'!AM40="●"),IF($E40="正規職員","正",IF($E40="契約上の就業時間を記載","","実績を入力")),"-"))</f>
        <v/>
      </c>
      <c r="Q40" s="10" t="str">
        <f>IF($B40="","",IF(OR('②-1職員名簿'!AN40="○",'②-1職員名簿'!AN40="●"),IF($E40="正規職員","正",IF($E40="契約上の就業時間を記載","","実績を入力")),"-"))</f>
        <v/>
      </c>
      <c r="R40" s="101" t="str">
        <f>IF($B40="","",IF(OR('②-1職員名簿'!AC40="○",'②-1職員名簿'!AC40="●"),IF($E40="正規職員","正",IF($E40="契約上の就業時間を記載","",IF($E40&gt;=F$5,"常",F40))),"-"))</f>
        <v/>
      </c>
      <c r="S40" s="101" t="str">
        <f>IF($B40="","",IF(OR('②-1職員名簿'!AD40="○",'②-1職員名簿'!AD40="●"),IF($E40="正規職員","正",IF($E40="契約上の就業時間を記載","",IF($E40&gt;=G$5,"常",G40))),"-"))</f>
        <v/>
      </c>
      <c r="T40" s="101" t="str">
        <f>IF($B40="","",IF(OR('②-1職員名簿'!AE40="○",'②-1職員名簿'!AE40="●"),IF($E40="正規職員","正",IF($E40="契約上の就業時間を記載","",IF($E40&gt;=H$5,"常",H40))),"-"))</f>
        <v/>
      </c>
      <c r="U40" s="101" t="str">
        <f>IF($B40="","",IF(OR('②-1職員名簿'!AF40="○",'②-1職員名簿'!AF40="●"),IF($E40="正規職員","正",IF($E40="契約上の就業時間を記載","",IF($E40&gt;=I$5,"常",I40))),"-"))</f>
        <v/>
      </c>
      <c r="V40" s="101" t="str">
        <f>IF($B40="","",IF(OR('②-1職員名簿'!AG40="○",'②-1職員名簿'!AG40="●"),IF($E40="正規職員","正",IF($E40="契約上の就業時間を記載","",IF($E40&gt;=J$5,"常",J40))),"-"))</f>
        <v/>
      </c>
      <c r="W40" s="101" t="str">
        <f>IF($B40="","",IF(OR('②-1職員名簿'!AH40="○",'②-1職員名簿'!AH40="●"),IF($E40="正規職員","正",IF($E40="契約上の就業時間を記載","",IF($E40&gt;=K$5,"常",K40))),"-"))</f>
        <v/>
      </c>
      <c r="X40" s="101" t="str">
        <f>IF($B40="","",IF(OR('②-1職員名簿'!AI40="○",'②-1職員名簿'!AI40="●"),IF($E40="正規職員","正",IF($E40="契約上の就業時間を記載","",IF($E40&gt;=L$5,"常",L40))),"-"))</f>
        <v/>
      </c>
      <c r="Y40" s="101" t="str">
        <f>IF($B40="","",IF(OR('②-1職員名簿'!AJ40="○",'②-1職員名簿'!AJ40="●"),IF($E40="正規職員","正",IF($E40="契約上の就業時間を記載","",IF($E40&gt;=M$5,"常",M40))),"-"))</f>
        <v/>
      </c>
      <c r="Z40" s="101" t="str">
        <f>IF($B40="","",IF(OR('②-1職員名簿'!AK40="○",'②-1職員名簿'!AK40="●"),IF($E40="正規職員","正",IF($E40="契約上の就業時間を記載","",IF($E40&gt;=N$5,"常",N40))),"-"))</f>
        <v/>
      </c>
      <c r="AA40" s="101" t="str">
        <f>IF($B40="","",IF(OR('②-1職員名簿'!AL40="○",'②-1職員名簿'!AL40="●"),IF($E40="正規職員","正",IF($E40="契約上の就業時間を記載","",IF($E40&gt;=O$5,"常",O40))),"-"))</f>
        <v/>
      </c>
      <c r="AB40" s="101" t="str">
        <f>IF($B40="","",IF(OR('②-1職員名簿'!AM40="○",'②-1職員名簿'!AM40="●"),IF($E40="正規職員","正",IF($E40="契約上の就業時間を記載","",IF($E40&gt;=P$5,"常",P40))),"-"))</f>
        <v/>
      </c>
      <c r="AC40" s="101" t="str">
        <f>IF($B40="","",IF(OR('②-1職員名簿'!AN40="○",'②-1職員名簿'!AN40="●"),IF($E40="正規職員","正",IF($E40="契約上の就業時間を記載","",IF($E40&gt;=Q$5,"常",Q40))),"-"))</f>
        <v/>
      </c>
      <c r="AE40" s="98" t="str">
        <f>IF('②-1職員名簿'!W40="","",'②-1職員名簿'!W40)</f>
        <v/>
      </c>
      <c r="AJ40" s="18" t="str">
        <f t="shared" si="12"/>
        <v>○</v>
      </c>
      <c r="AK40" s="18" t="str">
        <f t="shared" si="13"/>
        <v>○</v>
      </c>
      <c r="AL40" s="18" t="str">
        <f t="shared" si="14"/>
        <v>○</v>
      </c>
      <c r="AM40" s="18" t="str">
        <f t="shared" si="15"/>
        <v>○</v>
      </c>
      <c r="AN40" s="18" t="str">
        <f t="shared" si="16"/>
        <v>○</v>
      </c>
      <c r="AO40" s="18" t="str">
        <f t="shared" si="17"/>
        <v>○</v>
      </c>
      <c r="AP40" s="18" t="str">
        <f t="shared" si="18"/>
        <v>○</v>
      </c>
      <c r="AQ40" s="18" t="str">
        <f t="shared" si="19"/>
        <v>○</v>
      </c>
      <c r="AR40" s="18" t="str">
        <f t="shared" si="20"/>
        <v>○</v>
      </c>
      <c r="AS40" s="18" t="str">
        <f t="shared" si="21"/>
        <v>○</v>
      </c>
      <c r="AT40" s="18" t="str">
        <f t="shared" si="22"/>
        <v>○</v>
      </c>
      <c r="AU40" s="18" t="str">
        <f t="shared" si="23"/>
        <v>○</v>
      </c>
    </row>
    <row r="41" spans="1:47" s="103" customFormat="1" ht="23.15" customHeight="1">
      <c r="A41" s="99">
        <v>35</v>
      </c>
      <c r="B41" s="98" t="str">
        <f>IF('②-1職員名簿'!E41="","",'②-1職員名簿'!Y41)</f>
        <v/>
      </c>
      <c r="C41" s="101" t="str">
        <f>'②-1職員名簿'!BE41</f>
        <v/>
      </c>
      <c r="D41" s="132" t="str">
        <f t="shared" si="9"/>
        <v/>
      </c>
      <c r="E41" s="19" t="str">
        <f>IF($B41="","",IF(AND('②-1職員名簿'!C41="正",'②-1職員名簿'!D41="常"),"正規職員","契約上の就業時間を記載"))</f>
        <v/>
      </c>
      <c r="F41" s="10" t="str">
        <f>IF($B41="","",IF(OR('②-1職員名簿'!AC41="○",'②-1職員名簿'!AC41="●"),IF($E41="正規職員","正",IF($E41="契約上の就業時間を記載","","見込を入力")),"-"))</f>
        <v/>
      </c>
      <c r="G41" s="10" t="str">
        <f>IF($B41="","",IF(OR('②-1職員名簿'!AD41="○",'②-1職員名簿'!AD41="●"),IF($E41="正規職員","正",IF($E41="契約上の就業時間を記載","","実績を入力")),"-"))</f>
        <v/>
      </c>
      <c r="H41" s="10" t="str">
        <f>IF($B41="","",IF(OR('②-1職員名簿'!AE41="○",'②-1職員名簿'!AE41="●"),IF($E41="正規職員","正",IF($E41="契約上の就業時間を記載","","実績を入力")),"-"))</f>
        <v/>
      </c>
      <c r="I41" s="10" t="str">
        <f>IF($B41="","",IF(OR('②-1職員名簿'!AF41="○",'②-1職員名簿'!AF41="●"),IF($E41="正規職員","正",IF($E41="契約上の就業時間を記載","","実績を入力")),"-"))</f>
        <v/>
      </c>
      <c r="J41" s="10" t="str">
        <f>IF($B41="","",IF(OR('②-1職員名簿'!AG41="○",'②-1職員名簿'!AG41="●"),IF($E41="正規職員","正",IF($E41="契約上の就業時間を記載","","実績を入力")),"-"))</f>
        <v/>
      </c>
      <c r="K41" s="10" t="str">
        <f>IF($B41="","",IF(OR('②-1職員名簿'!AH41="○",'②-1職員名簿'!AH41="●"),IF($E41="正規職員","正",IF($E41="契約上の就業時間を記載","","実績を入力")),"-"))</f>
        <v/>
      </c>
      <c r="L41" s="10" t="str">
        <f>IF($B41="","",IF(OR('②-1職員名簿'!AI41="○",'②-1職員名簿'!AI41="●"),IF($E41="正規職員","正",IF($E41="契約上の就業時間を記載","","実績を入力")),"-"))</f>
        <v/>
      </c>
      <c r="M41" s="10" t="str">
        <f>IF($B41="","",IF(OR('②-1職員名簿'!AJ41="○",'②-1職員名簿'!AJ41="●"),IF($E41="正規職員","正",IF($E41="契約上の就業時間を記載","","実績を入力")),"-"))</f>
        <v/>
      </c>
      <c r="N41" s="10" t="str">
        <f>IF($B41="","",IF(OR('②-1職員名簿'!AK41="○",'②-1職員名簿'!AK41="●"),IF($E41="正規職員","正",IF($E41="契約上の就業時間を記載","","実績を入力")),"-"))</f>
        <v/>
      </c>
      <c r="O41" s="10" t="str">
        <f>IF($B41="","",IF(OR('②-1職員名簿'!AL41="○",'②-1職員名簿'!AL41="●"),IF($E41="正規職員","正",IF($E41="契約上の就業時間を記載","","実績を入力")),"-"))</f>
        <v/>
      </c>
      <c r="P41" s="10" t="str">
        <f>IF($B41="","",IF(OR('②-1職員名簿'!AM41="○",'②-1職員名簿'!AM41="●"),IF($E41="正規職員","正",IF($E41="契約上の就業時間を記載","","実績を入力")),"-"))</f>
        <v/>
      </c>
      <c r="Q41" s="10" t="str">
        <f>IF($B41="","",IF(OR('②-1職員名簿'!AN41="○",'②-1職員名簿'!AN41="●"),IF($E41="正規職員","正",IF($E41="契約上の就業時間を記載","","実績を入力")),"-"))</f>
        <v/>
      </c>
      <c r="R41" s="101" t="str">
        <f>IF($B41="","",IF(OR('②-1職員名簿'!AC41="○",'②-1職員名簿'!AC41="●"),IF($E41="正規職員","正",IF($E41="契約上の就業時間を記載","",IF($E41&gt;=F$5,"常",F41))),"-"))</f>
        <v/>
      </c>
      <c r="S41" s="101" t="str">
        <f>IF($B41="","",IF(OR('②-1職員名簿'!AD41="○",'②-1職員名簿'!AD41="●"),IF($E41="正規職員","正",IF($E41="契約上の就業時間を記載","",IF($E41&gt;=G$5,"常",G41))),"-"))</f>
        <v/>
      </c>
      <c r="T41" s="101" t="str">
        <f>IF($B41="","",IF(OR('②-1職員名簿'!AE41="○",'②-1職員名簿'!AE41="●"),IF($E41="正規職員","正",IF($E41="契約上の就業時間を記載","",IF($E41&gt;=H$5,"常",H41))),"-"))</f>
        <v/>
      </c>
      <c r="U41" s="101" t="str">
        <f>IF($B41="","",IF(OR('②-1職員名簿'!AF41="○",'②-1職員名簿'!AF41="●"),IF($E41="正規職員","正",IF($E41="契約上の就業時間を記載","",IF($E41&gt;=I$5,"常",I41))),"-"))</f>
        <v/>
      </c>
      <c r="V41" s="101" t="str">
        <f>IF($B41="","",IF(OR('②-1職員名簿'!AG41="○",'②-1職員名簿'!AG41="●"),IF($E41="正規職員","正",IF($E41="契約上の就業時間を記載","",IF($E41&gt;=J$5,"常",J41))),"-"))</f>
        <v/>
      </c>
      <c r="W41" s="101" t="str">
        <f>IF($B41="","",IF(OR('②-1職員名簿'!AH41="○",'②-1職員名簿'!AH41="●"),IF($E41="正規職員","正",IF($E41="契約上の就業時間を記載","",IF($E41&gt;=K$5,"常",K41))),"-"))</f>
        <v/>
      </c>
      <c r="X41" s="101" t="str">
        <f>IF($B41="","",IF(OR('②-1職員名簿'!AI41="○",'②-1職員名簿'!AI41="●"),IF($E41="正規職員","正",IF($E41="契約上の就業時間を記載","",IF($E41&gt;=L$5,"常",L41))),"-"))</f>
        <v/>
      </c>
      <c r="Y41" s="101" t="str">
        <f>IF($B41="","",IF(OR('②-1職員名簿'!AJ41="○",'②-1職員名簿'!AJ41="●"),IF($E41="正規職員","正",IF($E41="契約上の就業時間を記載","",IF($E41&gt;=M$5,"常",M41))),"-"))</f>
        <v/>
      </c>
      <c r="Z41" s="101" t="str">
        <f>IF($B41="","",IF(OR('②-1職員名簿'!AK41="○",'②-1職員名簿'!AK41="●"),IF($E41="正規職員","正",IF($E41="契約上の就業時間を記載","",IF($E41&gt;=N$5,"常",N41))),"-"))</f>
        <v/>
      </c>
      <c r="AA41" s="101" t="str">
        <f>IF($B41="","",IF(OR('②-1職員名簿'!AL41="○",'②-1職員名簿'!AL41="●"),IF($E41="正規職員","正",IF($E41="契約上の就業時間を記載","",IF($E41&gt;=O$5,"常",O41))),"-"))</f>
        <v/>
      </c>
      <c r="AB41" s="101" t="str">
        <f>IF($B41="","",IF(OR('②-1職員名簿'!AM41="○",'②-1職員名簿'!AM41="●"),IF($E41="正規職員","正",IF($E41="契約上の就業時間を記載","",IF($E41&gt;=P$5,"常",P41))),"-"))</f>
        <v/>
      </c>
      <c r="AC41" s="101" t="str">
        <f>IF($B41="","",IF(OR('②-1職員名簿'!AN41="○",'②-1職員名簿'!AN41="●"),IF($E41="正規職員","正",IF($E41="契約上の就業時間を記載","",IF($E41&gt;=Q$5,"常",Q41))),"-"))</f>
        <v/>
      </c>
      <c r="AE41" s="98" t="str">
        <f>IF('②-1職員名簿'!W41="","",'②-1職員名簿'!W41)</f>
        <v/>
      </c>
      <c r="AJ41" s="18" t="str">
        <f t="shared" si="12"/>
        <v>○</v>
      </c>
      <c r="AK41" s="18" t="str">
        <f t="shared" si="13"/>
        <v>○</v>
      </c>
      <c r="AL41" s="18" t="str">
        <f t="shared" si="14"/>
        <v>○</v>
      </c>
      <c r="AM41" s="18" t="str">
        <f t="shared" si="15"/>
        <v>○</v>
      </c>
      <c r="AN41" s="18" t="str">
        <f t="shared" si="16"/>
        <v>○</v>
      </c>
      <c r="AO41" s="18" t="str">
        <f t="shared" si="17"/>
        <v>○</v>
      </c>
      <c r="AP41" s="18" t="str">
        <f t="shared" si="18"/>
        <v>○</v>
      </c>
      <c r="AQ41" s="18" t="str">
        <f t="shared" si="19"/>
        <v>○</v>
      </c>
      <c r="AR41" s="18" t="str">
        <f t="shared" si="20"/>
        <v>○</v>
      </c>
      <c r="AS41" s="18" t="str">
        <f t="shared" si="21"/>
        <v>○</v>
      </c>
      <c r="AT41" s="18" t="str">
        <f t="shared" si="22"/>
        <v>○</v>
      </c>
      <c r="AU41" s="18" t="str">
        <f t="shared" si="23"/>
        <v>○</v>
      </c>
    </row>
    <row r="42" spans="1:47" s="103" customFormat="1" ht="23.15" customHeight="1">
      <c r="A42" s="99">
        <v>36</v>
      </c>
      <c r="B42" s="98" t="str">
        <f>IF('②-1職員名簿'!E42="","",'②-1職員名簿'!Y42)</f>
        <v/>
      </c>
      <c r="C42" s="101" t="str">
        <f>'②-1職員名簿'!BE42</f>
        <v/>
      </c>
      <c r="D42" s="132" t="str">
        <f t="shared" si="9"/>
        <v/>
      </c>
      <c r="E42" s="19" t="str">
        <f>IF($B42="","",IF(AND('②-1職員名簿'!C42="正",'②-1職員名簿'!D42="常"),"正規職員","契約上の就業時間を記載"))</f>
        <v/>
      </c>
      <c r="F42" s="10" t="str">
        <f>IF($B42="","",IF(OR('②-1職員名簿'!AC42="○",'②-1職員名簿'!AC42="●"),IF($E42="正規職員","正",IF($E42="契約上の就業時間を記載","","見込を入力")),"-"))</f>
        <v/>
      </c>
      <c r="G42" s="10" t="str">
        <f>IF($B42="","",IF(OR('②-1職員名簿'!AD42="○",'②-1職員名簿'!AD42="●"),IF($E42="正規職員","正",IF($E42="契約上の就業時間を記載","","実績を入力")),"-"))</f>
        <v/>
      </c>
      <c r="H42" s="10" t="str">
        <f>IF($B42="","",IF(OR('②-1職員名簿'!AE42="○",'②-1職員名簿'!AE42="●"),IF($E42="正規職員","正",IF($E42="契約上の就業時間を記載","","実績を入力")),"-"))</f>
        <v/>
      </c>
      <c r="I42" s="10" t="str">
        <f>IF($B42="","",IF(OR('②-1職員名簿'!AF42="○",'②-1職員名簿'!AF42="●"),IF($E42="正規職員","正",IF($E42="契約上の就業時間を記載","","実績を入力")),"-"))</f>
        <v/>
      </c>
      <c r="J42" s="10" t="str">
        <f>IF($B42="","",IF(OR('②-1職員名簿'!AG42="○",'②-1職員名簿'!AG42="●"),IF($E42="正規職員","正",IF($E42="契約上の就業時間を記載","","実績を入力")),"-"))</f>
        <v/>
      </c>
      <c r="K42" s="10" t="str">
        <f>IF($B42="","",IF(OR('②-1職員名簿'!AH42="○",'②-1職員名簿'!AH42="●"),IF($E42="正規職員","正",IF($E42="契約上の就業時間を記載","","実績を入力")),"-"))</f>
        <v/>
      </c>
      <c r="L42" s="10" t="str">
        <f>IF($B42="","",IF(OR('②-1職員名簿'!AI42="○",'②-1職員名簿'!AI42="●"),IF($E42="正規職員","正",IF($E42="契約上の就業時間を記載","","実績を入力")),"-"))</f>
        <v/>
      </c>
      <c r="M42" s="10" t="str">
        <f>IF($B42="","",IF(OR('②-1職員名簿'!AJ42="○",'②-1職員名簿'!AJ42="●"),IF($E42="正規職員","正",IF($E42="契約上の就業時間を記載","","実績を入力")),"-"))</f>
        <v/>
      </c>
      <c r="N42" s="10" t="str">
        <f>IF($B42="","",IF(OR('②-1職員名簿'!AK42="○",'②-1職員名簿'!AK42="●"),IF($E42="正規職員","正",IF($E42="契約上の就業時間を記載","","実績を入力")),"-"))</f>
        <v/>
      </c>
      <c r="O42" s="10" t="str">
        <f>IF($B42="","",IF(OR('②-1職員名簿'!AL42="○",'②-1職員名簿'!AL42="●"),IF($E42="正規職員","正",IF($E42="契約上の就業時間を記載","","実績を入力")),"-"))</f>
        <v/>
      </c>
      <c r="P42" s="10" t="str">
        <f>IF($B42="","",IF(OR('②-1職員名簿'!AM42="○",'②-1職員名簿'!AM42="●"),IF($E42="正規職員","正",IF($E42="契約上の就業時間を記載","","実績を入力")),"-"))</f>
        <v/>
      </c>
      <c r="Q42" s="10" t="str">
        <f>IF($B42="","",IF(OR('②-1職員名簿'!AN42="○",'②-1職員名簿'!AN42="●"),IF($E42="正規職員","正",IF($E42="契約上の就業時間を記載","","実績を入力")),"-"))</f>
        <v/>
      </c>
      <c r="R42" s="101" t="str">
        <f>IF($B42="","",IF(OR('②-1職員名簿'!AC42="○",'②-1職員名簿'!AC42="●"),IF($E42="正規職員","正",IF($E42="契約上の就業時間を記載","",IF($E42&gt;=F$5,"常",F42))),"-"))</f>
        <v/>
      </c>
      <c r="S42" s="101" t="str">
        <f>IF($B42="","",IF(OR('②-1職員名簿'!AD42="○",'②-1職員名簿'!AD42="●"),IF($E42="正規職員","正",IF($E42="契約上の就業時間を記載","",IF($E42&gt;=G$5,"常",G42))),"-"))</f>
        <v/>
      </c>
      <c r="T42" s="101" t="str">
        <f>IF($B42="","",IF(OR('②-1職員名簿'!AE42="○",'②-1職員名簿'!AE42="●"),IF($E42="正規職員","正",IF($E42="契約上の就業時間を記載","",IF($E42&gt;=H$5,"常",H42))),"-"))</f>
        <v/>
      </c>
      <c r="U42" s="101" t="str">
        <f>IF($B42="","",IF(OR('②-1職員名簿'!AF42="○",'②-1職員名簿'!AF42="●"),IF($E42="正規職員","正",IF($E42="契約上の就業時間を記載","",IF($E42&gt;=I$5,"常",I42))),"-"))</f>
        <v/>
      </c>
      <c r="V42" s="101" t="str">
        <f>IF($B42="","",IF(OR('②-1職員名簿'!AG42="○",'②-1職員名簿'!AG42="●"),IF($E42="正規職員","正",IF($E42="契約上の就業時間を記載","",IF($E42&gt;=J$5,"常",J42))),"-"))</f>
        <v/>
      </c>
      <c r="W42" s="101" t="str">
        <f>IF($B42="","",IF(OR('②-1職員名簿'!AH42="○",'②-1職員名簿'!AH42="●"),IF($E42="正規職員","正",IF($E42="契約上の就業時間を記載","",IF($E42&gt;=K$5,"常",K42))),"-"))</f>
        <v/>
      </c>
      <c r="X42" s="101" t="str">
        <f>IF($B42="","",IF(OR('②-1職員名簿'!AI42="○",'②-1職員名簿'!AI42="●"),IF($E42="正規職員","正",IF($E42="契約上の就業時間を記載","",IF($E42&gt;=L$5,"常",L42))),"-"))</f>
        <v/>
      </c>
      <c r="Y42" s="101" t="str">
        <f>IF($B42="","",IF(OR('②-1職員名簿'!AJ42="○",'②-1職員名簿'!AJ42="●"),IF($E42="正規職員","正",IF($E42="契約上の就業時間を記載","",IF($E42&gt;=M$5,"常",M42))),"-"))</f>
        <v/>
      </c>
      <c r="Z42" s="101" t="str">
        <f>IF($B42="","",IF(OR('②-1職員名簿'!AK42="○",'②-1職員名簿'!AK42="●"),IF($E42="正規職員","正",IF($E42="契約上の就業時間を記載","",IF($E42&gt;=N$5,"常",N42))),"-"))</f>
        <v/>
      </c>
      <c r="AA42" s="101" t="str">
        <f>IF($B42="","",IF(OR('②-1職員名簿'!AL42="○",'②-1職員名簿'!AL42="●"),IF($E42="正規職員","正",IF($E42="契約上の就業時間を記載","",IF($E42&gt;=O$5,"常",O42))),"-"))</f>
        <v/>
      </c>
      <c r="AB42" s="101" t="str">
        <f>IF($B42="","",IF(OR('②-1職員名簿'!AM42="○",'②-1職員名簿'!AM42="●"),IF($E42="正規職員","正",IF($E42="契約上の就業時間を記載","",IF($E42&gt;=P$5,"常",P42))),"-"))</f>
        <v/>
      </c>
      <c r="AC42" s="101" t="str">
        <f>IF($B42="","",IF(OR('②-1職員名簿'!AN42="○",'②-1職員名簿'!AN42="●"),IF($E42="正規職員","正",IF($E42="契約上の就業時間を記載","",IF($E42&gt;=Q$5,"常",Q42))),"-"))</f>
        <v/>
      </c>
      <c r="AE42" s="98" t="str">
        <f>IF('②-1職員名簿'!W42="","",'②-1職員名簿'!W42)</f>
        <v/>
      </c>
      <c r="AJ42" s="18" t="str">
        <f t="shared" si="12"/>
        <v>○</v>
      </c>
      <c r="AK42" s="18" t="str">
        <f t="shared" si="13"/>
        <v>○</v>
      </c>
      <c r="AL42" s="18" t="str">
        <f t="shared" si="14"/>
        <v>○</v>
      </c>
      <c r="AM42" s="18" t="str">
        <f t="shared" si="15"/>
        <v>○</v>
      </c>
      <c r="AN42" s="18" t="str">
        <f t="shared" si="16"/>
        <v>○</v>
      </c>
      <c r="AO42" s="18" t="str">
        <f t="shared" si="17"/>
        <v>○</v>
      </c>
      <c r="AP42" s="18" t="str">
        <f t="shared" si="18"/>
        <v>○</v>
      </c>
      <c r="AQ42" s="18" t="str">
        <f t="shared" si="19"/>
        <v>○</v>
      </c>
      <c r="AR42" s="18" t="str">
        <f t="shared" si="20"/>
        <v>○</v>
      </c>
      <c r="AS42" s="18" t="str">
        <f t="shared" si="21"/>
        <v>○</v>
      </c>
      <c r="AT42" s="18" t="str">
        <f t="shared" si="22"/>
        <v>○</v>
      </c>
      <c r="AU42" s="18" t="str">
        <f t="shared" si="23"/>
        <v>○</v>
      </c>
    </row>
    <row r="43" spans="1:47" s="103" customFormat="1" ht="23.15" customHeight="1">
      <c r="A43" s="99">
        <v>37</v>
      </c>
      <c r="B43" s="98" t="str">
        <f>IF('②-1職員名簿'!E43="","",'②-1職員名簿'!Y43)</f>
        <v/>
      </c>
      <c r="C43" s="101" t="str">
        <f>'②-1職員名簿'!BE43</f>
        <v/>
      </c>
      <c r="D43" s="132" t="str">
        <f t="shared" si="9"/>
        <v/>
      </c>
      <c r="E43" s="19" t="str">
        <f>IF($B43="","",IF(AND('②-1職員名簿'!C43="正",'②-1職員名簿'!D43="常"),"正規職員","契約上の就業時間を記載"))</f>
        <v/>
      </c>
      <c r="F43" s="10" t="str">
        <f>IF($B43="","",IF(OR('②-1職員名簿'!AC43="○",'②-1職員名簿'!AC43="●"),IF($E43="正規職員","正",IF($E43="契約上の就業時間を記載","","見込を入力")),"-"))</f>
        <v/>
      </c>
      <c r="G43" s="10" t="str">
        <f>IF($B43="","",IF(OR('②-1職員名簿'!AD43="○",'②-1職員名簿'!AD43="●"),IF($E43="正規職員","正",IF($E43="契約上の就業時間を記載","","実績を入力")),"-"))</f>
        <v/>
      </c>
      <c r="H43" s="10" t="str">
        <f>IF($B43="","",IF(OR('②-1職員名簿'!AE43="○",'②-1職員名簿'!AE43="●"),IF($E43="正規職員","正",IF($E43="契約上の就業時間を記載","","実績を入力")),"-"))</f>
        <v/>
      </c>
      <c r="I43" s="10" t="str">
        <f>IF($B43="","",IF(OR('②-1職員名簿'!AF43="○",'②-1職員名簿'!AF43="●"),IF($E43="正規職員","正",IF($E43="契約上の就業時間を記載","","実績を入力")),"-"))</f>
        <v/>
      </c>
      <c r="J43" s="10" t="str">
        <f>IF($B43="","",IF(OR('②-1職員名簿'!AG43="○",'②-1職員名簿'!AG43="●"),IF($E43="正規職員","正",IF($E43="契約上の就業時間を記載","","実績を入力")),"-"))</f>
        <v/>
      </c>
      <c r="K43" s="10" t="str">
        <f>IF($B43="","",IF(OR('②-1職員名簿'!AH43="○",'②-1職員名簿'!AH43="●"),IF($E43="正規職員","正",IF($E43="契約上の就業時間を記載","","実績を入力")),"-"))</f>
        <v/>
      </c>
      <c r="L43" s="10" t="str">
        <f>IF($B43="","",IF(OR('②-1職員名簿'!AI43="○",'②-1職員名簿'!AI43="●"),IF($E43="正規職員","正",IF($E43="契約上の就業時間を記載","","実績を入力")),"-"))</f>
        <v/>
      </c>
      <c r="M43" s="10" t="str">
        <f>IF($B43="","",IF(OR('②-1職員名簿'!AJ43="○",'②-1職員名簿'!AJ43="●"),IF($E43="正規職員","正",IF($E43="契約上の就業時間を記載","","実績を入力")),"-"))</f>
        <v/>
      </c>
      <c r="N43" s="10" t="str">
        <f>IF($B43="","",IF(OR('②-1職員名簿'!AK43="○",'②-1職員名簿'!AK43="●"),IF($E43="正規職員","正",IF($E43="契約上の就業時間を記載","","実績を入力")),"-"))</f>
        <v/>
      </c>
      <c r="O43" s="10" t="str">
        <f>IF($B43="","",IF(OR('②-1職員名簿'!AL43="○",'②-1職員名簿'!AL43="●"),IF($E43="正規職員","正",IF($E43="契約上の就業時間を記載","","実績を入力")),"-"))</f>
        <v/>
      </c>
      <c r="P43" s="10" t="str">
        <f>IF($B43="","",IF(OR('②-1職員名簿'!AM43="○",'②-1職員名簿'!AM43="●"),IF($E43="正規職員","正",IF($E43="契約上の就業時間を記載","","実績を入力")),"-"))</f>
        <v/>
      </c>
      <c r="Q43" s="10" t="str">
        <f>IF($B43="","",IF(OR('②-1職員名簿'!AN43="○",'②-1職員名簿'!AN43="●"),IF($E43="正規職員","正",IF($E43="契約上の就業時間を記載","","実績を入力")),"-"))</f>
        <v/>
      </c>
      <c r="R43" s="101" t="str">
        <f>IF($B43="","",IF(OR('②-1職員名簿'!AC43="○",'②-1職員名簿'!AC43="●"),IF($E43="正規職員","正",IF($E43="契約上の就業時間を記載","",IF($E43&gt;=F$5,"常",F43))),"-"))</f>
        <v/>
      </c>
      <c r="S43" s="101" t="str">
        <f>IF($B43="","",IF(OR('②-1職員名簿'!AD43="○",'②-1職員名簿'!AD43="●"),IF($E43="正規職員","正",IF($E43="契約上の就業時間を記載","",IF($E43&gt;=G$5,"常",G43))),"-"))</f>
        <v/>
      </c>
      <c r="T43" s="101" t="str">
        <f>IF($B43="","",IF(OR('②-1職員名簿'!AE43="○",'②-1職員名簿'!AE43="●"),IF($E43="正規職員","正",IF($E43="契約上の就業時間を記載","",IF($E43&gt;=H$5,"常",H43))),"-"))</f>
        <v/>
      </c>
      <c r="U43" s="101" t="str">
        <f>IF($B43="","",IF(OR('②-1職員名簿'!AF43="○",'②-1職員名簿'!AF43="●"),IF($E43="正規職員","正",IF($E43="契約上の就業時間を記載","",IF($E43&gt;=I$5,"常",I43))),"-"))</f>
        <v/>
      </c>
      <c r="V43" s="101" t="str">
        <f>IF($B43="","",IF(OR('②-1職員名簿'!AG43="○",'②-1職員名簿'!AG43="●"),IF($E43="正規職員","正",IF($E43="契約上の就業時間を記載","",IF($E43&gt;=J$5,"常",J43))),"-"))</f>
        <v/>
      </c>
      <c r="W43" s="101" t="str">
        <f>IF($B43="","",IF(OR('②-1職員名簿'!AH43="○",'②-1職員名簿'!AH43="●"),IF($E43="正規職員","正",IF($E43="契約上の就業時間を記載","",IF($E43&gt;=K$5,"常",K43))),"-"))</f>
        <v/>
      </c>
      <c r="X43" s="101" t="str">
        <f>IF($B43="","",IF(OR('②-1職員名簿'!AI43="○",'②-1職員名簿'!AI43="●"),IF($E43="正規職員","正",IF($E43="契約上の就業時間を記載","",IF($E43&gt;=L$5,"常",L43))),"-"))</f>
        <v/>
      </c>
      <c r="Y43" s="101" t="str">
        <f>IF($B43="","",IF(OR('②-1職員名簿'!AJ43="○",'②-1職員名簿'!AJ43="●"),IF($E43="正規職員","正",IF($E43="契約上の就業時間を記載","",IF($E43&gt;=M$5,"常",M43))),"-"))</f>
        <v/>
      </c>
      <c r="Z43" s="101" t="str">
        <f>IF($B43="","",IF(OR('②-1職員名簿'!AK43="○",'②-1職員名簿'!AK43="●"),IF($E43="正規職員","正",IF($E43="契約上の就業時間を記載","",IF($E43&gt;=N$5,"常",N43))),"-"))</f>
        <v/>
      </c>
      <c r="AA43" s="101" t="str">
        <f>IF($B43="","",IF(OR('②-1職員名簿'!AL43="○",'②-1職員名簿'!AL43="●"),IF($E43="正規職員","正",IF($E43="契約上の就業時間を記載","",IF($E43&gt;=O$5,"常",O43))),"-"))</f>
        <v/>
      </c>
      <c r="AB43" s="101" t="str">
        <f>IF($B43="","",IF(OR('②-1職員名簿'!AM43="○",'②-1職員名簿'!AM43="●"),IF($E43="正規職員","正",IF($E43="契約上の就業時間を記載","",IF($E43&gt;=P$5,"常",P43))),"-"))</f>
        <v/>
      </c>
      <c r="AC43" s="101" t="str">
        <f>IF($B43="","",IF(OR('②-1職員名簿'!AN43="○",'②-1職員名簿'!AN43="●"),IF($E43="正規職員","正",IF($E43="契約上の就業時間を記載","",IF($E43&gt;=Q$5,"常",Q43))),"-"))</f>
        <v/>
      </c>
      <c r="AE43" s="98" t="str">
        <f>IF('②-1職員名簿'!W43="","",'②-1職員名簿'!W43)</f>
        <v/>
      </c>
      <c r="AJ43" s="18" t="str">
        <f t="shared" si="12"/>
        <v>○</v>
      </c>
      <c r="AK43" s="18" t="str">
        <f t="shared" si="13"/>
        <v>○</v>
      </c>
      <c r="AL43" s="18" t="str">
        <f t="shared" si="14"/>
        <v>○</v>
      </c>
      <c r="AM43" s="18" t="str">
        <f t="shared" si="15"/>
        <v>○</v>
      </c>
      <c r="AN43" s="18" t="str">
        <f t="shared" si="16"/>
        <v>○</v>
      </c>
      <c r="AO43" s="18" t="str">
        <f t="shared" si="17"/>
        <v>○</v>
      </c>
      <c r="AP43" s="18" t="str">
        <f t="shared" si="18"/>
        <v>○</v>
      </c>
      <c r="AQ43" s="18" t="str">
        <f t="shared" si="19"/>
        <v>○</v>
      </c>
      <c r="AR43" s="18" t="str">
        <f t="shared" si="20"/>
        <v>○</v>
      </c>
      <c r="AS43" s="18" t="str">
        <f t="shared" si="21"/>
        <v>○</v>
      </c>
      <c r="AT43" s="18" t="str">
        <f t="shared" si="22"/>
        <v>○</v>
      </c>
      <c r="AU43" s="18" t="str">
        <f t="shared" si="23"/>
        <v>○</v>
      </c>
    </row>
    <row r="44" spans="1:47" s="103" customFormat="1" ht="23.15" customHeight="1">
      <c r="A44" s="99">
        <v>38</v>
      </c>
      <c r="B44" s="98" t="str">
        <f>IF('②-1職員名簿'!E44="","",'②-1職員名簿'!Y44)</f>
        <v/>
      </c>
      <c r="C44" s="101" t="str">
        <f>'②-1職員名簿'!BE44</f>
        <v/>
      </c>
      <c r="D44" s="132" t="str">
        <f t="shared" si="9"/>
        <v/>
      </c>
      <c r="E44" s="19" t="str">
        <f>IF($B44="","",IF(AND('②-1職員名簿'!C44="正",'②-1職員名簿'!D44="常"),"正規職員","契約上の就業時間を記載"))</f>
        <v/>
      </c>
      <c r="F44" s="10" t="str">
        <f>IF($B44="","",IF(OR('②-1職員名簿'!AC44="○",'②-1職員名簿'!AC44="●"),IF($E44="正規職員","正",IF($E44="契約上の就業時間を記載","","見込を入力")),"-"))</f>
        <v/>
      </c>
      <c r="G44" s="10" t="str">
        <f>IF($B44="","",IF(OR('②-1職員名簿'!AD44="○",'②-1職員名簿'!AD44="●"),IF($E44="正規職員","正",IF($E44="契約上の就業時間を記載","","実績を入力")),"-"))</f>
        <v/>
      </c>
      <c r="H44" s="10" t="str">
        <f>IF($B44="","",IF(OR('②-1職員名簿'!AE44="○",'②-1職員名簿'!AE44="●"),IF($E44="正規職員","正",IF($E44="契約上の就業時間を記載","","実績を入力")),"-"))</f>
        <v/>
      </c>
      <c r="I44" s="10" t="str">
        <f>IF($B44="","",IF(OR('②-1職員名簿'!AF44="○",'②-1職員名簿'!AF44="●"),IF($E44="正規職員","正",IF($E44="契約上の就業時間を記載","","実績を入力")),"-"))</f>
        <v/>
      </c>
      <c r="J44" s="10" t="str">
        <f>IF($B44="","",IF(OR('②-1職員名簿'!AG44="○",'②-1職員名簿'!AG44="●"),IF($E44="正規職員","正",IF($E44="契約上の就業時間を記載","","実績を入力")),"-"))</f>
        <v/>
      </c>
      <c r="K44" s="10" t="str">
        <f>IF($B44="","",IF(OR('②-1職員名簿'!AH44="○",'②-1職員名簿'!AH44="●"),IF($E44="正規職員","正",IF($E44="契約上の就業時間を記載","","実績を入力")),"-"))</f>
        <v/>
      </c>
      <c r="L44" s="10" t="str">
        <f>IF($B44="","",IF(OR('②-1職員名簿'!AI44="○",'②-1職員名簿'!AI44="●"),IF($E44="正規職員","正",IF($E44="契約上の就業時間を記載","","実績を入力")),"-"))</f>
        <v/>
      </c>
      <c r="M44" s="10" t="str">
        <f>IF($B44="","",IF(OR('②-1職員名簿'!AJ44="○",'②-1職員名簿'!AJ44="●"),IF($E44="正規職員","正",IF($E44="契約上の就業時間を記載","","実績を入力")),"-"))</f>
        <v/>
      </c>
      <c r="N44" s="10" t="str">
        <f>IF($B44="","",IF(OR('②-1職員名簿'!AK44="○",'②-1職員名簿'!AK44="●"),IF($E44="正規職員","正",IF($E44="契約上の就業時間を記載","","実績を入力")),"-"))</f>
        <v/>
      </c>
      <c r="O44" s="10" t="str">
        <f>IF($B44="","",IF(OR('②-1職員名簿'!AL44="○",'②-1職員名簿'!AL44="●"),IF($E44="正規職員","正",IF($E44="契約上の就業時間を記載","","実績を入力")),"-"))</f>
        <v/>
      </c>
      <c r="P44" s="10" t="str">
        <f>IF($B44="","",IF(OR('②-1職員名簿'!AM44="○",'②-1職員名簿'!AM44="●"),IF($E44="正規職員","正",IF($E44="契約上の就業時間を記載","","実績を入力")),"-"))</f>
        <v/>
      </c>
      <c r="Q44" s="10" t="str">
        <f>IF($B44="","",IF(OR('②-1職員名簿'!AN44="○",'②-1職員名簿'!AN44="●"),IF($E44="正規職員","正",IF($E44="契約上の就業時間を記載","","実績を入力")),"-"))</f>
        <v/>
      </c>
      <c r="R44" s="101" t="str">
        <f>IF($B44="","",IF(OR('②-1職員名簿'!AC44="○",'②-1職員名簿'!AC44="●"),IF($E44="正規職員","正",IF($E44="契約上の就業時間を記載","",IF($E44&gt;=F$5,"常",F44))),"-"))</f>
        <v/>
      </c>
      <c r="S44" s="101" t="str">
        <f>IF($B44="","",IF(OR('②-1職員名簿'!AD44="○",'②-1職員名簿'!AD44="●"),IF($E44="正規職員","正",IF($E44="契約上の就業時間を記載","",IF($E44&gt;=G$5,"常",G44))),"-"))</f>
        <v/>
      </c>
      <c r="T44" s="101" t="str">
        <f>IF($B44="","",IF(OR('②-1職員名簿'!AE44="○",'②-1職員名簿'!AE44="●"),IF($E44="正規職員","正",IF($E44="契約上の就業時間を記載","",IF($E44&gt;=H$5,"常",H44))),"-"))</f>
        <v/>
      </c>
      <c r="U44" s="101" t="str">
        <f>IF($B44="","",IF(OR('②-1職員名簿'!AF44="○",'②-1職員名簿'!AF44="●"),IF($E44="正規職員","正",IF($E44="契約上の就業時間を記載","",IF($E44&gt;=I$5,"常",I44))),"-"))</f>
        <v/>
      </c>
      <c r="V44" s="101" t="str">
        <f>IF($B44="","",IF(OR('②-1職員名簿'!AG44="○",'②-1職員名簿'!AG44="●"),IF($E44="正規職員","正",IF($E44="契約上の就業時間を記載","",IF($E44&gt;=J$5,"常",J44))),"-"))</f>
        <v/>
      </c>
      <c r="W44" s="101" t="str">
        <f>IF($B44="","",IF(OR('②-1職員名簿'!AH44="○",'②-1職員名簿'!AH44="●"),IF($E44="正規職員","正",IF($E44="契約上の就業時間を記載","",IF($E44&gt;=K$5,"常",K44))),"-"))</f>
        <v/>
      </c>
      <c r="X44" s="101" t="str">
        <f>IF($B44="","",IF(OR('②-1職員名簿'!AI44="○",'②-1職員名簿'!AI44="●"),IF($E44="正規職員","正",IF($E44="契約上の就業時間を記載","",IF($E44&gt;=L$5,"常",L44))),"-"))</f>
        <v/>
      </c>
      <c r="Y44" s="101" t="str">
        <f>IF($B44="","",IF(OR('②-1職員名簿'!AJ44="○",'②-1職員名簿'!AJ44="●"),IF($E44="正規職員","正",IF($E44="契約上の就業時間を記載","",IF($E44&gt;=M$5,"常",M44))),"-"))</f>
        <v/>
      </c>
      <c r="Z44" s="101" t="str">
        <f>IF($B44="","",IF(OR('②-1職員名簿'!AK44="○",'②-1職員名簿'!AK44="●"),IF($E44="正規職員","正",IF($E44="契約上の就業時間を記載","",IF($E44&gt;=N$5,"常",N44))),"-"))</f>
        <v/>
      </c>
      <c r="AA44" s="101" t="str">
        <f>IF($B44="","",IF(OR('②-1職員名簿'!AL44="○",'②-1職員名簿'!AL44="●"),IF($E44="正規職員","正",IF($E44="契約上の就業時間を記載","",IF($E44&gt;=O$5,"常",O44))),"-"))</f>
        <v/>
      </c>
      <c r="AB44" s="101" t="str">
        <f>IF($B44="","",IF(OR('②-1職員名簿'!AM44="○",'②-1職員名簿'!AM44="●"),IF($E44="正規職員","正",IF($E44="契約上の就業時間を記載","",IF($E44&gt;=P$5,"常",P44))),"-"))</f>
        <v/>
      </c>
      <c r="AC44" s="101" t="str">
        <f>IF($B44="","",IF(OR('②-1職員名簿'!AN44="○",'②-1職員名簿'!AN44="●"),IF($E44="正規職員","正",IF($E44="契約上の就業時間を記載","",IF($E44&gt;=Q$5,"常",Q44))),"-"))</f>
        <v/>
      </c>
      <c r="AE44" s="98" t="str">
        <f>IF('②-1職員名簿'!W44="","",'②-1職員名簿'!W44)</f>
        <v/>
      </c>
      <c r="AJ44" s="18" t="str">
        <f t="shared" si="12"/>
        <v>○</v>
      </c>
      <c r="AK44" s="18" t="str">
        <f t="shared" si="13"/>
        <v>○</v>
      </c>
      <c r="AL44" s="18" t="str">
        <f t="shared" si="14"/>
        <v>○</v>
      </c>
      <c r="AM44" s="18" t="str">
        <f t="shared" si="15"/>
        <v>○</v>
      </c>
      <c r="AN44" s="18" t="str">
        <f t="shared" si="16"/>
        <v>○</v>
      </c>
      <c r="AO44" s="18" t="str">
        <f t="shared" si="17"/>
        <v>○</v>
      </c>
      <c r="AP44" s="18" t="str">
        <f t="shared" si="18"/>
        <v>○</v>
      </c>
      <c r="AQ44" s="18" t="str">
        <f t="shared" si="19"/>
        <v>○</v>
      </c>
      <c r="AR44" s="18" t="str">
        <f t="shared" si="20"/>
        <v>○</v>
      </c>
      <c r="AS44" s="18" t="str">
        <f t="shared" si="21"/>
        <v>○</v>
      </c>
      <c r="AT44" s="18" t="str">
        <f t="shared" si="22"/>
        <v>○</v>
      </c>
      <c r="AU44" s="18" t="str">
        <f t="shared" si="23"/>
        <v>○</v>
      </c>
    </row>
    <row r="45" spans="1:47" s="103" customFormat="1" ht="23.15" customHeight="1">
      <c r="A45" s="99">
        <v>39</v>
      </c>
      <c r="B45" s="98" t="str">
        <f>IF('②-1職員名簿'!E45="","",'②-1職員名簿'!Y45)</f>
        <v/>
      </c>
      <c r="C45" s="101" t="str">
        <f>'②-1職員名簿'!BE45</f>
        <v/>
      </c>
      <c r="D45" s="132" t="str">
        <f t="shared" si="9"/>
        <v/>
      </c>
      <c r="E45" s="19" t="str">
        <f>IF($B45="","",IF(AND('②-1職員名簿'!C45="正",'②-1職員名簿'!D45="常"),"正規職員","契約上の就業時間を記載"))</f>
        <v/>
      </c>
      <c r="F45" s="10" t="str">
        <f>IF($B45="","",IF(OR('②-1職員名簿'!AC45="○",'②-1職員名簿'!AC45="●"),IF($E45="正規職員","正",IF($E45="契約上の就業時間を記載","","見込を入力")),"-"))</f>
        <v/>
      </c>
      <c r="G45" s="10" t="str">
        <f>IF($B45="","",IF(OR('②-1職員名簿'!AD45="○",'②-1職員名簿'!AD45="●"),IF($E45="正規職員","正",IF($E45="契約上の就業時間を記載","","実績を入力")),"-"))</f>
        <v/>
      </c>
      <c r="H45" s="10" t="str">
        <f>IF($B45="","",IF(OR('②-1職員名簿'!AE45="○",'②-1職員名簿'!AE45="●"),IF($E45="正規職員","正",IF($E45="契約上の就業時間を記載","","実績を入力")),"-"))</f>
        <v/>
      </c>
      <c r="I45" s="10" t="str">
        <f>IF($B45="","",IF(OR('②-1職員名簿'!AF45="○",'②-1職員名簿'!AF45="●"),IF($E45="正規職員","正",IF($E45="契約上の就業時間を記載","","実績を入力")),"-"))</f>
        <v/>
      </c>
      <c r="J45" s="10" t="str">
        <f>IF($B45="","",IF(OR('②-1職員名簿'!AG45="○",'②-1職員名簿'!AG45="●"),IF($E45="正規職員","正",IF($E45="契約上の就業時間を記載","","実績を入力")),"-"))</f>
        <v/>
      </c>
      <c r="K45" s="10" t="str">
        <f>IF($B45="","",IF(OR('②-1職員名簿'!AH45="○",'②-1職員名簿'!AH45="●"),IF($E45="正規職員","正",IF($E45="契約上の就業時間を記載","","実績を入力")),"-"))</f>
        <v/>
      </c>
      <c r="L45" s="10" t="str">
        <f>IF($B45="","",IF(OR('②-1職員名簿'!AI45="○",'②-1職員名簿'!AI45="●"),IF($E45="正規職員","正",IF($E45="契約上の就業時間を記載","","実績を入力")),"-"))</f>
        <v/>
      </c>
      <c r="M45" s="10" t="str">
        <f>IF($B45="","",IF(OR('②-1職員名簿'!AJ45="○",'②-1職員名簿'!AJ45="●"),IF($E45="正規職員","正",IF($E45="契約上の就業時間を記載","","実績を入力")),"-"))</f>
        <v/>
      </c>
      <c r="N45" s="10" t="str">
        <f>IF($B45="","",IF(OR('②-1職員名簿'!AK45="○",'②-1職員名簿'!AK45="●"),IF($E45="正規職員","正",IF($E45="契約上の就業時間を記載","","実績を入力")),"-"))</f>
        <v/>
      </c>
      <c r="O45" s="10" t="str">
        <f>IF($B45="","",IF(OR('②-1職員名簿'!AL45="○",'②-1職員名簿'!AL45="●"),IF($E45="正規職員","正",IF($E45="契約上の就業時間を記載","","実績を入力")),"-"))</f>
        <v/>
      </c>
      <c r="P45" s="10" t="str">
        <f>IF($B45="","",IF(OR('②-1職員名簿'!AM45="○",'②-1職員名簿'!AM45="●"),IF($E45="正規職員","正",IF($E45="契約上の就業時間を記載","","実績を入力")),"-"))</f>
        <v/>
      </c>
      <c r="Q45" s="10" t="str">
        <f>IF($B45="","",IF(OR('②-1職員名簿'!AN45="○",'②-1職員名簿'!AN45="●"),IF($E45="正規職員","正",IF($E45="契約上の就業時間を記載","","実績を入力")),"-"))</f>
        <v/>
      </c>
      <c r="R45" s="101" t="str">
        <f>IF($B45="","",IF(OR('②-1職員名簿'!AC45="○",'②-1職員名簿'!AC45="●"),IF($E45="正規職員","正",IF($E45="契約上の就業時間を記載","",IF($E45&gt;=F$5,"常",F45))),"-"))</f>
        <v/>
      </c>
      <c r="S45" s="101" t="str">
        <f>IF($B45="","",IF(OR('②-1職員名簿'!AD45="○",'②-1職員名簿'!AD45="●"),IF($E45="正規職員","正",IF($E45="契約上の就業時間を記載","",IF($E45&gt;=G$5,"常",G45))),"-"))</f>
        <v/>
      </c>
      <c r="T45" s="101" t="str">
        <f>IF($B45="","",IF(OR('②-1職員名簿'!AE45="○",'②-1職員名簿'!AE45="●"),IF($E45="正規職員","正",IF($E45="契約上の就業時間を記載","",IF($E45&gt;=H$5,"常",H45))),"-"))</f>
        <v/>
      </c>
      <c r="U45" s="101" t="str">
        <f>IF($B45="","",IF(OR('②-1職員名簿'!AF45="○",'②-1職員名簿'!AF45="●"),IF($E45="正規職員","正",IF($E45="契約上の就業時間を記載","",IF($E45&gt;=I$5,"常",I45))),"-"))</f>
        <v/>
      </c>
      <c r="V45" s="101" t="str">
        <f>IF($B45="","",IF(OR('②-1職員名簿'!AG45="○",'②-1職員名簿'!AG45="●"),IF($E45="正規職員","正",IF($E45="契約上の就業時間を記載","",IF($E45&gt;=J$5,"常",J45))),"-"))</f>
        <v/>
      </c>
      <c r="W45" s="101" t="str">
        <f>IF($B45="","",IF(OR('②-1職員名簿'!AH45="○",'②-1職員名簿'!AH45="●"),IF($E45="正規職員","正",IF($E45="契約上の就業時間を記載","",IF($E45&gt;=K$5,"常",K45))),"-"))</f>
        <v/>
      </c>
      <c r="X45" s="101" t="str">
        <f>IF($B45="","",IF(OR('②-1職員名簿'!AI45="○",'②-1職員名簿'!AI45="●"),IF($E45="正規職員","正",IF($E45="契約上の就業時間を記載","",IF($E45&gt;=L$5,"常",L45))),"-"))</f>
        <v/>
      </c>
      <c r="Y45" s="101" t="str">
        <f>IF($B45="","",IF(OR('②-1職員名簿'!AJ45="○",'②-1職員名簿'!AJ45="●"),IF($E45="正規職員","正",IF($E45="契約上の就業時間を記載","",IF($E45&gt;=M$5,"常",M45))),"-"))</f>
        <v/>
      </c>
      <c r="Z45" s="101" t="str">
        <f>IF($B45="","",IF(OR('②-1職員名簿'!AK45="○",'②-1職員名簿'!AK45="●"),IF($E45="正規職員","正",IF($E45="契約上の就業時間を記載","",IF($E45&gt;=N$5,"常",N45))),"-"))</f>
        <v/>
      </c>
      <c r="AA45" s="101" t="str">
        <f>IF($B45="","",IF(OR('②-1職員名簿'!AL45="○",'②-1職員名簿'!AL45="●"),IF($E45="正規職員","正",IF($E45="契約上の就業時間を記載","",IF($E45&gt;=O$5,"常",O45))),"-"))</f>
        <v/>
      </c>
      <c r="AB45" s="101" t="str">
        <f>IF($B45="","",IF(OR('②-1職員名簿'!AM45="○",'②-1職員名簿'!AM45="●"),IF($E45="正規職員","正",IF($E45="契約上の就業時間を記載","",IF($E45&gt;=P$5,"常",P45))),"-"))</f>
        <v/>
      </c>
      <c r="AC45" s="101" t="str">
        <f>IF($B45="","",IF(OR('②-1職員名簿'!AN45="○",'②-1職員名簿'!AN45="●"),IF($E45="正規職員","正",IF($E45="契約上の就業時間を記載","",IF($E45&gt;=Q$5,"常",Q45))),"-"))</f>
        <v/>
      </c>
      <c r="AE45" s="98" t="str">
        <f>IF('②-1職員名簿'!W45="","",'②-1職員名簿'!W45)</f>
        <v/>
      </c>
      <c r="AJ45" s="18" t="str">
        <f t="shared" si="12"/>
        <v>○</v>
      </c>
      <c r="AK45" s="18" t="str">
        <f t="shared" si="13"/>
        <v>○</v>
      </c>
      <c r="AL45" s="18" t="str">
        <f t="shared" si="14"/>
        <v>○</v>
      </c>
      <c r="AM45" s="18" t="str">
        <f t="shared" si="15"/>
        <v>○</v>
      </c>
      <c r="AN45" s="18" t="str">
        <f t="shared" si="16"/>
        <v>○</v>
      </c>
      <c r="AO45" s="18" t="str">
        <f t="shared" si="17"/>
        <v>○</v>
      </c>
      <c r="AP45" s="18" t="str">
        <f t="shared" si="18"/>
        <v>○</v>
      </c>
      <c r="AQ45" s="18" t="str">
        <f t="shared" si="19"/>
        <v>○</v>
      </c>
      <c r="AR45" s="18" t="str">
        <f t="shared" si="20"/>
        <v>○</v>
      </c>
      <c r="AS45" s="18" t="str">
        <f t="shared" si="21"/>
        <v>○</v>
      </c>
      <c r="AT45" s="18" t="str">
        <f t="shared" si="22"/>
        <v>○</v>
      </c>
      <c r="AU45" s="18" t="str">
        <f t="shared" si="23"/>
        <v>○</v>
      </c>
    </row>
    <row r="46" spans="1:47" s="103" customFormat="1" ht="23.15" customHeight="1">
      <c r="A46" s="99">
        <v>40</v>
      </c>
      <c r="B46" s="98" t="str">
        <f>IF('②-1職員名簿'!E46="","",'②-1職員名簿'!Y46)</f>
        <v/>
      </c>
      <c r="C46" s="101" t="str">
        <f>'②-1職員名簿'!BE46</f>
        <v/>
      </c>
      <c r="D46" s="132" t="str">
        <f t="shared" si="9"/>
        <v/>
      </c>
      <c r="E46" s="19" t="str">
        <f>IF($B46="","",IF(AND('②-1職員名簿'!C46="正",'②-1職員名簿'!D46="常"),"正規職員","契約上の就業時間を記載"))</f>
        <v/>
      </c>
      <c r="F46" s="10" t="str">
        <f>IF($B46="","",IF(OR('②-1職員名簿'!AC46="○",'②-1職員名簿'!AC46="●"),IF($E46="正規職員","正",IF($E46="契約上の就業時間を記載","","見込を入力")),"-"))</f>
        <v/>
      </c>
      <c r="G46" s="10" t="str">
        <f>IF($B46="","",IF(OR('②-1職員名簿'!AD46="○",'②-1職員名簿'!AD46="●"),IF($E46="正規職員","正",IF($E46="契約上の就業時間を記載","","実績を入力")),"-"))</f>
        <v/>
      </c>
      <c r="H46" s="10" t="str">
        <f>IF($B46="","",IF(OR('②-1職員名簿'!AE46="○",'②-1職員名簿'!AE46="●"),IF($E46="正規職員","正",IF($E46="契約上の就業時間を記載","","実績を入力")),"-"))</f>
        <v/>
      </c>
      <c r="I46" s="10" t="str">
        <f>IF($B46="","",IF(OR('②-1職員名簿'!AF46="○",'②-1職員名簿'!AF46="●"),IF($E46="正規職員","正",IF($E46="契約上の就業時間を記載","","実績を入力")),"-"))</f>
        <v/>
      </c>
      <c r="J46" s="10" t="str">
        <f>IF($B46="","",IF(OR('②-1職員名簿'!AG46="○",'②-1職員名簿'!AG46="●"),IF($E46="正規職員","正",IF($E46="契約上の就業時間を記載","","実績を入力")),"-"))</f>
        <v/>
      </c>
      <c r="K46" s="10" t="str">
        <f>IF($B46="","",IF(OR('②-1職員名簿'!AH46="○",'②-1職員名簿'!AH46="●"),IF($E46="正規職員","正",IF($E46="契約上の就業時間を記載","","実績を入力")),"-"))</f>
        <v/>
      </c>
      <c r="L46" s="10" t="str">
        <f>IF($B46="","",IF(OR('②-1職員名簿'!AI46="○",'②-1職員名簿'!AI46="●"),IF($E46="正規職員","正",IF($E46="契約上の就業時間を記載","","実績を入力")),"-"))</f>
        <v/>
      </c>
      <c r="M46" s="10" t="str">
        <f>IF($B46="","",IF(OR('②-1職員名簿'!AJ46="○",'②-1職員名簿'!AJ46="●"),IF($E46="正規職員","正",IF($E46="契約上の就業時間を記載","","実績を入力")),"-"))</f>
        <v/>
      </c>
      <c r="N46" s="10" t="str">
        <f>IF($B46="","",IF(OR('②-1職員名簿'!AK46="○",'②-1職員名簿'!AK46="●"),IF($E46="正規職員","正",IF($E46="契約上の就業時間を記載","","実績を入力")),"-"))</f>
        <v/>
      </c>
      <c r="O46" s="10" t="str">
        <f>IF($B46="","",IF(OR('②-1職員名簿'!AL46="○",'②-1職員名簿'!AL46="●"),IF($E46="正規職員","正",IF($E46="契約上の就業時間を記載","","実績を入力")),"-"))</f>
        <v/>
      </c>
      <c r="P46" s="10" t="str">
        <f>IF($B46="","",IF(OR('②-1職員名簿'!AM46="○",'②-1職員名簿'!AM46="●"),IF($E46="正規職員","正",IF($E46="契約上の就業時間を記載","","実績を入力")),"-"))</f>
        <v/>
      </c>
      <c r="Q46" s="10" t="str">
        <f>IF($B46="","",IF(OR('②-1職員名簿'!AN46="○",'②-1職員名簿'!AN46="●"),IF($E46="正規職員","正",IF($E46="契約上の就業時間を記載","","実績を入力")),"-"))</f>
        <v/>
      </c>
      <c r="R46" s="101" t="str">
        <f>IF($B46="","",IF(OR('②-1職員名簿'!AC46="○",'②-1職員名簿'!AC46="●"),IF($E46="正規職員","正",IF($E46="契約上の就業時間を記載","",IF($E46&gt;=F$5,"常",F46))),"-"))</f>
        <v/>
      </c>
      <c r="S46" s="101" t="str">
        <f>IF($B46="","",IF(OR('②-1職員名簿'!AD46="○",'②-1職員名簿'!AD46="●"),IF($E46="正規職員","正",IF($E46="契約上の就業時間を記載","",IF($E46&gt;=G$5,"常",G46))),"-"))</f>
        <v/>
      </c>
      <c r="T46" s="101" t="str">
        <f>IF($B46="","",IF(OR('②-1職員名簿'!AE46="○",'②-1職員名簿'!AE46="●"),IF($E46="正規職員","正",IF($E46="契約上の就業時間を記載","",IF($E46&gt;=H$5,"常",H46))),"-"))</f>
        <v/>
      </c>
      <c r="U46" s="101" t="str">
        <f>IF($B46="","",IF(OR('②-1職員名簿'!AF46="○",'②-1職員名簿'!AF46="●"),IF($E46="正規職員","正",IF($E46="契約上の就業時間を記載","",IF($E46&gt;=I$5,"常",I46))),"-"))</f>
        <v/>
      </c>
      <c r="V46" s="101" t="str">
        <f>IF($B46="","",IF(OR('②-1職員名簿'!AG46="○",'②-1職員名簿'!AG46="●"),IF($E46="正規職員","正",IF($E46="契約上の就業時間を記載","",IF($E46&gt;=J$5,"常",J46))),"-"))</f>
        <v/>
      </c>
      <c r="W46" s="101" t="str">
        <f>IF($B46="","",IF(OR('②-1職員名簿'!AH46="○",'②-1職員名簿'!AH46="●"),IF($E46="正規職員","正",IF($E46="契約上の就業時間を記載","",IF($E46&gt;=K$5,"常",K46))),"-"))</f>
        <v/>
      </c>
      <c r="X46" s="101" t="str">
        <f>IF($B46="","",IF(OR('②-1職員名簿'!AI46="○",'②-1職員名簿'!AI46="●"),IF($E46="正規職員","正",IF($E46="契約上の就業時間を記載","",IF($E46&gt;=L$5,"常",L46))),"-"))</f>
        <v/>
      </c>
      <c r="Y46" s="101" t="str">
        <f>IF($B46="","",IF(OR('②-1職員名簿'!AJ46="○",'②-1職員名簿'!AJ46="●"),IF($E46="正規職員","正",IF($E46="契約上の就業時間を記載","",IF($E46&gt;=M$5,"常",M46))),"-"))</f>
        <v/>
      </c>
      <c r="Z46" s="101" t="str">
        <f>IF($B46="","",IF(OR('②-1職員名簿'!AK46="○",'②-1職員名簿'!AK46="●"),IF($E46="正規職員","正",IF($E46="契約上の就業時間を記載","",IF($E46&gt;=N$5,"常",N46))),"-"))</f>
        <v/>
      </c>
      <c r="AA46" s="101" t="str">
        <f>IF($B46="","",IF(OR('②-1職員名簿'!AL46="○",'②-1職員名簿'!AL46="●"),IF($E46="正規職員","正",IF($E46="契約上の就業時間を記載","",IF($E46&gt;=O$5,"常",O46))),"-"))</f>
        <v/>
      </c>
      <c r="AB46" s="101" t="str">
        <f>IF($B46="","",IF(OR('②-1職員名簿'!AM46="○",'②-1職員名簿'!AM46="●"),IF($E46="正規職員","正",IF($E46="契約上の就業時間を記載","",IF($E46&gt;=P$5,"常",P46))),"-"))</f>
        <v/>
      </c>
      <c r="AC46" s="101" t="str">
        <f>IF($B46="","",IF(OR('②-1職員名簿'!AN46="○",'②-1職員名簿'!AN46="●"),IF($E46="正規職員","正",IF($E46="契約上の就業時間を記載","",IF($E46&gt;=Q$5,"常",Q46))),"-"))</f>
        <v/>
      </c>
      <c r="AE46" s="98" t="str">
        <f>IF('②-1職員名簿'!W46="","",'②-1職員名簿'!W46)</f>
        <v/>
      </c>
      <c r="AJ46" s="18" t="str">
        <f t="shared" si="12"/>
        <v>○</v>
      </c>
      <c r="AK46" s="18" t="str">
        <f t="shared" si="13"/>
        <v>○</v>
      </c>
      <c r="AL46" s="18" t="str">
        <f t="shared" si="14"/>
        <v>○</v>
      </c>
      <c r="AM46" s="18" t="str">
        <f t="shared" si="15"/>
        <v>○</v>
      </c>
      <c r="AN46" s="18" t="str">
        <f t="shared" si="16"/>
        <v>○</v>
      </c>
      <c r="AO46" s="18" t="str">
        <f t="shared" si="17"/>
        <v>○</v>
      </c>
      <c r="AP46" s="18" t="str">
        <f t="shared" si="18"/>
        <v>○</v>
      </c>
      <c r="AQ46" s="18" t="str">
        <f t="shared" si="19"/>
        <v>○</v>
      </c>
      <c r="AR46" s="18" t="str">
        <f t="shared" si="20"/>
        <v>○</v>
      </c>
      <c r="AS46" s="18" t="str">
        <f t="shared" si="21"/>
        <v>○</v>
      </c>
      <c r="AT46" s="18" t="str">
        <f t="shared" si="22"/>
        <v>○</v>
      </c>
      <c r="AU46" s="18" t="str">
        <f t="shared" si="23"/>
        <v>○</v>
      </c>
    </row>
    <row r="47" spans="1:47" s="103" customFormat="1" ht="23.15" customHeight="1">
      <c r="A47" s="99">
        <v>41</v>
      </c>
      <c r="B47" s="98" t="str">
        <f>IF('②-1職員名簿'!E47="","",'②-1職員名簿'!Y47)</f>
        <v/>
      </c>
      <c r="C47" s="101" t="str">
        <f>'②-1職員名簿'!BE47</f>
        <v/>
      </c>
      <c r="D47" s="132" t="str">
        <f t="shared" si="9"/>
        <v/>
      </c>
      <c r="E47" s="19" t="str">
        <f>IF($B47="","",IF(AND('②-1職員名簿'!C47="正",'②-1職員名簿'!D47="常"),"正規職員","契約上の就業時間を記載"))</f>
        <v/>
      </c>
      <c r="F47" s="10" t="str">
        <f>IF($B47="","",IF(OR('②-1職員名簿'!AC47="○",'②-1職員名簿'!AC47="●"),IF($E47="正規職員","正",IF($E47="契約上の就業時間を記載","","見込を入力")),"-"))</f>
        <v/>
      </c>
      <c r="G47" s="10" t="str">
        <f>IF($B47="","",IF(OR('②-1職員名簿'!AD47="○",'②-1職員名簿'!AD47="●"),IF($E47="正規職員","正",IF($E47="契約上の就業時間を記載","","実績を入力")),"-"))</f>
        <v/>
      </c>
      <c r="H47" s="10" t="str">
        <f>IF($B47="","",IF(OR('②-1職員名簿'!AE47="○",'②-1職員名簿'!AE47="●"),IF($E47="正規職員","正",IF($E47="契約上の就業時間を記載","","実績を入力")),"-"))</f>
        <v/>
      </c>
      <c r="I47" s="10" t="str">
        <f>IF($B47="","",IF(OR('②-1職員名簿'!AF47="○",'②-1職員名簿'!AF47="●"),IF($E47="正規職員","正",IF($E47="契約上の就業時間を記載","","実績を入力")),"-"))</f>
        <v/>
      </c>
      <c r="J47" s="10" t="str">
        <f>IF($B47="","",IF(OR('②-1職員名簿'!AG47="○",'②-1職員名簿'!AG47="●"),IF($E47="正規職員","正",IF($E47="契約上の就業時間を記載","","実績を入力")),"-"))</f>
        <v/>
      </c>
      <c r="K47" s="10" t="str">
        <f>IF($B47="","",IF(OR('②-1職員名簿'!AH47="○",'②-1職員名簿'!AH47="●"),IF($E47="正規職員","正",IF($E47="契約上の就業時間を記載","","実績を入力")),"-"))</f>
        <v/>
      </c>
      <c r="L47" s="10" t="str">
        <f>IF($B47="","",IF(OR('②-1職員名簿'!AI47="○",'②-1職員名簿'!AI47="●"),IF($E47="正規職員","正",IF($E47="契約上の就業時間を記載","","実績を入力")),"-"))</f>
        <v/>
      </c>
      <c r="M47" s="10" t="str">
        <f>IF($B47="","",IF(OR('②-1職員名簿'!AJ47="○",'②-1職員名簿'!AJ47="●"),IF($E47="正規職員","正",IF($E47="契約上の就業時間を記載","","実績を入力")),"-"))</f>
        <v/>
      </c>
      <c r="N47" s="10" t="str">
        <f>IF($B47="","",IF(OR('②-1職員名簿'!AK47="○",'②-1職員名簿'!AK47="●"),IF($E47="正規職員","正",IF($E47="契約上の就業時間を記載","","実績を入力")),"-"))</f>
        <v/>
      </c>
      <c r="O47" s="10" t="str">
        <f>IF($B47="","",IF(OR('②-1職員名簿'!AL47="○",'②-1職員名簿'!AL47="●"),IF($E47="正規職員","正",IF($E47="契約上の就業時間を記載","","実績を入力")),"-"))</f>
        <v/>
      </c>
      <c r="P47" s="10" t="str">
        <f>IF($B47="","",IF(OR('②-1職員名簿'!AM47="○",'②-1職員名簿'!AM47="●"),IF($E47="正規職員","正",IF($E47="契約上の就業時間を記載","","実績を入力")),"-"))</f>
        <v/>
      </c>
      <c r="Q47" s="10" t="str">
        <f>IF($B47="","",IF(OR('②-1職員名簿'!AN47="○",'②-1職員名簿'!AN47="●"),IF($E47="正規職員","正",IF($E47="契約上の就業時間を記載","","実績を入力")),"-"))</f>
        <v/>
      </c>
      <c r="R47" s="101" t="str">
        <f>IF($B47="","",IF(OR('②-1職員名簿'!AC47="○",'②-1職員名簿'!AC47="●"),IF($E47="正規職員","正",IF($E47="契約上の就業時間を記載","",IF($E47&gt;=F$5,"常",F47))),"-"))</f>
        <v/>
      </c>
      <c r="S47" s="101" t="str">
        <f>IF($B47="","",IF(OR('②-1職員名簿'!AD47="○",'②-1職員名簿'!AD47="●"),IF($E47="正規職員","正",IF($E47="契約上の就業時間を記載","",IF($E47&gt;=G$5,"常",G47))),"-"))</f>
        <v/>
      </c>
      <c r="T47" s="101" t="str">
        <f>IF($B47="","",IF(OR('②-1職員名簿'!AE47="○",'②-1職員名簿'!AE47="●"),IF($E47="正規職員","正",IF($E47="契約上の就業時間を記載","",IF($E47&gt;=H$5,"常",H47))),"-"))</f>
        <v/>
      </c>
      <c r="U47" s="101" t="str">
        <f>IF($B47="","",IF(OR('②-1職員名簿'!AF47="○",'②-1職員名簿'!AF47="●"),IF($E47="正規職員","正",IF($E47="契約上の就業時間を記載","",IF($E47&gt;=I$5,"常",I47))),"-"))</f>
        <v/>
      </c>
      <c r="V47" s="101" t="str">
        <f>IF($B47="","",IF(OR('②-1職員名簿'!AG47="○",'②-1職員名簿'!AG47="●"),IF($E47="正規職員","正",IF($E47="契約上の就業時間を記載","",IF($E47&gt;=J$5,"常",J47))),"-"))</f>
        <v/>
      </c>
      <c r="W47" s="101" t="str">
        <f>IF($B47="","",IF(OR('②-1職員名簿'!AH47="○",'②-1職員名簿'!AH47="●"),IF($E47="正規職員","正",IF($E47="契約上の就業時間を記載","",IF($E47&gt;=K$5,"常",K47))),"-"))</f>
        <v/>
      </c>
      <c r="X47" s="101" t="str">
        <f>IF($B47="","",IF(OR('②-1職員名簿'!AI47="○",'②-1職員名簿'!AI47="●"),IF($E47="正規職員","正",IF($E47="契約上の就業時間を記載","",IF($E47&gt;=L$5,"常",L47))),"-"))</f>
        <v/>
      </c>
      <c r="Y47" s="101" t="str">
        <f>IF($B47="","",IF(OR('②-1職員名簿'!AJ47="○",'②-1職員名簿'!AJ47="●"),IF($E47="正規職員","正",IF($E47="契約上の就業時間を記載","",IF($E47&gt;=M$5,"常",M47))),"-"))</f>
        <v/>
      </c>
      <c r="Z47" s="101" t="str">
        <f>IF($B47="","",IF(OR('②-1職員名簿'!AK47="○",'②-1職員名簿'!AK47="●"),IF($E47="正規職員","正",IF($E47="契約上の就業時間を記載","",IF($E47&gt;=N$5,"常",N47))),"-"))</f>
        <v/>
      </c>
      <c r="AA47" s="101" t="str">
        <f>IF($B47="","",IF(OR('②-1職員名簿'!AL47="○",'②-1職員名簿'!AL47="●"),IF($E47="正規職員","正",IF($E47="契約上の就業時間を記載","",IF($E47&gt;=O$5,"常",O47))),"-"))</f>
        <v/>
      </c>
      <c r="AB47" s="101" t="str">
        <f>IF($B47="","",IF(OR('②-1職員名簿'!AM47="○",'②-1職員名簿'!AM47="●"),IF($E47="正規職員","正",IF($E47="契約上の就業時間を記載","",IF($E47&gt;=P$5,"常",P47))),"-"))</f>
        <v/>
      </c>
      <c r="AC47" s="101" t="str">
        <f>IF($B47="","",IF(OR('②-1職員名簿'!AN47="○",'②-1職員名簿'!AN47="●"),IF($E47="正規職員","正",IF($E47="契約上の就業時間を記載","",IF($E47&gt;=Q$5,"常",Q47))),"-"))</f>
        <v/>
      </c>
      <c r="AE47" s="98" t="str">
        <f>IF('②-1職員名簿'!W47="","",'②-1職員名簿'!W47)</f>
        <v/>
      </c>
      <c r="AJ47" s="18" t="str">
        <f t="shared" si="12"/>
        <v>○</v>
      </c>
      <c r="AK47" s="18" t="str">
        <f t="shared" si="13"/>
        <v>○</v>
      </c>
      <c r="AL47" s="18" t="str">
        <f t="shared" si="14"/>
        <v>○</v>
      </c>
      <c r="AM47" s="18" t="str">
        <f t="shared" si="15"/>
        <v>○</v>
      </c>
      <c r="AN47" s="18" t="str">
        <f t="shared" si="16"/>
        <v>○</v>
      </c>
      <c r="AO47" s="18" t="str">
        <f t="shared" si="17"/>
        <v>○</v>
      </c>
      <c r="AP47" s="18" t="str">
        <f t="shared" si="18"/>
        <v>○</v>
      </c>
      <c r="AQ47" s="18" t="str">
        <f t="shared" si="19"/>
        <v>○</v>
      </c>
      <c r="AR47" s="18" t="str">
        <f t="shared" si="20"/>
        <v>○</v>
      </c>
      <c r="AS47" s="18" t="str">
        <f t="shared" si="21"/>
        <v>○</v>
      </c>
      <c r="AT47" s="18" t="str">
        <f t="shared" si="22"/>
        <v>○</v>
      </c>
      <c r="AU47" s="18" t="str">
        <f t="shared" si="23"/>
        <v>○</v>
      </c>
    </row>
    <row r="48" spans="1:47" s="103" customFormat="1" ht="23.15" customHeight="1">
      <c r="A48" s="99">
        <v>42</v>
      </c>
      <c r="B48" s="98" t="str">
        <f>IF('②-1職員名簿'!E48="","",'②-1職員名簿'!Y48)</f>
        <v/>
      </c>
      <c r="C48" s="101" t="str">
        <f>'②-1職員名簿'!BE48</f>
        <v/>
      </c>
      <c r="D48" s="132" t="str">
        <f t="shared" si="9"/>
        <v/>
      </c>
      <c r="E48" s="19" t="str">
        <f>IF($B48="","",IF(AND('②-1職員名簿'!C48="正",'②-1職員名簿'!D48="常"),"正規職員","契約上の就業時間を記載"))</f>
        <v/>
      </c>
      <c r="F48" s="10" t="str">
        <f>IF($B48="","",IF(OR('②-1職員名簿'!AC48="○",'②-1職員名簿'!AC48="●"),IF($E48="正規職員","正",IF($E48="契約上の就業時間を記載","","見込を入力")),"-"))</f>
        <v/>
      </c>
      <c r="G48" s="10" t="str">
        <f>IF($B48="","",IF(OR('②-1職員名簿'!AD48="○",'②-1職員名簿'!AD48="●"),IF($E48="正規職員","正",IF($E48="契約上の就業時間を記載","","実績を入力")),"-"))</f>
        <v/>
      </c>
      <c r="H48" s="10" t="str">
        <f>IF($B48="","",IF(OR('②-1職員名簿'!AE48="○",'②-1職員名簿'!AE48="●"),IF($E48="正規職員","正",IF($E48="契約上の就業時間を記載","","実績を入力")),"-"))</f>
        <v/>
      </c>
      <c r="I48" s="10" t="str">
        <f>IF($B48="","",IF(OR('②-1職員名簿'!AF48="○",'②-1職員名簿'!AF48="●"),IF($E48="正規職員","正",IF($E48="契約上の就業時間を記載","","実績を入力")),"-"))</f>
        <v/>
      </c>
      <c r="J48" s="10" t="str">
        <f>IF($B48="","",IF(OR('②-1職員名簿'!AG48="○",'②-1職員名簿'!AG48="●"),IF($E48="正規職員","正",IF($E48="契約上の就業時間を記載","","実績を入力")),"-"))</f>
        <v/>
      </c>
      <c r="K48" s="10" t="str">
        <f>IF($B48="","",IF(OR('②-1職員名簿'!AH48="○",'②-1職員名簿'!AH48="●"),IF($E48="正規職員","正",IF($E48="契約上の就業時間を記載","","実績を入力")),"-"))</f>
        <v/>
      </c>
      <c r="L48" s="10" t="str">
        <f>IF($B48="","",IF(OR('②-1職員名簿'!AI48="○",'②-1職員名簿'!AI48="●"),IF($E48="正規職員","正",IF($E48="契約上の就業時間を記載","","実績を入力")),"-"))</f>
        <v/>
      </c>
      <c r="M48" s="10" t="str">
        <f>IF($B48="","",IF(OR('②-1職員名簿'!AJ48="○",'②-1職員名簿'!AJ48="●"),IF($E48="正規職員","正",IF($E48="契約上の就業時間を記載","","実績を入力")),"-"))</f>
        <v/>
      </c>
      <c r="N48" s="10" t="str">
        <f>IF($B48="","",IF(OR('②-1職員名簿'!AK48="○",'②-1職員名簿'!AK48="●"),IF($E48="正規職員","正",IF($E48="契約上の就業時間を記載","","実績を入力")),"-"))</f>
        <v/>
      </c>
      <c r="O48" s="10" t="str">
        <f>IF($B48="","",IF(OR('②-1職員名簿'!AL48="○",'②-1職員名簿'!AL48="●"),IF($E48="正規職員","正",IF($E48="契約上の就業時間を記載","","実績を入力")),"-"))</f>
        <v/>
      </c>
      <c r="P48" s="10" t="str">
        <f>IF($B48="","",IF(OR('②-1職員名簿'!AM48="○",'②-1職員名簿'!AM48="●"),IF($E48="正規職員","正",IF($E48="契約上の就業時間を記載","","実績を入力")),"-"))</f>
        <v/>
      </c>
      <c r="Q48" s="10" t="str">
        <f>IF($B48="","",IF(OR('②-1職員名簿'!AN48="○",'②-1職員名簿'!AN48="●"),IF($E48="正規職員","正",IF($E48="契約上の就業時間を記載","","実績を入力")),"-"))</f>
        <v/>
      </c>
      <c r="R48" s="101" t="str">
        <f>IF($B48="","",IF(OR('②-1職員名簿'!AC48="○",'②-1職員名簿'!AC48="●"),IF($E48="正規職員","正",IF($E48="契約上の就業時間を記載","",IF($E48&gt;=F$5,"常",F48))),"-"))</f>
        <v/>
      </c>
      <c r="S48" s="101" t="str">
        <f>IF($B48="","",IF(OR('②-1職員名簿'!AD48="○",'②-1職員名簿'!AD48="●"),IF($E48="正規職員","正",IF($E48="契約上の就業時間を記載","",IF($E48&gt;=G$5,"常",G48))),"-"))</f>
        <v/>
      </c>
      <c r="T48" s="101" t="str">
        <f>IF($B48="","",IF(OR('②-1職員名簿'!AE48="○",'②-1職員名簿'!AE48="●"),IF($E48="正規職員","正",IF($E48="契約上の就業時間を記載","",IF($E48&gt;=H$5,"常",H48))),"-"))</f>
        <v/>
      </c>
      <c r="U48" s="101" t="str">
        <f>IF($B48="","",IF(OR('②-1職員名簿'!AF48="○",'②-1職員名簿'!AF48="●"),IF($E48="正規職員","正",IF($E48="契約上の就業時間を記載","",IF($E48&gt;=I$5,"常",I48))),"-"))</f>
        <v/>
      </c>
      <c r="V48" s="101" t="str">
        <f>IF($B48="","",IF(OR('②-1職員名簿'!AG48="○",'②-1職員名簿'!AG48="●"),IF($E48="正規職員","正",IF($E48="契約上の就業時間を記載","",IF($E48&gt;=J$5,"常",J48))),"-"))</f>
        <v/>
      </c>
      <c r="W48" s="101" t="str">
        <f>IF($B48="","",IF(OR('②-1職員名簿'!AH48="○",'②-1職員名簿'!AH48="●"),IF($E48="正規職員","正",IF($E48="契約上の就業時間を記載","",IF($E48&gt;=K$5,"常",K48))),"-"))</f>
        <v/>
      </c>
      <c r="X48" s="101" t="str">
        <f>IF($B48="","",IF(OR('②-1職員名簿'!AI48="○",'②-1職員名簿'!AI48="●"),IF($E48="正規職員","正",IF($E48="契約上の就業時間を記載","",IF($E48&gt;=L$5,"常",L48))),"-"))</f>
        <v/>
      </c>
      <c r="Y48" s="101" t="str">
        <f>IF($B48="","",IF(OR('②-1職員名簿'!AJ48="○",'②-1職員名簿'!AJ48="●"),IF($E48="正規職員","正",IF($E48="契約上の就業時間を記載","",IF($E48&gt;=M$5,"常",M48))),"-"))</f>
        <v/>
      </c>
      <c r="Z48" s="101" t="str">
        <f>IF($B48="","",IF(OR('②-1職員名簿'!AK48="○",'②-1職員名簿'!AK48="●"),IF($E48="正規職員","正",IF($E48="契約上の就業時間を記載","",IF($E48&gt;=N$5,"常",N48))),"-"))</f>
        <v/>
      </c>
      <c r="AA48" s="101" t="str">
        <f>IF($B48="","",IF(OR('②-1職員名簿'!AL48="○",'②-1職員名簿'!AL48="●"),IF($E48="正規職員","正",IF($E48="契約上の就業時間を記載","",IF($E48&gt;=O$5,"常",O48))),"-"))</f>
        <v/>
      </c>
      <c r="AB48" s="101" t="str">
        <f>IF($B48="","",IF(OR('②-1職員名簿'!AM48="○",'②-1職員名簿'!AM48="●"),IF($E48="正規職員","正",IF($E48="契約上の就業時間を記載","",IF($E48&gt;=P$5,"常",P48))),"-"))</f>
        <v/>
      </c>
      <c r="AC48" s="101" t="str">
        <f>IF($B48="","",IF(OR('②-1職員名簿'!AN48="○",'②-1職員名簿'!AN48="●"),IF($E48="正規職員","正",IF($E48="契約上の就業時間を記載","",IF($E48&gt;=Q$5,"常",Q48))),"-"))</f>
        <v/>
      </c>
      <c r="AE48" s="98" t="str">
        <f>IF('②-1職員名簿'!W48="","",'②-1職員名簿'!W48)</f>
        <v/>
      </c>
      <c r="AJ48" s="18" t="str">
        <f t="shared" si="12"/>
        <v>○</v>
      </c>
      <c r="AK48" s="18" t="str">
        <f t="shared" si="13"/>
        <v>○</v>
      </c>
      <c r="AL48" s="18" t="str">
        <f t="shared" si="14"/>
        <v>○</v>
      </c>
      <c r="AM48" s="18" t="str">
        <f t="shared" si="15"/>
        <v>○</v>
      </c>
      <c r="AN48" s="18" t="str">
        <f t="shared" si="16"/>
        <v>○</v>
      </c>
      <c r="AO48" s="18" t="str">
        <f t="shared" si="17"/>
        <v>○</v>
      </c>
      <c r="AP48" s="18" t="str">
        <f t="shared" si="18"/>
        <v>○</v>
      </c>
      <c r="AQ48" s="18" t="str">
        <f t="shared" si="19"/>
        <v>○</v>
      </c>
      <c r="AR48" s="18" t="str">
        <f t="shared" si="20"/>
        <v>○</v>
      </c>
      <c r="AS48" s="18" t="str">
        <f t="shared" si="21"/>
        <v>○</v>
      </c>
      <c r="AT48" s="18" t="str">
        <f t="shared" si="22"/>
        <v>○</v>
      </c>
      <c r="AU48" s="18" t="str">
        <f t="shared" si="23"/>
        <v>○</v>
      </c>
    </row>
    <row r="49" spans="1:47" s="103" customFormat="1" ht="23.15" customHeight="1">
      <c r="A49" s="99">
        <v>43</v>
      </c>
      <c r="B49" s="98" t="str">
        <f>IF('②-1職員名簿'!E49="","",'②-1職員名簿'!Y49)</f>
        <v/>
      </c>
      <c r="C49" s="101" t="str">
        <f>'②-1職員名簿'!BE49</f>
        <v/>
      </c>
      <c r="D49" s="132" t="str">
        <f t="shared" si="9"/>
        <v/>
      </c>
      <c r="E49" s="19" t="str">
        <f>IF($B49="","",IF(AND('②-1職員名簿'!C49="正",'②-1職員名簿'!D49="常"),"正規職員","契約上の就業時間を記載"))</f>
        <v/>
      </c>
      <c r="F49" s="10" t="str">
        <f>IF($B49="","",IF(OR('②-1職員名簿'!AC49="○",'②-1職員名簿'!AC49="●"),IF($E49="正規職員","正",IF($E49="契約上の就業時間を記載","","見込を入力")),"-"))</f>
        <v/>
      </c>
      <c r="G49" s="10" t="str">
        <f>IF($B49="","",IF(OR('②-1職員名簿'!AD49="○",'②-1職員名簿'!AD49="●"),IF($E49="正規職員","正",IF($E49="契約上の就業時間を記載","","実績を入力")),"-"))</f>
        <v/>
      </c>
      <c r="H49" s="10" t="str">
        <f>IF($B49="","",IF(OR('②-1職員名簿'!AE49="○",'②-1職員名簿'!AE49="●"),IF($E49="正規職員","正",IF($E49="契約上の就業時間を記載","","実績を入力")),"-"))</f>
        <v/>
      </c>
      <c r="I49" s="10" t="str">
        <f>IF($B49="","",IF(OR('②-1職員名簿'!AF49="○",'②-1職員名簿'!AF49="●"),IF($E49="正規職員","正",IF($E49="契約上の就業時間を記載","","実績を入力")),"-"))</f>
        <v/>
      </c>
      <c r="J49" s="10" t="str">
        <f>IF($B49="","",IF(OR('②-1職員名簿'!AG49="○",'②-1職員名簿'!AG49="●"),IF($E49="正規職員","正",IF($E49="契約上の就業時間を記載","","実績を入力")),"-"))</f>
        <v/>
      </c>
      <c r="K49" s="10" t="str">
        <f>IF($B49="","",IF(OR('②-1職員名簿'!AH49="○",'②-1職員名簿'!AH49="●"),IF($E49="正規職員","正",IF($E49="契約上の就業時間を記載","","実績を入力")),"-"))</f>
        <v/>
      </c>
      <c r="L49" s="10" t="str">
        <f>IF($B49="","",IF(OR('②-1職員名簿'!AI49="○",'②-1職員名簿'!AI49="●"),IF($E49="正規職員","正",IF($E49="契約上の就業時間を記載","","実績を入力")),"-"))</f>
        <v/>
      </c>
      <c r="M49" s="10" t="str">
        <f>IF($B49="","",IF(OR('②-1職員名簿'!AJ49="○",'②-1職員名簿'!AJ49="●"),IF($E49="正規職員","正",IF($E49="契約上の就業時間を記載","","実績を入力")),"-"))</f>
        <v/>
      </c>
      <c r="N49" s="10" t="str">
        <f>IF($B49="","",IF(OR('②-1職員名簿'!AK49="○",'②-1職員名簿'!AK49="●"),IF($E49="正規職員","正",IF($E49="契約上の就業時間を記載","","実績を入力")),"-"))</f>
        <v/>
      </c>
      <c r="O49" s="10" t="str">
        <f>IF($B49="","",IF(OR('②-1職員名簿'!AL49="○",'②-1職員名簿'!AL49="●"),IF($E49="正規職員","正",IF($E49="契約上の就業時間を記載","","実績を入力")),"-"))</f>
        <v/>
      </c>
      <c r="P49" s="10" t="str">
        <f>IF($B49="","",IF(OR('②-1職員名簿'!AM49="○",'②-1職員名簿'!AM49="●"),IF($E49="正規職員","正",IF($E49="契約上の就業時間を記載","","実績を入力")),"-"))</f>
        <v/>
      </c>
      <c r="Q49" s="10" t="str">
        <f>IF($B49="","",IF(OR('②-1職員名簿'!AN49="○",'②-1職員名簿'!AN49="●"),IF($E49="正規職員","正",IF($E49="契約上の就業時間を記載","","実績を入力")),"-"))</f>
        <v/>
      </c>
      <c r="R49" s="101" t="str">
        <f>IF($B49="","",IF(OR('②-1職員名簿'!AC49="○",'②-1職員名簿'!AC49="●"),IF($E49="正規職員","正",IF($E49="契約上の就業時間を記載","",IF($E49&gt;=F$5,"常",F49))),"-"))</f>
        <v/>
      </c>
      <c r="S49" s="101" t="str">
        <f>IF($B49="","",IF(OR('②-1職員名簿'!AD49="○",'②-1職員名簿'!AD49="●"),IF($E49="正規職員","正",IF($E49="契約上の就業時間を記載","",IF($E49&gt;=G$5,"常",G49))),"-"))</f>
        <v/>
      </c>
      <c r="T49" s="101" t="str">
        <f>IF($B49="","",IF(OR('②-1職員名簿'!AE49="○",'②-1職員名簿'!AE49="●"),IF($E49="正規職員","正",IF($E49="契約上の就業時間を記載","",IF($E49&gt;=H$5,"常",H49))),"-"))</f>
        <v/>
      </c>
      <c r="U49" s="101" t="str">
        <f>IF($B49="","",IF(OR('②-1職員名簿'!AF49="○",'②-1職員名簿'!AF49="●"),IF($E49="正規職員","正",IF($E49="契約上の就業時間を記載","",IF($E49&gt;=I$5,"常",I49))),"-"))</f>
        <v/>
      </c>
      <c r="V49" s="101" t="str">
        <f>IF($B49="","",IF(OR('②-1職員名簿'!AG49="○",'②-1職員名簿'!AG49="●"),IF($E49="正規職員","正",IF($E49="契約上の就業時間を記載","",IF($E49&gt;=J$5,"常",J49))),"-"))</f>
        <v/>
      </c>
      <c r="W49" s="101" t="str">
        <f>IF($B49="","",IF(OR('②-1職員名簿'!AH49="○",'②-1職員名簿'!AH49="●"),IF($E49="正規職員","正",IF($E49="契約上の就業時間を記載","",IF($E49&gt;=K$5,"常",K49))),"-"))</f>
        <v/>
      </c>
      <c r="X49" s="101" t="str">
        <f>IF($B49="","",IF(OR('②-1職員名簿'!AI49="○",'②-1職員名簿'!AI49="●"),IF($E49="正規職員","正",IF($E49="契約上の就業時間を記載","",IF($E49&gt;=L$5,"常",L49))),"-"))</f>
        <v/>
      </c>
      <c r="Y49" s="101" t="str">
        <f>IF($B49="","",IF(OR('②-1職員名簿'!AJ49="○",'②-1職員名簿'!AJ49="●"),IF($E49="正規職員","正",IF($E49="契約上の就業時間を記載","",IF($E49&gt;=M$5,"常",M49))),"-"))</f>
        <v/>
      </c>
      <c r="Z49" s="101" t="str">
        <f>IF($B49="","",IF(OR('②-1職員名簿'!AK49="○",'②-1職員名簿'!AK49="●"),IF($E49="正規職員","正",IF($E49="契約上の就業時間を記載","",IF($E49&gt;=N$5,"常",N49))),"-"))</f>
        <v/>
      </c>
      <c r="AA49" s="101" t="str">
        <f>IF($B49="","",IF(OR('②-1職員名簿'!AL49="○",'②-1職員名簿'!AL49="●"),IF($E49="正規職員","正",IF($E49="契約上の就業時間を記載","",IF($E49&gt;=O$5,"常",O49))),"-"))</f>
        <v/>
      </c>
      <c r="AB49" s="101" t="str">
        <f>IF($B49="","",IF(OR('②-1職員名簿'!AM49="○",'②-1職員名簿'!AM49="●"),IF($E49="正規職員","正",IF($E49="契約上の就業時間を記載","",IF($E49&gt;=P$5,"常",P49))),"-"))</f>
        <v/>
      </c>
      <c r="AC49" s="101" t="str">
        <f>IF($B49="","",IF(OR('②-1職員名簿'!AN49="○",'②-1職員名簿'!AN49="●"),IF($E49="正規職員","正",IF($E49="契約上の就業時間を記載","",IF($E49&gt;=Q$5,"常",Q49))),"-"))</f>
        <v/>
      </c>
      <c r="AE49" s="98" t="str">
        <f>IF('②-1職員名簿'!W49="","",'②-1職員名簿'!W49)</f>
        <v/>
      </c>
      <c r="AJ49" s="18" t="str">
        <f t="shared" si="12"/>
        <v>○</v>
      </c>
      <c r="AK49" s="18" t="str">
        <f t="shared" si="13"/>
        <v>○</v>
      </c>
      <c r="AL49" s="18" t="str">
        <f t="shared" si="14"/>
        <v>○</v>
      </c>
      <c r="AM49" s="18" t="str">
        <f t="shared" si="15"/>
        <v>○</v>
      </c>
      <c r="AN49" s="18" t="str">
        <f t="shared" si="16"/>
        <v>○</v>
      </c>
      <c r="AO49" s="18" t="str">
        <f t="shared" si="17"/>
        <v>○</v>
      </c>
      <c r="AP49" s="18" t="str">
        <f t="shared" si="18"/>
        <v>○</v>
      </c>
      <c r="AQ49" s="18" t="str">
        <f t="shared" si="19"/>
        <v>○</v>
      </c>
      <c r="AR49" s="18" t="str">
        <f t="shared" si="20"/>
        <v>○</v>
      </c>
      <c r="AS49" s="18" t="str">
        <f t="shared" si="21"/>
        <v>○</v>
      </c>
      <c r="AT49" s="18" t="str">
        <f t="shared" si="22"/>
        <v>○</v>
      </c>
      <c r="AU49" s="18" t="str">
        <f t="shared" si="23"/>
        <v>○</v>
      </c>
    </row>
    <row r="50" spans="1:47" s="103" customFormat="1" ht="23.15" customHeight="1">
      <c r="A50" s="99">
        <v>44</v>
      </c>
      <c r="B50" s="98" t="str">
        <f>IF('②-1職員名簿'!E50="","",'②-1職員名簿'!Y50)</f>
        <v/>
      </c>
      <c r="C50" s="101" t="str">
        <f>'②-1職員名簿'!BE50</f>
        <v/>
      </c>
      <c r="D50" s="132" t="str">
        <f t="shared" si="9"/>
        <v/>
      </c>
      <c r="E50" s="19" t="str">
        <f>IF($B50="","",IF(AND('②-1職員名簿'!C50="正",'②-1職員名簿'!D50="常"),"正規職員","契約上の就業時間を記載"))</f>
        <v/>
      </c>
      <c r="F50" s="10" t="str">
        <f>IF($B50="","",IF(OR('②-1職員名簿'!AC50="○",'②-1職員名簿'!AC50="●"),IF($E50="正規職員","正",IF($E50="契約上の就業時間を記載","","見込を入力")),"-"))</f>
        <v/>
      </c>
      <c r="G50" s="10" t="str">
        <f>IF($B50="","",IF(OR('②-1職員名簿'!AD50="○",'②-1職員名簿'!AD50="●"),IF($E50="正規職員","正",IF($E50="契約上の就業時間を記載","","実績を入力")),"-"))</f>
        <v/>
      </c>
      <c r="H50" s="10" t="str">
        <f>IF($B50="","",IF(OR('②-1職員名簿'!AE50="○",'②-1職員名簿'!AE50="●"),IF($E50="正規職員","正",IF($E50="契約上の就業時間を記載","","実績を入力")),"-"))</f>
        <v/>
      </c>
      <c r="I50" s="10" t="str">
        <f>IF($B50="","",IF(OR('②-1職員名簿'!AF50="○",'②-1職員名簿'!AF50="●"),IF($E50="正規職員","正",IF($E50="契約上の就業時間を記載","","実績を入力")),"-"))</f>
        <v/>
      </c>
      <c r="J50" s="10" t="str">
        <f>IF($B50="","",IF(OR('②-1職員名簿'!AG50="○",'②-1職員名簿'!AG50="●"),IF($E50="正規職員","正",IF($E50="契約上の就業時間を記載","","実績を入力")),"-"))</f>
        <v/>
      </c>
      <c r="K50" s="10" t="str">
        <f>IF($B50="","",IF(OR('②-1職員名簿'!AH50="○",'②-1職員名簿'!AH50="●"),IF($E50="正規職員","正",IF($E50="契約上の就業時間を記載","","実績を入力")),"-"))</f>
        <v/>
      </c>
      <c r="L50" s="10" t="str">
        <f>IF($B50="","",IF(OR('②-1職員名簿'!AI50="○",'②-1職員名簿'!AI50="●"),IF($E50="正規職員","正",IF($E50="契約上の就業時間を記載","","実績を入力")),"-"))</f>
        <v/>
      </c>
      <c r="M50" s="10" t="str">
        <f>IF($B50="","",IF(OR('②-1職員名簿'!AJ50="○",'②-1職員名簿'!AJ50="●"),IF($E50="正規職員","正",IF($E50="契約上の就業時間を記載","","実績を入力")),"-"))</f>
        <v/>
      </c>
      <c r="N50" s="10" t="str">
        <f>IF($B50="","",IF(OR('②-1職員名簿'!AK50="○",'②-1職員名簿'!AK50="●"),IF($E50="正規職員","正",IF($E50="契約上の就業時間を記載","","実績を入力")),"-"))</f>
        <v/>
      </c>
      <c r="O50" s="10" t="str">
        <f>IF($B50="","",IF(OR('②-1職員名簿'!AL50="○",'②-1職員名簿'!AL50="●"),IF($E50="正規職員","正",IF($E50="契約上の就業時間を記載","","実績を入力")),"-"))</f>
        <v/>
      </c>
      <c r="P50" s="10" t="str">
        <f>IF($B50="","",IF(OR('②-1職員名簿'!AM50="○",'②-1職員名簿'!AM50="●"),IF($E50="正規職員","正",IF($E50="契約上の就業時間を記載","","実績を入力")),"-"))</f>
        <v/>
      </c>
      <c r="Q50" s="10" t="str">
        <f>IF($B50="","",IF(OR('②-1職員名簿'!AN50="○",'②-1職員名簿'!AN50="●"),IF($E50="正規職員","正",IF($E50="契約上の就業時間を記載","","実績を入力")),"-"))</f>
        <v/>
      </c>
      <c r="R50" s="101" t="str">
        <f>IF($B50="","",IF(OR('②-1職員名簿'!AC50="○",'②-1職員名簿'!AC50="●"),IF($E50="正規職員","正",IF($E50="契約上の就業時間を記載","",IF($E50&gt;=F$5,"常",F50))),"-"))</f>
        <v/>
      </c>
      <c r="S50" s="101" t="str">
        <f>IF($B50="","",IF(OR('②-1職員名簿'!AD50="○",'②-1職員名簿'!AD50="●"),IF($E50="正規職員","正",IF($E50="契約上の就業時間を記載","",IF($E50&gt;=G$5,"常",G50))),"-"))</f>
        <v/>
      </c>
      <c r="T50" s="101" t="str">
        <f>IF($B50="","",IF(OR('②-1職員名簿'!AE50="○",'②-1職員名簿'!AE50="●"),IF($E50="正規職員","正",IF($E50="契約上の就業時間を記載","",IF($E50&gt;=H$5,"常",H50))),"-"))</f>
        <v/>
      </c>
      <c r="U50" s="101" t="str">
        <f>IF($B50="","",IF(OR('②-1職員名簿'!AF50="○",'②-1職員名簿'!AF50="●"),IF($E50="正規職員","正",IF($E50="契約上の就業時間を記載","",IF($E50&gt;=I$5,"常",I50))),"-"))</f>
        <v/>
      </c>
      <c r="V50" s="101" t="str">
        <f>IF($B50="","",IF(OR('②-1職員名簿'!AG50="○",'②-1職員名簿'!AG50="●"),IF($E50="正規職員","正",IF($E50="契約上の就業時間を記載","",IF($E50&gt;=J$5,"常",J50))),"-"))</f>
        <v/>
      </c>
      <c r="W50" s="101" t="str">
        <f>IF($B50="","",IF(OR('②-1職員名簿'!AH50="○",'②-1職員名簿'!AH50="●"),IF($E50="正規職員","正",IF($E50="契約上の就業時間を記載","",IF($E50&gt;=K$5,"常",K50))),"-"))</f>
        <v/>
      </c>
      <c r="X50" s="101" t="str">
        <f>IF($B50="","",IF(OR('②-1職員名簿'!AI50="○",'②-1職員名簿'!AI50="●"),IF($E50="正規職員","正",IF($E50="契約上の就業時間を記載","",IF($E50&gt;=L$5,"常",L50))),"-"))</f>
        <v/>
      </c>
      <c r="Y50" s="101" t="str">
        <f>IF($B50="","",IF(OR('②-1職員名簿'!AJ50="○",'②-1職員名簿'!AJ50="●"),IF($E50="正規職員","正",IF($E50="契約上の就業時間を記載","",IF($E50&gt;=M$5,"常",M50))),"-"))</f>
        <v/>
      </c>
      <c r="Z50" s="101" t="str">
        <f>IF($B50="","",IF(OR('②-1職員名簿'!AK50="○",'②-1職員名簿'!AK50="●"),IF($E50="正規職員","正",IF($E50="契約上の就業時間を記載","",IF($E50&gt;=N$5,"常",N50))),"-"))</f>
        <v/>
      </c>
      <c r="AA50" s="101" t="str">
        <f>IF($B50="","",IF(OR('②-1職員名簿'!AL50="○",'②-1職員名簿'!AL50="●"),IF($E50="正規職員","正",IF($E50="契約上の就業時間を記載","",IF($E50&gt;=O$5,"常",O50))),"-"))</f>
        <v/>
      </c>
      <c r="AB50" s="101" t="str">
        <f>IF($B50="","",IF(OR('②-1職員名簿'!AM50="○",'②-1職員名簿'!AM50="●"),IF($E50="正規職員","正",IF($E50="契約上の就業時間を記載","",IF($E50&gt;=P$5,"常",P50))),"-"))</f>
        <v/>
      </c>
      <c r="AC50" s="101" t="str">
        <f>IF($B50="","",IF(OR('②-1職員名簿'!AN50="○",'②-1職員名簿'!AN50="●"),IF($E50="正規職員","正",IF($E50="契約上の就業時間を記載","",IF($E50&gt;=Q$5,"常",Q50))),"-"))</f>
        <v/>
      </c>
      <c r="AE50" s="98" t="str">
        <f>IF('②-1職員名簿'!W50="","",'②-1職員名簿'!W50)</f>
        <v/>
      </c>
      <c r="AJ50" s="18" t="str">
        <f t="shared" si="12"/>
        <v>○</v>
      </c>
      <c r="AK50" s="18" t="str">
        <f t="shared" si="13"/>
        <v>○</v>
      </c>
      <c r="AL50" s="18" t="str">
        <f t="shared" si="14"/>
        <v>○</v>
      </c>
      <c r="AM50" s="18" t="str">
        <f t="shared" si="15"/>
        <v>○</v>
      </c>
      <c r="AN50" s="18" t="str">
        <f t="shared" si="16"/>
        <v>○</v>
      </c>
      <c r="AO50" s="18" t="str">
        <f t="shared" si="17"/>
        <v>○</v>
      </c>
      <c r="AP50" s="18" t="str">
        <f t="shared" si="18"/>
        <v>○</v>
      </c>
      <c r="AQ50" s="18" t="str">
        <f t="shared" si="19"/>
        <v>○</v>
      </c>
      <c r="AR50" s="18" t="str">
        <f t="shared" si="20"/>
        <v>○</v>
      </c>
      <c r="AS50" s="18" t="str">
        <f t="shared" si="21"/>
        <v>○</v>
      </c>
      <c r="AT50" s="18" t="str">
        <f t="shared" si="22"/>
        <v>○</v>
      </c>
      <c r="AU50" s="18" t="str">
        <f t="shared" si="23"/>
        <v>○</v>
      </c>
    </row>
    <row r="51" spans="1:47" s="103" customFormat="1" ht="23.15" customHeight="1">
      <c r="A51" s="99">
        <v>45</v>
      </c>
      <c r="B51" s="98" t="str">
        <f>IF('②-1職員名簿'!E51="","",'②-1職員名簿'!Y51)</f>
        <v/>
      </c>
      <c r="C51" s="101" t="str">
        <f>'②-1職員名簿'!BE51</f>
        <v/>
      </c>
      <c r="D51" s="132" t="str">
        <f t="shared" si="9"/>
        <v/>
      </c>
      <c r="E51" s="19" t="str">
        <f>IF($B51="","",IF(AND('②-1職員名簿'!C51="正",'②-1職員名簿'!D51="常"),"正規職員","契約上の就業時間を記載"))</f>
        <v/>
      </c>
      <c r="F51" s="10" t="str">
        <f>IF($B51="","",IF(OR('②-1職員名簿'!AC51="○",'②-1職員名簿'!AC51="●"),IF($E51="正規職員","正",IF($E51="契約上の就業時間を記載","","見込を入力")),"-"))</f>
        <v/>
      </c>
      <c r="G51" s="10" t="str">
        <f>IF($B51="","",IF(OR('②-1職員名簿'!AD51="○",'②-1職員名簿'!AD51="●"),IF($E51="正規職員","正",IF($E51="契約上の就業時間を記載","","実績を入力")),"-"))</f>
        <v/>
      </c>
      <c r="H51" s="10" t="str">
        <f>IF($B51="","",IF(OR('②-1職員名簿'!AE51="○",'②-1職員名簿'!AE51="●"),IF($E51="正規職員","正",IF($E51="契約上の就業時間を記載","","実績を入力")),"-"))</f>
        <v/>
      </c>
      <c r="I51" s="10" t="str">
        <f>IF($B51="","",IF(OR('②-1職員名簿'!AF51="○",'②-1職員名簿'!AF51="●"),IF($E51="正規職員","正",IF($E51="契約上の就業時間を記載","","実績を入力")),"-"))</f>
        <v/>
      </c>
      <c r="J51" s="10" t="str">
        <f>IF($B51="","",IF(OR('②-1職員名簿'!AG51="○",'②-1職員名簿'!AG51="●"),IF($E51="正規職員","正",IF($E51="契約上の就業時間を記載","","実績を入力")),"-"))</f>
        <v/>
      </c>
      <c r="K51" s="10" t="str">
        <f>IF($B51="","",IF(OR('②-1職員名簿'!AH51="○",'②-1職員名簿'!AH51="●"),IF($E51="正規職員","正",IF($E51="契約上の就業時間を記載","","実績を入力")),"-"))</f>
        <v/>
      </c>
      <c r="L51" s="10" t="str">
        <f>IF($B51="","",IF(OR('②-1職員名簿'!AI51="○",'②-1職員名簿'!AI51="●"),IF($E51="正規職員","正",IF($E51="契約上の就業時間を記載","","実績を入力")),"-"))</f>
        <v/>
      </c>
      <c r="M51" s="10" t="str">
        <f>IF($B51="","",IF(OR('②-1職員名簿'!AJ51="○",'②-1職員名簿'!AJ51="●"),IF($E51="正規職員","正",IF($E51="契約上の就業時間を記載","","実績を入力")),"-"))</f>
        <v/>
      </c>
      <c r="N51" s="10" t="str">
        <f>IF($B51="","",IF(OR('②-1職員名簿'!AK51="○",'②-1職員名簿'!AK51="●"),IF($E51="正規職員","正",IF($E51="契約上の就業時間を記載","","実績を入力")),"-"))</f>
        <v/>
      </c>
      <c r="O51" s="10" t="str">
        <f>IF($B51="","",IF(OR('②-1職員名簿'!AL51="○",'②-1職員名簿'!AL51="●"),IF($E51="正規職員","正",IF($E51="契約上の就業時間を記載","","実績を入力")),"-"))</f>
        <v/>
      </c>
      <c r="P51" s="10" t="str">
        <f>IF($B51="","",IF(OR('②-1職員名簿'!AM51="○",'②-1職員名簿'!AM51="●"),IF($E51="正規職員","正",IF($E51="契約上の就業時間を記載","","実績を入力")),"-"))</f>
        <v/>
      </c>
      <c r="Q51" s="10" t="str">
        <f>IF($B51="","",IF(OR('②-1職員名簿'!AN51="○",'②-1職員名簿'!AN51="●"),IF($E51="正規職員","正",IF($E51="契約上の就業時間を記載","","実績を入力")),"-"))</f>
        <v/>
      </c>
      <c r="R51" s="101" t="str">
        <f>IF($B51="","",IF(OR('②-1職員名簿'!AC51="○",'②-1職員名簿'!AC51="●"),IF($E51="正規職員","正",IF($E51="契約上の就業時間を記載","",IF($E51&gt;=F$5,"常",F51))),"-"))</f>
        <v/>
      </c>
      <c r="S51" s="101" t="str">
        <f>IF($B51="","",IF(OR('②-1職員名簿'!AD51="○",'②-1職員名簿'!AD51="●"),IF($E51="正規職員","正",IF($E51="契約上の就業時間を記載","",IF($E51&gt;=G$5,"常",G51))),"-"))</f>
        <v/>
      </c>
      <c r="T51" s="101" t="str">
        <f>IF($B51="","",IF(OR('②-1職員名簿'!AE51="○",'②-1職員名簿'!AE51="●"),IF($E51="正規職員","正",IF($E51="契約上の就業時間を記載","",IF($E51&gt;=H$5,"常",H51))),"-"))</f>
        <v/>
      </c>
      <c r="U51" s="101" t="str">
        <f>IF($B51="","",IF(OR('②-1職員名簿'!AF51="○",'②-1職員名簿'!AF51="●"),IF($E51="正規職員","正",IF($E51="契約上の就業時間を記載","",IF($E51&gt;=I$5,"常",I51))),"-"))</f>
        <v/>
      </c>
      <c r="V51" s="101" t="str">
        <f>IF($B51="","",IF(OR('②-1職員名簿'!AG51="○",'②-1職員名簿'!AG51="●"),IF($E51="正規職員","正",IF($E51="契約上の就業時間を記載","",IF($E51&gt;=J$5,"常",J51))),"-"))</f>
        <v/>
      </c>
      <c r="W51" s="101" t="str">
        <f>IF($B51="","",IF(OR('②-1職員名簿'!AH51="○",'②-1職員名簿'!AH51="●"),IF($E51="正規職員","正",IF($E51="契約上の就業時間を記載","",IF($E51&gt;=K$5,"常",K51))),"-"))</f>
        <v/>
      </c>
      <c r="X51" s="101" t="str">
        <f>IF($B51="","",IF(OR('②-1職員名簿'!AI51="○",'②-1職員名簿'!AI51="●"),IF($E51="正規職員","正",IF($E51="契約上の就業時間を記載","",IF($E51&gt;=L$5,"常",L51))),"-"))</f>
        <v/>
      </c>
      <c r="Y51" s="101" t="str">
        <f>IF($B51="","",IF(OR('②-1職員名簿'!AJ51="○",'②-1職員名簿'!AJ51="●"),IF($E51="正規職員","正",IF($E51="契約上の就業時間を記載","",IF($E51&gt;=M$5,"常",M51))),"-"))</f>
        <v/>
      </c>
      <c r="Z51" s="101" t="str">
        <f>IF($B51="","",IF(OR('②-1職員名簿'!AK51="○",'②-1職員名簿'!AK51="●"),IF($E51="正規職員","正",IF($E51="契約上の就業時間を記載","",IF($E51&gt;=N$5,"常",N51))),"-"))</f>
        <v/>
      </c>
      <c r="AA51" s="101" t="str">
        <f>IF($B51="","",IF(OR('②-1職員名簿'!AL51="○",'②-1職員名簿'!AL51="●"),IF($E51="正規職員","正",IF($E51="契約上の就業時間を記載","",IF($E51&gt;=O$5,"常",O51))),"-"))</f>
        <v/>
      </c>
      <c r="AB51" s="101" t="str">
        <f>IF($B51="","",IF(OR('②-1職員名簿'!AM51="○",'②-1職員名簿'!AM51="●"),IF($E51="正規職員","正",IF($E51="契約上の就業時間を記載","",IF($E51&gt;=P$5,"常",P51))),"-"))</f>
        <v/>
      </c>
      <c r="AC51" s="101" t="str">
        <f>IF($B51="","",IF(OR('②-1職員名簿'!AN51="○",'②-1職員名簿'!AN51="●"),IF($E51="正規職員","正",IF($E51="契約上の就業時間を記載","",IF($E51&gt;=Q$5,"常",Q51))),"-"))</f>
        <v/>
      </c>
      <c r="AE51" s="98" t="str">
        <f>IF('②-1職員名簿'!W51="","",'②-1職員名簿'!W51)</f>
        <v/>
      </c>
      <c r="AJ51" s="18" t="str">
        <f t="shared" si="12"/>
        <v>○</v>
      </c>
      <c r="AK51" s="18" t="str">
        <f t="shared" si="13"/>
        <v>○</v>
      </c>
      <c r="AL51" s="18" t="str">
        <f t="shared" si="14"/>
        <v>○</v>
      </c>
      <c r="AM51" s="18" t="str">
        <f t="shared" si="15"/>
        <v>○</v>
      </c>
      <c r="AN51" s="18" t="str">
        <f t="shared" si="16"/>
        <v>○</v>
      </c>
      <c r="AO51" s="18" t="str">
        <f t="shared" si="17"/>
        <v>○</v>
      </c>
      <c r="AP51" s="18" t="str">
        <f t="shared" si="18"/>
        <v>○</v>
      </c>
      <c r="AQ51" s="18" t="str">
        <f t="shared" si="19"/>
        <v>○</v>
      </c>
      <c r="AR51" s="18" t="str">
        <f t="shared" si="20"/>
        <v>○</v>
      </c>
      <c r="AS51" s="18" t="str">
        <f t="shared" si="21"/>
        <v>○</v>
      </c>
      <c r="AT51" s="18" t="str">
        <f t="shared" si="22"/>
        <v>○</v>
      </c>
      <c r="AU51" s="18" t="str">
        <f t="shared" si="23"/>
        <v>○</v>
      </c>
    </row>
    <row r="52" spans="1:47" s="103" customFormat="1" ht="23.15" customHeight="1">
      <c r="A52" s="99">
        <v>46</v>
      </c>
      <c r="B52" s="98" t="str">
        <f>IF('②-1職員名簿'!E52="","",'②-1職員名簿'!Y52)</f>
        <v/>
      </c>
      <c r="C52" s="101" t="str">
        <f>'②-1職員名簿'!BE52</f>
        <v/>
      </c>
      <c r="D52" s="132" t="str">
        <f t="shared" si="9"/>
        <v/>
      </c>
      <c r="E52" s="19" t="str">
        <f>IF($B52="","",IF(AND('②-1職員名簿'!C52="正",'②-1職員名簿'!D52="常"),"正規職員","契約上の就業時間を記載"))</f>
        <v/>
      </c>
      <c r="F52" s="10" t="str">
        <f>IF($B52="","",IF(OR('②-1職員名簿'!AC52="○",'②-1職員名簿'!AC52="●"),IF($E52="正規職員","正",IF($E52="契約上の就業時間を記載","","見込を入力")),"-"))</f>
        <v/>
      </c>
      <c r="G52" s="10" t="str">
        <f>IF($B52="","",IF(OR('②-1職員名簿'!AD52="○",'②-1職員名簿'!AD52="●"),IF($E52="正規職員","正",IF($E52="契約上の就業時間を記載","","実績を入力")),"-"))</f>
        <v/>
      </c>
      <c r="H52" s="10" t="str">
        <f>IF($B52="","",IF(OR('②-1職員名簿'!AE52="○",'②-1職員名簿'!AE52="●"),IF($E52="正規職員","正",IF($E52="契約上の就業時間を記載","","実績を入力")),"-"))</f>
        <v/>
      </c>
      <c r="I52" s="10" t="str">
        <f>IF($B52="","",IF(OR('②-1職員名簿'!AF52="○",'②-1職員名簿'!AF52="●"),IF($E52="正規職員","正",IF($E52="契約上の就業時間を記載","","実績を入力")),"-"))</f>
        <v/>
      </c>
      <c r="J52" s="10" t="str">
        <f>IF($B52="","",IF(OR('②-1職員名簿'!AG52="○",'②-1職員名簿'!AG52="●"),IF($E52="正規職員","正",IF($E52="契約上の就業時間を記載","","実績を入力")),"-"))</f>
        <v/>
      </c>
      <c r="K52" s="10" t="str">
        <f>IF($B52="","",IF(OR('②-1職員名簿'!AH52="○",'②-1職員名簿'!AH52="●"),IF($E52="正規職員","正",IF($E52="契約上の就業時間を記載","","実績を入力")),"-"))</f>
        <v/>
      </c>
      <c r="L52" s="10" t="str">
        <f>IF($B52="","",IF(OR('②-1職員名簿'!AI52="○",'②-1職員名簿'!AI52="●"),IF($E52="正規職員","正",IF($E52="契約上の就業時間を記載","","実績を入力")),"-"))</f>
        <v/>
      </c>
      <c r="M52" s="10" t="str">
        <f>IF($B52="","",IF(OR('②-1職員名簿'!AJ52="○",'②-1職員名簿'!AJ52="●"),IF($E52="正規職員","正",IF($E52="契約上の就業時間を記載","","実績を入力")),"-"))</f>
        <v/>
      </c>
      <c r="N52" s="10" t="str">
        <f>IF($B52="","",IF(OR('②-1職員名簿'!AK52="○",'②-1職員名簿'!AK52="●"),IF($E52="正規職員","正",IF($E52="契約上の就業時間を記載","","実績を入力")),"-"))</f>
        <v/>
      </c>
      <c r="O52" s="10" t="str">
        <f>IF($B52="","",IF(OR('②-1職員名簿'!AL52="○",'②-1職員名簿'!AL52="●"),IF($E52="正規職員","正",IF($E52="契約上の就業時間を記載","","実績を入力")),"-"))</f>
        <v/>
      </c>
      <c r="P52" s="10" t="str">
        <f>IF($B52="","",IF(OR('②-1職員名簿'!AM52="○",'②-1職員名簿'!AM52="●"),IF($E52="正規職員","正",IF($E52="契約上の就業時間を記載","","実績を入力")),"-"))</f>
        <v/>
      </c>
      <c r="Q52" s="10" t="str">
        <f>IF($B52="","",IF(OR('②-1職員名簿'!AN52="○",'②-1職員名簿'!AN52="●"),IF($E52="正規職員","正",IF($E52="契約上の就業時間を記載","","実績を入力")),"-"))</f>
        <v/>
      </c>
      <c r="R52" s="101" t="str">
        <f>IF($B52="","",IF(OR('②-1職員名簿'!AC52="○",'②-1職員名簿'!AC52="●"),IF($E52="正規職員","正",IF($E52="契約上の就業時間を記載","",IF($E52&gt;=F$5,"常",F52))),"-"))</f>
        <v/>
      </c>
      <c r="S52" s="101" t="str">
        <f>IF($B52="","",IF(OR('②-1職員名簿'!AD52="○",'②-1職員名簿'!AD52="●"),IF($E52="正規職員","正",IF($E52="契約上の就業時間を記載","",IF($E52&gt;=G$5,"常",G52))),"-"))</f>
        <v/>
      </c>
      <c r="T52" s="101" t="str">
        <f>IF($B52="","",IF(OR('②-1職員名簿'!AE52="○",'②-1職員名簿'!AE52="●"),IF($E52="正規職員","正",IF($E52="契約上の就業時間を記載","",IF($E52&gt;=H$5,"常",H52))),"-"))</f>
        <v/>
      </c>
      <c r="U52" s="101" t="str">
        <f>IF($B52="","",IF(OR('②-1職員名簿'!AF52="○",'②-1職員名簿'!AF52="●"),IF($E52="正規職員","正",IF($E52="契約上の就業時間を記載","",IF($E52&gt;=I$5,"常",I52))),"-"))</f>
        <v/>
      </c>
      <c r="V52" s="101" t="str">
        <f>IF($B52="","",IF(OR('②-1職員名簿'!AG52="○",'②-1職員名簿'!AG52="●"),IF($E52="正規職員","正",IF($E52="契約上の就業時間を記載","",IF($E52&gt;=J$5,"常",J52))),"-"))</f>
        <v/>
      </c>
      <c r="W52" s="101" t="str">
        <f>IF($B52="","",IF(OR('②-1職員名簿'!AH52="○",'②-1職員名簿'!AH52="●"),IF($E52="正規職員","正",IF($E52="契約上の就業時間を記載","",IF($E52&gt;=K$5,"常",K52))),"-"))</f>
        <v/>
      </c>
      <c r="X52" s="101" t="str">
        <f>IF($B52="","",IF(OR('②-1職員名簿'!AI52="○",'②-1職員名簿'!AI52="●"),IF($E52="正規職員","正",IF($E52="契約上の就業時間を記載","",IF($E52&gt;=L$5,"常",L52))),"-"))</f>
        <v/>
      </c>
      <c r="Y52" s="101" t="str">
        <f>IF($B52="","",IF(OR('②-1職員名簿'!AJ52="○",'②-1職員名簿'!AJ52="●"),IF($E52="正規職員","正",IF($E52="契約上の就業時間を記載","",IF($E52&gt;=M$5,"常",M52))),"-"))</f>
        <v/>
      </c>
      <c r="Z52" s="101" t="str">
        <f>IF($B52="","",IF(OR('②-1職員名簿'!AK52="○",'②-1職員名簿'!AK52="●"),IF($E52="正規職員","正",IF($E52="契約上の就業時間を記載","",IF($E52&gt;=N$5,"常",N52))),"-"))</f>
        <v/>
      </c>
      <c r="AA52" s="101" t="str">
        <f>IF($B52="","",IF(OR('②-1職員名簿'!AL52="○",'②-1職員名簿'!AL52="●"),IF($E52="正規職員","正",IF($E52="契約上の就業時間を記載","",IF($E52&gt;=O$5,"常",O52))),"-"))</f>
        <v/>
      </c>
      <c r="AB52" s="101" t="str">
        <f>IF($B52="","",IF(OR('②-1職員名簿'!AM52="○",'②-1職員名簿'!AM52="●"),IF($E52="正規職員","正",IF($E52="契約上の就業時間を記載","",IF($E52&gt;=P$5,"常",P52))),"-"))</f>
        <v/>
      </c>
      <c r="AC52" s="101" t="str">
        <f>IF($B52="","",IF(OR('②-1職員名簿'!AN52="○",'②-1職員名簿'!AN52="●"),IF($E52="正規職員","正",IF($E52="契約上の就業時間を記載","",IF($E52&gt;=Q$5,"常",Q52))),"-"))</f>
        <v/>
      </c>
      <c r="AE52" s="98" t="str">
        <f>IF('②-1職員名簿'!W52="","",'②-1職員名簿'!W52)</f>
        <v/>
      </c>
      <c r="AJ52" s="18" t="str">
        <f t="shared" si="12"/>
        <v>○</v>
      </c>
      <c r="AK52" s="18" t="str">
        <f t="shared" si="13"/>
        <v>○</v>
      </c>
      <c r="AL52" s="18" t="str">
        <f t="shared" si="14"/>
        <v>○</v>
      </c>
      <c r="AM52" s="18" t="str">
        <f t="shared" si="15"/>
        <v>○</v>
      </c>
      <c r="AN52" s="18" t="str">
        <f t="shared" si="16"/>
        <v>○</v>
      </c>
      <c r="AO52" s="18" t="str">
        <f t="shared" si="17"/>
        <v>○</v>
      </c>
      <c r="AP52" s="18" t="str">
        <f t="shared" si="18"/>
        <v>○</v>
      </c>
      <c r="AQ52" s="18" t="str">
        <f t="shared" si="19"/>
        <v>○</v>
      </c>
      <c r="AR52" s="18" t="str">
        <f t="shared" si="20"/>
        <v>○</v>
      </c>
      <c r="AS52" s="18" t="str">
        <f t="shared" si="21"/>
        <v>○</v>
      </c>
      <c r="AT52" s="18" t="str">
        <f t="shared" si="22"/>
        <v>○</v>
      </c>
      <c r="AU52" s="18" t="str">
        <f t="shared" si="23"/>
        <v>○</v>
      </c>
    </row>
    <row r="53" spans="1:47" s="103" customFormat="1" ht="23.15" customHeight="1">
      <c r="A53" s="99">
        <v>47</v>
      </c>
      <c r="B53" s="98" t="str">
        <f>IF('②-1職員名簿'!E53="","",'②-1職員名簿'!Y53)</f>
        <v/>
      </c>
      <c r="C53" s="101" t="str">
        <f>'②-1職員名簿'!BE53</f>
        <v/>
      </c>
      <c r="D53" s="132" t="str">
        <f t="shared" si="9"/>
        <v/>
      </c>
      <c r="E53" s="19" t="str">
        <f>IF($B53="","",IF(AND('②-1職員名簿'!C53="正",'②-1職員名簿'!D53="常"),"正規職員","契約上の就業時間を記載"))</f>
        <v/>
      </c>
      <c r="F53" s="10" t="str">
        <f>IF($B53="","",IF(OR('②-1職員名簿'!AC53="○",'②-1職員名簿'!AC53="●"),IF($E53="正規職員","正",IF($E53="契約上の就業時間を記載","","見込を入力")),"-"))</f>
        <v/>
      </c>
      <c r="G53" s="10" t="str">
        <f>IF($B53="","",IF(OR('②-1職員名簿'!AD53="○",'②-1職員名簿'!AD53="●"),IF($E53="正規職員","正",IF($E53="契約上の就業時間を記載","","実績を入力")),"-"))</f>
        <v/>
      </c>
      <c r="H53" s="10" t="str">
        <f>IF($B53="","",IF(OR('②-1職員名簿'!AE53="○",'②-1職員名簿'!AE53="●"),IF($E53="正規職員","正",IF($E53="契約上の就業時間を記載","","実績を入力")),"-"))</f>
        <v/>
      </c>
      <c r="I53" s="10" t="str">
        <f>IF($B53="","",IF(OR('②-1職員名簿'!AF53="○",'②-1職員名簿'!AF53="●"),IF($E53="正規職員","正",IF($E53="契約上の就業時間を記載","","実績を入力")),"-"))</f>
        <v/>
      </c>
      <c r="J53" s="10" t="str">
        <f>IF($B53="","",IF(OR('②-1職員名簿'!AG53="○",'②-1職員名簿'!AG53="●"),IF($E53="正規職員","正",IF($E53="契約上の就業時間を記載","","実績を入力")),"-"))</f>
        <v/>
      </c>
      <c r="K53" s="10" t="str">
        <f>IF($B53="","",IF(OR('②-1職員名簿'!AH53="○",'②-1職員名簿'!AH53="●"),IF($E53="正規職員","正",IF($E53="契約上の就業時間を記載","","実績を入力")),"-"))</f>
        <v/>
      </c>
      <c r="L53" s="10" t="str">
        <f>IF($B53="","",IF(OR('②-1職員名簿'!AI53="○",'②-1職員名簿'!AI53="●"),IF($E53="正規職員","正",IF($E53="契約上の就業時間を記載","","実績を入力")),"-"))</f>
        <v/>
      </c>
      <c r="M53" s="10" t="str">
        <f>IF($B53="","",IF(OR('②-1職員名簿'!AJ53="○",'②-1職員名簿'!AJ53="●"),IF($E53="正規職員","正",IF($E53="契約上の就業時間を記載","","実績を入力")),"-"))</f>
        <v/>
      </c>
      <c r="N53" s="10" t="str">
        <f>IF($B53="","",IF(OR('②-1職員名簿'!AK53="○",'②-1職員名簿'!AK53="●"),IF($E53="正規職員","正",IF($E53="契約上の就業時間を記載","","実績を入力")),"-"))</f>
        <v/>
      </c>
      <c r="O53" s="10" t="str">
        <f>IF($B53="","",IF(OR('②-1職員名簿'!AL53="○",'②-1職員名簿'!AL53="●"),IF($E53="正規職員","正",IF($E53="契約上の就業時間を記載","","実績を入力")),"-"))</f>
        <v/>
      </c>
      <c r="P53" s="10" t="str">
        <f>IF($B53="","",IF(OR('②-1職員名簿'!AM53="○",'②-1職員名簿'!AM53="●"),IF($E53="正規職員","正",IF($E53="契約上の就業時間を記載","","実績を入力")),"-"))</f>
        <v/>
      </c>
      <c r="Q53" s="10" t="str">
        <f>IF($B53="","",IF(OR('②-1職員名簿'!AN53="○",'②-1職員名簿'!AN53="●"),IF($E53="正規職員","正",IF($E53="契約上の就業時間を記載","","実績を入力")),"-"))</f>
        <v/>
      </c>
      <c r="R53" s="101" t="str">
        <f>IF($B53="","",IF(OR('②-1職員名簿'!AC53="○",'②-1職員名簿'!AC53="●"),IF($E53="正規職員","正",IF($E53="契約上の就業時間を記載","",IF($E53&gt;=F$5,"常",F53))),"-"))</f>
        <v/>
      </c>
      <c r="S53" s="101" t="str">
        <f>IF($B53="","",IF(OR('②-1職員名簿'!AD53="○",'②-1職員名簿'!AD53="●"),IF($E53="正規職員","正",IF($E53="契約上の就業時間を記載","",IF($E53&gt;=G$5,"常",G53))),"-"))</f>
        <v/>
      </c>
      <c r="T53" s="101" t="str">
        <f>IF($B53="","",IF(OR('②-1職員名簿'!AE53="○",'②-1職員名簿'!AE53="●"),IF($E53="正規職員","正",IF($E53="契約上の就業時間を記載","",IF($E53&gt;=H$5,"常",H53))),"-"))</f>
        <v/>
      </c>
      <c r="U53" s="101" t="str">
        <f>IF($B53="","",IF(OR('②-1職員名簿'!AF53="○",'②-1職員名簿'!AF53="●"),IF($E53="正規職員","正",IF($E53="契約上の就業時間を記載","",IF($E53&gt;=I$5,"常",I53))),"-"))</f>
        <v/>
      </c>
      <c r="V53" s="101" t="str">
        <f>IF($B53="","",IF(OR('②-1職員名簿'!AG53="○",'②-1職員名簿'!AG53="●"),IF($E53="正規職員","正",IF($E53="契約上の就業時間を記載","",IF($E53&gt;=J$5,"常",J53))),"-"))</f>
        <v/>
      </c>
      <c r="W53" s="101" t="str">
        <f>IF($B53="","",IF(OR('②-1職員名簿'!AH53="○",'②-1職員名簿'!AH53="●"),IF($E53="正規職員","正",IF($E53="契約上の就業時間を記載","",IF($E53&gt;=K$5,"常",K53))),"-"))</f>
        <v/>
      </c>
      <c r="X53" s="101" t="str">
        <f>IF($B53="","",IF(OR('②-1職員名簿'!AI53="○",'②-1職員名簿'!AI53="●"),IF($E53="正規職員","正",IF($E53="契約上の就業時間を記載","",IF($E53&gt;=L$5,"常",L53))),"-"))</f>
        <v/>
      </c>
      <c r="Y53" s="101" t="str">
        <f>IF($B53="","",IF(OR('②-1職員名簿'!AJ53="○",'②-1職員名簿'!AJ53="●"),IF($E53="正規職員","正",IF($E53="契約上の就業時間を記載","",IF($E53&gt;=M$5,"常",M53))),"-"))</f>
        <v/>
      </c>
      <c r="Z53" s="101" t="str">
        <f>IF($B53="","",IF(OR('②-1職員名簿'!AK53="○",'②-1職員名簿'!AK53="●"),IF($E53="正規職員","正",IF($E53="契約上の就業時間を記載","",IF($E53&gt;=N$5,"常",N53))),"-"))</f>
        <v/>
      </c>
      <c r="AA53" s="101" t="str">
        <f>IF($B53="","",IF(OR('②-1職員名簿'!AL53="○",'②-1職員名簿'!AL53="●"),IF($E53="正規職員","正",IF($E53="契約上の就業時間を記載","",IF($E53&gt;=O$5,"常",O53))),"-"))</f>
        <v/>
      </c>
      <c r="AB53" s="101" t="str">
        <f>IF($B53="","",IF(OR('②-1職員名簿'!AM53="○",'②-1職員名簿'!AM53="●"),IF($E53="正規職員","正",IF($E53="契約上の就業時間を記載","",IF($E53&gt;=P$5,"常",P53))),"-"))</f>
        <v/>
      </c>
      <c r="AC53" s="101" t="str">
        <f>IF($B53="","",IF(OR('②-1職員名簿'!AN53="○",'②-1職員名簿'!AN53="●"),IF($E53="正規職員","正",IF($E53="契約上の就業時間を記載","",IF($E53&gt;=Q$5,"常",Q53))),"-"))</f>
        <v/>
      </c>
      <c r="AE53" s="98" t="str">
        <f>IF('②-1職員名簿'!W53="","",'②-1職員名簿'!W53)</f>
        <v/>
      </c>
      <c r="AJ53" s="18" t="str">
        <f t="shared" si="12"/>
        <v>○</v>
      </c>
      <c r="AK53" s="18" t="str">
        <f t="shared" si="13"/>
        <v>○</v>
      </c>
      <c r="AL53" s="18" t="str">
        <f t="shared" si="14"/>
        <v>○</v>
      </c>
      <c r="AM53" s="18" t="str">
        <f t="shared" si="15"/>
        <v>○</v>
      </c>
      <c r="AN53" s="18" t="str">
        <f t="shared" si="16"/>
        <v>○</v>
      </c>
      <c r="AO53" s="18" t="str">
        <f t="shared" si="17"/>
        <v>○</v>
      </c>
      <c r="AP53" s="18" t="str">
        <f t="shared" si="18"/>
        <v>○</v>
      </c>
      <c r="AQ53" s="18" t="str">
        <f t="shared" si="19"/>
        <v>○</v>
      </c>
      <c r="AR53" s="18" t="str">
        <f t="shared" si="20"/>
        <v>○</v>
      </c>
      <c r="AS53" s="18" t="str">
        <f t="shared" si="21"/>
        <v>○</v>
      </c>
      <c r="AT53" s="18" t="str">
        <f t="shared" si="22"/>
        <v>○</v>
      </c>
      <c r="AU53" s="18" t="str">
        <f t="shared" si="23"/>
        <v>○</v>
      </c>
    </row>
    <row r="54" spans="1:47" s="103" customFormat="1" ht="23.15" customHeight="1">
      <c r="A54" s="99">
        <v>48</v>
      </c>
      <c r="B54" s="98" t="str">
        <f>IF('②-1職員名簿'!E54="","",'②-1職員名簿'!Y54)</f>
        <v/>
      </c>
      <c r="C54" s="101" t="str">
        <f>'②-1職員名簿'!BE54</f>
        <v/>
      </c>
      <c r="D54" s="132" t="str">
        <f t="shared" si="9"/>
        <v/>
      </c>
      <c r="E54" s="19" t="str">
        <f>IF($B54="","",IF(AND('②-1職員名簿'!C54="正",'②-1職員名簿'!D54="常"),"正規職員","契約上の就業時間を記載"))</f>
        <v/>
      </c>
      <c r="F54" s="10" t="str">
        <f>IF($B54="","",IF(OR('②-1職員名簿'!AC54="○",'②-1職員名簿'!AC54="●"),IF($E54="正規職員","正",IF($E54="契約上の就業時間を記載","","見込を入力")),"-"))</f>
        <v/>
      </c>
      <c r="G54" s="10" t="str">
        <f>IF($B54="","",IF(OR('②-1職員名簿'!AD54="○",'②-1職員名簿'!AD54="●"),IF($E54="正規職員","正",IF($E54="契約上の就業時間を記載","","実績を入力")),"-"))</f>
        <v/>
      </c>
      <c r="H54" s="10" t="str">
        <f>IF($B54="","",IF(OR('②-1職員名簿'!AE54="○",'②-1職員名簿'!AE54="●"),IF($E54="正規職員","正",IF($E54="契約上の就業時間を記載","","実績を入力")),"-"))</f>
        <v/>
      </c>
      <c r="I54" s="10" t="str">
        <f>IF($B54="","",IF(OR('②-1職員名簿'!AF54="○",'②-1職員名簿'!AF54="●"),IF($E54="正規職員","正",IF($E54="契約上の就業時間を記載","","実績を入力")),"-"))</f>
        <v/>
      </c>
      <c r="J54" s="10" t="str">
        <f>IF($B54="","",IF(OR('②-1職員名簿'!AG54="○",'②-1職員名簿'!AG54="●"),IF($E54="正規職員","正",IF($E54="契約上の就業時間を記載","","実績を入力")),"-"))</f>
        <v/>
      </c>
      <c r="K54" s="10" t="str">
        <f>IF($B54="","",IF(OR('②-1職員名簿'!AH54="○",'②-1職員名簿'!AH54="●"),IF($E54="正規職員","正",IF($E54="契約上の就業時間を記載","","実績を入力")),"-"))</f>
        <v/>
      </c>
      <c r="L54" s="10" t="str">
        <f>IF($B54="","",IF(OR('②-1職員名簿'!AI54="○",'②-1職員名簿'!AI54="●"),IF($E54="正規職員","正",IF($E54="契約上の就業時間を記載","","実績を入力")),"-"))</f>
        <v/>
      </c>
      <c r="M54" s="10" t="str">
        <f>IF($B54="","",IF(OR('②-1職員名簿'!AJ54="○",'②-1職員名簿'!AJ54="●"),IF($E54="正規職員","正",IF($E54="契約上の就業時間を記載","","実績を入力")),"-"))</f>
        <v/>
      </c>
      <c r="N54" s="10" t="str">
        <f>IF($B54="","",IF(OR('②-1職員名簿'!AK54="○",'②-1職員名簿'!AK54="●"),IF($E54="正規職員","正",IF($E54="契約上の就業時間を記載","","実績を入力")),"-"))</f>
        <v/>
      </c>
      <c r="O54" s="10" t="str">
        <f>IF($B54="","",IF(OR('②-1職員名簿'!AL54="○",'②-1職員名簿'!AL54="●"),IF($E54="正規職員","正",IF($E54="契約上の就業時間を記載","","実績を入力")),"-"))</f>
        <v/>
      </c>
      <c r="P54" s="10" t="str">
        <f>IF($B54="","",IF(OR('②-1職員名簿'!AM54="○",'②-1職員名簿'!AM54="●"),IF($E54="正規職員","正",IF($E54="契約上の就業時間を記載","","実績を入力")),"-"))</f>
        <v/>
      </c>
      <c r="Q54" s="10" t="str">
        <f>IF($B54="","",IF(OR('②-1職員名簿'!AN54="○",'②-1職員名簿'!AN54="●"),IF($E54="正規職員","正",IF($E54="契約上の就業時間を記載","","実績を入力")),"-"))</f>
        <v/>
      </c>
      <c r="R54" s="101" t="str">
        <f>IF($B54="","",IF(OR('②-1職員名簿'!AC54="○",'②-1職員名簿'!AC54="●"),IF($E54="正規職員","正",IF($E54="契約上の就業時間を記載","",IF($E54&gt;=F$5,"常",F54))),"-"))</f>
        <v/>
      </c>
      <c r="S54" s="101" t="str">
        <f>IF($B54="","",IF(OR('②-1職員名簿'!AD54="○",'②-1職員名簿'!AD54="●"),IF($E54="正規職員","正",IF($E54="契約上の就業時間を記載","",IF($E54&gt;=G$5,"常",G54))),"-"))</f>
        <v/>
      </c>
      <c r="T54" s="101" t="str">
        <f>IF($B54="","",IF(OR('②-1職員名簿'!AE54="○",'②-1職員名簿'!AE54="●"),IF($E54="正規職員","正",IF($E54="契約上の就業時間を記載","",IF($E54&gt;=H$5,"常",H54))),"-"))</f>
        <v/>
      </c>
      <c r="U54" s="101" t="str">
        <f>IF($B54="","",IF(OR('②-1職員名簿'!AF54="○",'②-1職員名簿'!AF54="●"),IF($E54="正規職員","正",IF($E54="契約上の就業時間を記載","",IF($E54&gt;=I$5,"常",I54))),"-"))</f>
        <v/>
      </c>
      <c r="V54" s="101" t="str">
        <f>IF($B54="","",IF(OR('②-1職員名簿'!AG54="○",'②-1職員名簿'!AG54="●"),IF($E54="正規職員","正",IF($E54="契約上の就業時間を記載","",IF($E54&gt;=J$5,"常",J54))),"-"))</f>
        <v/>
      </c>
      <c r="W54" s="101" t="str">
        <f>IF($B54="","",IF(OR('②-1職員名簿'!AH54="○",'②-1職員名簿'!AH54="●"),IF($E54="正規職員","正",IF($E54="契約上の就業時間を記載","",IF($E54&gt;=K$5,"常",K54))),"-"))</f>
        <v/>
      </c>
      <c r="X54" s="101" t="str">
        <f>IF($B54="","",IF(OR('②-1職員名簿'!AI54="○",'②-1職員名簿'!AI54="●"),IF($E54="正規職員","正",IF($E54="契約上の就業時間を記載","",IF($E54&gt;=L$5,"常",L54))),"-"))</f>
        <v/>
      </c>
      <c r="Y54" s="101" t="str">
        <f>IF($B54="","",IF(OR('②-1職員名簿'!AJ54="○",'②-1職員名簿'!AJ54="●"),IF($E54="正規職員","正",IF($E54="契約上の就業時間を記載","",IF($E54&gt;=M$5,"常",M54))),"-"))</f>
        <v/>
      </c>
      <c r="Z54" s="101" t="str">
        <f>IF($B54="","",IF(OR('②-1職員名簿'!AK54="○",'②-1職員名簿'!AK54="●"),IF($E54="正規職員","正",IF($E54="契約上の就業時間を記載","",IF($E54&gt;=N$5,"常",N54))),"-"))</f>
        <v/>
      </c>
      <c r="AA54" s="101" t="str">
        <f>IF($B54="","",IF(OR('②-1職員名簿'!AL54="○",'②-1職員名簿'!AL54="●"),IF($E54="正規職員","正",IF($E54="契約上の就業時間を記載","",IF($E54&gt;=O$5,"常",O54))),"-"))</f>
        <v/>
      </c>
      <c r="AB54" s="101" t="str">
        <f>IF($B54="","",IF(OR('②-1職員名簿'!AM54="○",'②-1職員名簿'!AM54="●"),IF($E54="正規職員","正",IF($E54="契約上の就業時間を記載","",IF($E54&gt;=P$5,"常",P54))),"-"))</f>
        <v/>
      </c>
      <c r="AC54" s="101" t="str">
        <f>IF($B54="","",IF(OR('②-1職員名簿'!AN54="○",'②-1職員名簿'!AN54="●"),IF($E54="正規職員","正",IF($E54="契約上の就業時間を記載","",IF($E54&gt;=Q$5,"常",Q54))),"-"))</f>
        <v/>
      </c>
      <c r="AE54" s="98" t="str">
        <f>IF('②-1職員名簿'!W54="","",'②-1職員名簿'!W54)</f>
        <v/>
      </c>
      <c r="AJ54" s="18" t="str">
        <f t="shared" si="12"/>
        <v>○</v>
      </c>
      <c r="AK54" s="18" t="str">
        <f t="shared" si="13"/>
        <v>○</v>
      </c>
      <c r="AL54" s="18" t="str">
        <f t="shared" si="14"/>
        <v>○</v>
      </c>
      <c r="AM54" s="18" t="str">
        <f t="shared" si="15"/>
        <v>○</v>
      </c>
      <c r="AN54" s="18" t="str">
        <f t="shared" si="16"/>
        <v>○</v>
      </c>
      <c r="AO54" s="18" t="str">
        <f t="shared" si="17"/>
        <v>○</v>
      </c>
      <c r="AP54" s="18" t="str">
        <f t="shared" si="18"/>
        <v>○</v>
      </c>
      <c r="AQ54" s="18" t="str">
        <f t="shared" si="19"/>
        <v>○</v>
      </c>
      <c r="AR54" s="18" t="str">
        <f t="shared" si="20"/>
        <v>○</v>
      </c>
      <c r="AS54" s="18" t="str">
        <f t="shared" si="21"/>
        <v>○</v>
      </c>
      <c r="AT54" s="18" t="str">
        <f t="shared" si="22"/>
        <v>○</v>
      </c>
      <c r="AU54" s="18" t="str">
        <f t="shared" si="23"/>
        <v>○</v>
      </c>
    </row>
    <row r="55" spans="1:47" s="103" customFormat="1" ht="23.15" customHeight="1">
      <c r="A55" s="99">
        <v>49</v>
      </c>
      <c r="B55" s="98" t="str">
        <f>IF('②-1職員名簿'!E55="","",'②-1職員名簿'!Y55)</f>
        <v/>
      </c>
      <c r="C55" s="101" t="str">
        <f>'②-1職員名簿'!BE55</f>
        <v/>
      </c>
      <c r="D55" s="132" t="str">
        <f t="shared" si="9"/>
        <v/>
      </c>
      <c r="E55" s="19" t="str">
        <f>IF($B55="","",IF(AND('②-1職員名簿'!C55="正",'②-1職員名簿'!D55="常"),"正規職員","契約上の就業時間を記載"))</f>
        <v/>
      </c>
      <c r="F55" s="10" t="str">
        <f>IF($B55="","",IF(OR('②-1職員名簿'!AC55="○",'②-1職員名簿'!AC55="●"),IF($E55="正規職員","正",IF($E55="契約上の就業時間を記載","","見込を入力")),"-"))</f>
        <v/>
      </c>
      <c r="G55" s="10" t="str">
        <f>IF($B55="","",IF(OR('②-1職員名簿'!AD55="○",'②-1職員名簿'!AD55="●"),IF($E55="正規職員","正",IF($E55="契約上の就業時間を記載","","実績を入力")),"-"))</f>
        <v/>
      </c>
      <c r="H55" s="10" t="str">
        <f>IF($B55="","",IF(OR('②-1職員名簿'!AE55="○",'②-1職員名簿'!AE55="●"),IF($E55="正規職員","正",IF($E55="契約上の就業時間を記載","","実績を入力")),"-"))</f>
        <v/>
      </c>
      <c r="I55" s="10" t="str">
        <f>IF($B55="","",IF(OR('②-1職員名簿'!AF55="○",'②-1職員名簿'!AF55="●"),IF($E55="正規職員","正",IF($E55="契約上の就業時間を記載","","実績を入力")),"-"))</f>
        <v/>
      </c>
      <c r="J55" s="10" t="str">
        <f>IF($B55="","",IF(OR('②-1職員名簿'!AG55="○",'②-1職員名簿'!AG55="●"),IF($E55="正規職員","正",IF($E55="契約上の就業時間を記載","","実績を入力")),"-"))</f>
        <v/>
      </c>
      <c r="K55" s="10" t="str">
        <f>IF($B55="","",IF(OR('②-1職員名簿'!AH55="○",'②-1職員名簿'!AH55="●"),IF($E55="正規職員","正",IF($E55="契約上の就業時間を記載","","実績を入力")),"-"))</f>
        <v/>
      </c>
      <c r="L55" s="10" t="str">
        <f>IF($B55="","",IF(OR('②-1職員名簿'!AI55="○",'②-1職員名簿'!AI55="●"),IF($E55="正規職員","正",IF($E55="契約上の就業時間を記載","","実績を入力")),"-"))</f>
        <v/>
      </c>
      <c r="M55" s="10" t="str">
        <f>IF($B55="","",IF(OR('②-1職員名簿'!AJ55="○",'②-1職員名簿'!AJ55="●"),IF($E55="正規職員","正",IF($E55="契約上の就業時間を記載","","実績を入力")),"-"))</f>
        <v/>
      </c>
      <c r="N55" s="10" t="str">
        <f>IF($B55="","",IF(OR('②-1職員名簿'!AK55="○",'②-1職員名簿'!AK55="●"),IF($E55="正規職員","正",IF($E55="契約上の就業時間を記載","","実績を入力")),"-"))</f>
        <v/>
      </c>
      <c r="O55" s="10" t="str">
        <f>IF($B55="","",IF(OR('②-1職員名簿'!AL55="○",'②-1職員名簿'!AL55="●"),IF($E55="正規職員","正",IF($E55="契約上の就業時間を記載","","実績を入力")),"-"))</f>
        <v/>
      </c>
      <c r="P55" s="10" t="str">
        <f>IF($B55="","",IF(OR('②-1職員名簿'!AM55="○",'②-1職員名簿'!AM55="●"),IF($E55="正規職員","正",IF($E55="契約上の就業時間を記載","","実績を入力")),"-"))</f>
        <v/>
      </c>
      <c r="Q55" s="10" t="str">
        <f>IF($B55="","",IF(OR('②-1職員名簿'!AN55="○",'②-1職員名簿'!AN55="●"),IF($E55="正規職員","正",IF($E55="契約上の就業時間を記載","","実績を入力")),"-"))</f>
        <v/>
      </c>
      <c r="R55" s="101" t="str">
        <f>IF($B55="","",IF(OR('②-1職員名簿'!AC55="○",'②-1職員名簿'!AC55="●"),IF($E55="正規職員","正",IF($E55="契約上の就業時間を記載","",IF($E55&gt;=F$5,"常",F55))),"-"))</f>
        <v/>
      </c>
      <c r="S55" s="101" t="str">
        <f>IF($B55="","",IF(OR('②-1職員名簿'!AD55="○",'②-1職員名簿'!AD55="●"),IF($E55="正規職員","正",IF($E55="契約上の就業時間を記載","",IF($E55&gt;=G$5,"常",G55))),"-"))</f>
        <v/>
      </c>
      <c r="T55" s="101" t="str">
        <f>IF($B55="","",IF(OR('②-1職員名簿'!AE55="○",'②-1職員名簿'!AE55="●"),IF($E55="正規職員","正",IF($E55="契約上の就業時間を記載","",IF($E55&gt;=H$5,"常",H55))),"-"))</f>
        <v/>
      </c>
      <c r="U55" s="101" t="str">
        <f>IF($B55="","",IF(OR('②-1職員名簿'!AF55="○",'②-1職員名簿'!AF55="●"),IF($E55="正規職員","正",IF($E55="契約上の就業時間を記載","",IF($E55&gt;=I$5,"常",I55))),"-"))</f>
        <v/>
      </c>
      <c r="V55" s="101" t="str">
        <f>IF($B55="","",IF(OR('②-1職員名簿'!AG55="○",'②-1職員名簿'!AG55="●"),IF($E55="正規職員","正",IF($E55="契約上の就業時間を記載","",IF($E55&gt;=J$5,"常",J55))),"-"))</f>
        <v/>
      </c>
      <c r="W55" s="101" t="str">
        <f>IF($B55="","",IF(OR('②-1職員名簿'!AH55="○",'②-1職員名簿'!AH55="●"),IF($E55="正規職員","正",IF($E55="契約上の就業時間を記載","",IF($E55&gt;=K$5,"常",K55))),"-"))</f>
        <v/>
      </c>
      <c r="X55" s="101" t="str">
        <f>IF($B55="","",IF(OR('②-1職員名簿'!AI55="○",'②-1職員名簿'!AI55="●"),IF($E55="正規職員","正",IF($E55="契約上の就業時間を記載","",IF($E55&gt;=L$5,"常",L55))),"-"))</f>
        <v/>
      </c>
      <c r="Y55" s="101" t="str">
        <f>IF($B55="","",IF(OR('②-1職員名簿'!AJ55="○",'②-1職員名簿'!AJ55="●"),IF($E55="正規職員","正",IF($E55="契約上の就業時間を記載","",IF($E55&gt;=M$5,"常",M55))),"-"))</f>
        <v/>
      </c>
      <c r="Z55" s="101" t="str">
        <f>IF($B55="","",IF(OR('②-1職員名簿'!AK55="○",'②-1職員名簿'!AK55="●"),IF($E55="正規職員","正",IF($E55="契約上の就業時間を記載","",IF($E55&gt;=N$5,"常",N55))),"-"))</f>
        <v/>
      </c>
      <c r="AA55" s="101" t="str">
        <f>IF($B55="","",IF(OR('②-1職員名簿'!AL55="○",'②-1職員名簿'!AL55="●"),IF($E55="正規職員","正",IF($E55="契約上の就業時間を記載","",IF($E55&gt;=O$5,"常",O55))),"-"))</f>
        <v/>
      </c>
      <c r="AB55" s="101" t="str">
        <f>IF($B55="","",IF(OR('②-1職員名簿'!AM55="○",'②-1職員名簿'!AM55="●"),IF($E55="正規職員","正",IF($E55="契約上の就業時間を記載","",IF($E55&gt;=P$5,"常",P55))),"-"))</f>
        <v/>
      </c>
      <c r="AC55" s="101" t="str">
        <f>IF($B55="","",IF(OR('②-1職員名簿'!AN55="○",'②-1職員名簿'!AN55="●"),IF($E55="正規職員","正",IF($E55="契約上の就業時間を記載","",IF($E55&gt;=Q$5,"常",Q55))),"-"))</f>
        <v/>
      </c>
      <c r="AE55" s="98" t="str">
        <f>IF('②-1職員名簿'!W55="","",'②-1職員名簿'!W55)</f>
        <v/>
      </c>
      <c r="AJ55" s="18" t="str">
        <f t="shared" si="12"/>
        <v>○</v>
      </c>
      <c r="AK55" s="18" t="str">
        <f t="shared" si="13"/>
        <v>○</v>
      </c>
      <c r="AL55" s="18" t="str">
        <f t="shared" si="14"/>
        <v>○</v>
      </c>
      <c r="AM55" s="18" t="str">
        <f t="shared" si="15"/>
        <v>○</v>
      </c>
      <c r="AN55" s="18" t="str">
        <f t="shared" si="16"/>
        <v>○</v>
      </c>
      <c r="AO55" s="18" t="str">
        <f t="shared" si="17"/>
        <v>○</v>
      </c>
      <c r="AP55" s="18" t="str">
        <f t="shared" si="18"/>
        <v>○</v>
      </c>
      <c r="AQ55" s="18" t="str">
        <f t="shared" si="19"/>
        <v>○</v>
      </c>
      <c r="AR55" s="18" t="str">
        <f t="shared" si="20"/>
        <v>○</v>
      </c>
      <c r="AS55" s="18" t="str">
        <f t="shared" si="21"/>
        <v>○</v>
      </c>
      <c r="AT55" s="18" t="str">
        <f t="shared" si="22"/>
        <v>○</v>
      </c>
      <c r="AU55" s="18" t="str">
        <f t="shared" si="23"/>
        <v>○</v>
      </c>
    </row>
    <row r="56" spans="1:47" s="103" customFormat="1" ht="23.15" customHeight="1">
      <c r="A56" s="99">
        <v>50</v>
      </c>
      <c r="B56" s="98" t="str">
        <f>IF('②-1職員名簿'!E56="","",'②-1職員名簿'!Y56)</f>
        <v/>
      </c>
      <c r="C56" s="101" t="str">
        <f>'②-1職員名簿'!BE56</f>
        <v/>
      </c>
      <c r="D56" s="132" t="str">
        <f t="shared" si="9"/>
        <v/>
      </c>
      <c r="E56" s="19" t="str">
        <f>IF($B56="","",IF(AND('②-1職員名簿'!C56="正",'②-1職員名簿'!D56="常"),"正規職員","契約上の就業時間を記載"))</f>
        <v/>
      </c>
      <c r="F56" s="10" t="str">
        <f>IF($B56="","",IF(OR('②-1職員名簿'!AC56="○",'②-1職員名簿'!AC56="●"),IF($E56="正規職員","正",IF($E56="契約上の就業時間を記載","","見込を入力")),"-"))</f>
        <v/>
      </c>
      <c r="G56" s="10" t="str">
        <f>IF($B56="","",IF(OR('②-1職員名簿'!AD56="○",'②-1職員名簿'!AD56="●"),IF($E56="正規職員","正",IF($E56="契約上の就業時間を記載","","実績を入力")),"-"))</f>
        <v/>
      </c>
      <c r="H56" s="10" t="str">
        <f>IF($B56="","",IF(OR('②-1職員名簿'!AE56="○",'②-1職員名簿'!AE56="●"),IF($E56="正規職員","正",IF($E56="契約上の就業時間を記載","","実績を入力")),"-"))</f>
        <v/>
      </c>
      <c r="I56" s="10" t="str">
        <f>IF($B56="","",IF(OR('②-1職員名簿'!AF56="○",'②-1職員名簿'!AF56="●"),IF($E56="正規職員","正",IF($E56="契約上の就業時間を記載","","実績を入力")),"-"))</f>
        <v/>
      </c>
      <c r="J56" s="10" t="str">
        <f>IF($B56="","",IF(OR('②-1職員名簿'!AG56="○",'②-1職員名簿'!AG56="●"),IF($E56="正規職員","正",IF($E56="契約上の就業時間を記載","","実績を入力")),"-"))</f>
        <v/>
      </c>
      <c r="K56" s="10" t="str">
        <f>IF($B56="","",IF(OR('②-1職員名簿'!AH56="○",'②-1職員名簿'!AH56="●"),IF($E56="正規職員","正",IF($E56="契約上の就業時間を記載","","実績を入力")),"-"))</f>
        <v/>
      </c>
      <c r="L56" s="10" t="str">
        <f>IF($B56="","",IF(OR('②-1職員名簿'!AI56="○",'②-1職員名簿'!AI56="●"),IF($E56="正規職員","正",IF($E56="契約上の就業時間を記載","","実績を入力")),"-"))</f>
        <v/>
      </c>
      <c r="M56" s="10" t="str">
        <f>IF($B56="","",IF(OR('②-1職員名簿'!AJ56="○",'②-1職員名簿'!AJ56="●"),IF($E56="正規職員","正",IF($E56="契約上の就業時間を記載","","実績を入力")),"-"))</f>
        <v/>
      </c>
      <c r="N56" s="10" t="str">
        <f>IF($B56="","",IF(OR('②-1職員名簿'!AK56="○",'②-1職員名簿'!AK56="●"),IF($E56="正規職員","正",IF($E56="契約上の就業時間を記載","","実績を入力")),"-"))</f>
        <v/>
      </c>
      <c r="O56" s="10" t="str">
        <f>IF($B56="","",IF(OR('②-1職員名簿'!AL56="○",'②-1職員名簿'!AL56="●"),IF($E56="正規職員","正",IF($E56="契約上の就業時間を記載","","実績を入力")),"-"))</f>
        <v/>
      </c>
      <c r="P56" s="10" t="str">
        <f>IF($B56="","",IF(OR('②-1職員名簿'!AM56="○",'②-1職員名簿'!AM56="●"),IF($E56="正規職員","正",IF($E56="契約上の就業時間を記載","","実績を入力")),"-"))</f>
        <v/>
      </c>
      <c r="Q56" s="10" t="str">
        <f>IF($B56="","",IF(OR('②-1職員名簿'!AN56="○",'②-1職員名簿'!AN56="●"),IF($E56="正規職員","正",IF($E56="契約上の就業時間を記載","","実績を入力")),"-"))</f>
        <v/>
      </c>
      <c r="R56" s="101" t="str">
        <f>IF($B56="","",IF(OR('②-1職員名簿'!AC56="○",'②-1職員名簿'!AC56="●"),IF($E56="正規職員","正",IF($E56="契約上の就業時間を記載","",IF($E56&gt;=F$5,"常",F56))),"-"))</f>
        <v/>
      </c>
      <c r="S56" s="101" t="str">
        <f>IF($B56="","",IF(OR('②-1職員名簿'!AD56="○",'②-1職員名簿'!AD56="●"),IF($E56="正規職員","正",IF($E56="契約上の就業時間を記載","",IF($E56&gt;=G$5,"常",G56))),"-"))</f>
        <v/>
      </c>
      <c r="T56" s="101" t="str">
        <f>IF($B56="","",IF(OR('②-1職員名簿'!AE56="○",'②-1職員名簿'!AE56="●"),IF($E56="正規職員","正",IF($E56="契約上の就業時間を記載","",IF($E56&gt;=H$5,"常",H56))),"-"))</f>
        <v/>
      </c>
      <c r="U56" s="101" t="str">
        <f>IF($B56="","",IF(OR('②-1職員名簿'!AF56="○",'②-1職員名簿'!AF56="●"),IF($E56="正規職員","正",IF($E56="契約上の就業時間を記載","",IF($E56&gt;=I$5,"常",I56))),"-"))</f>
        <v/>
      </c>
      <c r="V56" s="101" t="str">
        <f>IF($B56="","",IF(OR('②-1職員名簿'!AG56="○",'②-1職員名簿'!AG56="●"),IF($E56="正規職員","正",IF($E56="契約上の就業時間を記載","",IF($E56&gt;=J$5,"常",J56))),"-"))</f>
        <v/>
      </c>
      <c r="W56" s="101" t="str">
        <f>IF($B56="","",IF(OR('②-1職員名簿'!AH56="○",'②-1職員名簿'!AH56="●"),IF($E56="正規職員","正",IF($E56="契約上の就業時間を記載","",IF($E56&gt;=K$5,"常",K56))),"-"))</f>
        <v/>
      </c>
      <c r="X56" s="101" t="str">
        <f>IF($B56="","",IF(OR('②-1職員名簿'!AI56="○",'②-1職員名簿'!AI56="●"),IF($E56="正規職員","正",IF($E56="契約上の就業時間を記載","",IF($E56&gt;=L$5,"常",L56))),"-"))</f>
        <v/>
      </c>
      <c r="Y56" s="101" t="str">
        <f>IF($B56="","",IF(OR('②-1職員名簿'!AJ56="○",'②-1職員名簿'!AJ56="●"),IF($E56="正規職員","正",IF($E56="契約上の就業時間を記載","",IF($E56&gt;=M$5,"常",M56))),"-"))</f>
        <v/>
      </c>
      <c r="Z56" s="101" t="str">
        <f>IF($B56="","",IF(OR('②-1職員名簿'!AK56="○",'②-1職員名簿'!AK56="●"),IF($E56="正規職員","正",IF($E56="契約上の就業時間を記載","",IF($E56&gt;=N$5,"常",N56))),"-"))</f>
        <v/>
      </c>
      <c r="AA56" s="101" t="str">
        <f>IF($B56="","",IF(OR('②-1職員名簿'!AL56="○",'②-1職員名簿'!AL56="●"),IF($E56="正規職員","正",IF($E56="契約上の就業時間を記載","",IF($E56&gt;=O$5,"常",O56))),"-"))</f>
        <v/>
      </c>
      <c r="AB56" s="101" t="str">
        <f>IF($B56="","",IF(OR('②-1職員名簿'!AM56="○",'②-1職員名簿'!AM56="●"),IF($E56="正規職員","正",IF($E56="契約上の就業時間を記載","",IF($E56&gt;=P$5,"常",P56))),"-"))</f>
        <v/>
      </c>
      <c r="AC56" s="101" t="str">
        <f>IF($B56="","",IF(OR('②-1職員名簿'!AN56="○",'②-1職員名簿'!AN56="●"),IF($E56="正規職員","正",IF($E56="契約上の就業時間を記載","",IF($E56&gt;=Q$5,"常",Q56))),"-"))</f>
        <v/>
      </c>
      <c r="AE56" s="98" t="str">
        <f>IF('②-1職員名簿'!W56="","",'②-1職員名簿'!W56)</f>
        <v/>
      </c>
      <c r="AJ56" s="18" t="str">
        <f t="shared" si="12"/>
        <v>○</v>
      </c>
      <c r="AK56" s="18" t="str">
        <f t="shared" si="13"/>
        <v>○</v>
      </c>
      <c r="AL56" s="18" t="str">
        <f t="shared" si="14"/>
        <v>○</v>
      </c>
      <c r="AM56" s="18" t="str">
        <f t="shared" si="15"/>
        <v>○</v>
      </c>
      <c r="AN56" s="18" t="str">
        <f t="shared" si="16"/>
        <v>○</v>
      </c>
      <c r="AO56" s="18" t="str">
        <f t="shared" si="17"/>
        <v>○</v>
      </c>
      <c r="AP56" s="18" t="str">
        <f t="shared" si="18"/>
        <v>○</v>
      </c>
      <c r="AQ56" s="18" t="str">
        <f t="shared" si="19"/>
        <v>○</v>
      </c>
      <c r="AR56" s="18" t="str">
        <f t="shared" si="20"/>
        <v>○</v>
      </c>
      <c r="AS56" s="18" t="str">
        <f t="shared" si="21"/>
        <v>○</v>
      </c>
      <c r="AT56" s="18" t="str">
        <f t="shared" si="22"/>
        <v>○</v>
      </c>
      <c r="AU56" s="18" t="str">
        <f t="shared" si="23"/>
        <v>○</v>
      </c>
    </row>
    <row r="57" spans="1:47" s="103" customFormat="1" ht="23.15" customHeight="1">
      <c r="A57" s="99">
        <v>51</v>
      </c>
      <c r="B57" s="98" t="str">
        <f>IF('②-1職員名簿'!E57="","",'②-1職員名簿'!Y57)</f>
        <v/>
      </c>
      <c r="C57" s="101" t="str">
        <f>'②-1職員名簿'!BE57</f>
        <v/>
      </c>
      <c r="D57" s="132" t="str">
        <f t="shared" si="9"/>
        <v/>
      </c>
      <c r="E57" s="19" t="str">
        <f>IF($B57="","",IF(AND('②-1職員名簿'!C57="正",'②-1職員名簿'!D57="常"),"正規職員","契約上の就業時間を記載"))</f>
        <v/>
      </c>
      <c r="F57" s="10" t="str">
        <f>IF($B57="","",IF(OR('②-1職員名簿'!AC57="○",'②-1職員名簿'!AC57="●"),IF($E57="正規職員","正",IF($E57="契約上の就業時間を記載","","見込を入力")),"-"))</f>
        <v/>
      </c>
      <c r="G57" s="10" t="str">
        <f>IF($B57="","",IF(OR('②-1職員名簿'!AD57="○",'②-1職員名簿'!AD57="●"),IF($E57="正規職員","正",IF($E57="契約上の就業時間を記載","","実績を入力")),"-"))</f>
        <v/>
      </c>
      <c r="H57" s="10" t="str">
        <f>IF($B57="","",IF(OR('②-1職員名簿'!AE57="○",'②-1職員名簿'!AE57="●"),IF($E57="正規職員","正",IF($E57="契約上の就業時間を記載","","実績を入力")),"-"))</f>
        <v/>
      </c>
      <c r="I57" s="10" t="str">
        <f>IF($B57="","",IF(OR('②-1職員名簿'!AF57="○",'②-1職員名簿'!AF57="●"),IF($E57="正規職員","正",IF($E57="契約上の就業時間を記載","","実績を入力")),"-"))</f>
        <v/>
      </c>
      <c r="J57" s="10" t="str">
        <f>IF($B57="","",IF(OR('②-1職員名簿'!AG57="○",'②-1職員名簿'!AG57="●"),IF($E57="正規職員","正",IF($E57="契約上の就業時間を記載","","実績を入力")),"-"))</f>
        <v/>
      </c>
      <c r="K57" s="10" t="str">
        <f>IF($B57="","",IF(OR('②-1職員名簿'!AH57="○",'②-1職員名簿'!AH57="●"),IF($E57="正規職員","正",IF($E57="契約上の就業時間を記載","","実績を入力")),"-"))</f>
        <v/>
      </c>
      <c r="L57" s="10" t="str">
        <f>IF($B57="","",IF(OR('②-1職員名簿'!AI57="○",'②-1職員名簿'!AI57="●"),IF($E57="正規職員","正",IF($E57="契約上の就業時間を記載","","実績を入力")),"-"))</f>
        <v/>
      </c>
      <c r="M57" s="10" t="str">
        <f>IF($B57="","",IF(OR('②-1職員名簿'!AJ57="○",'②-1職員名簿'!AJ57="●"),IF($E57="正規職員","正",IF($E57="契約上の就業時間を記載","","実績を入力")),"-"))</f>
        <v/>
      </c>
      <c r="N57" s="10" t="str">
        <f>IF($B57="","",IF(OR('②-1職員名簿'!AK57="○",'②-1職員名簿'!AK57="●"),IF($E57="正規職員","正",IF($E57="契約上の就業時間を記載","","実績を入力")),"-"))</f>
        <v/>
      </c>
      <c r="O57" s="10" t="str">
        <f>IF($B57="","",IF(OR('②-1職員名簿'!AL57="○",'②-1職員名簿'!AL57="●"),IF($E57="正規職員","正",IF($E57="契約上の就業時間を記載","","実績を入力")),"-"))</f>
        <v/>
      </c>
      <c r="P57" s="10" t="str">
        <f>IF($B57="","",IF(OR('②-1職員名簿'!AM57="○",'②-1職員名簿'!AM57="●"),IF($E57="正規職員","正",IF($E57="契約上の就業時間を記載","","実績を入力")),"-"))</f>
        <v/>
      </c>
      <c r="Q57" s="10" t="str">
        <f>IF($B57="","",IF(OR('②-1職員名簿'!AN57="○",'②-1職員名簿'!AN57="●"),IF($E57="正規職員","正",IF($E57="契約上の就業時間を記載","","実績を入力")),"-"))</f>
        <v/>
      </c>
      <c r="R57" s="101" t="str">
        <f>IF($B57="","",IF(OR('②-1職員名簿'!AC57="○",'②-1職員名簿'!AC57="●"),IF($E57="正規職員","正",IF($E57="契約上の就業時間を記載","",IF($E57&gt;=F$5,"常",F57))),"-"))</f>
        <v/>
      </c>
      <c r="S57" s="101" t="str">
        <f>IF($B57="","",IF(OR('②-1職員名簿'!AD57="○",'②-1職員名簿'!AD57="●"),IF($E57="正規職員","正",IF($E57="契約上の就業時間を記載","",IF($E57&gt;=G$5,"常",G57))),"-"))</f>
        <v/>
      </c>
      <c r="T57" s="101" t="str">
        <f>IF($B57="","",IF(OR('②-1職員名簿'!AE57="○",'②-1職員名簿'!AE57="●"),IF($E57="正規職員","正",IF($E57="契約上の就業時間を記載","",IF($E57&gt;=H$5,"常",H57))),"-"))</f>
        <v/>
      </c>
      <c r="U57" s="101" t="str">
        <f>IF($B57="","",IF(OR('②-1職員名簿'!AF57="○",'②-1職員名簿'!AF57="●"),IF($E57="正規職員","正",IF($E57="契約上の就業時間を記載","",IF($E57&gt;=I$5,"常",I57))),"-"))</f>
        <v/>
      </c>
      <c r="V57" s="101" t="str">
        <f>IF($B57="","",IF(OR('②-1職員名簿'!AG57="○",'②-1職員名簿'!AG57="●"),IF($E57="正規職員","正",IF($E57="契約上の就業時間を記載","",IF($E57&gt;=J$5,"常",J57))),"-"))</f>
        <v/>
      </c>
      <c r="W57" s="101" t="str">
        <f>IF($B57="","",IF(OR('②-1職員名簿'!AH57="○",'②-1職員名簿'!AH57="●"),IF($E57="正規職員","正",IF($E57="契約上の就業時間を記載","",IF($E57&gt;=K$5,"常",K57))),"-"))</f>
        <v/>
      </c>
      <c r="X57" s="101" t="str">
        <f>IF($B57="","",IF(OR('②-1職員名簿'!AI57="○",'②-1職員名簿'!AI57="●"),IF($E57="正規職員","正",IF($E57="契約上の就業時間を記載","",IF($E57&gt;=L$5,"常",L57))),"-"))</f>
        <v/>
      </c>
      <c r="Y57" s="101" t="str">
        <f>IF($B57="","",IF(OR('②-1職員名簿'!AJ57="○",'②-1職員名簿'!AJ57="●"),IF($E57="正規職員","正",IF($E57="契約上の就業時間を記載","",IF($E57&gt;=M$5,"常",M57))),"-"))</f>
        <v/>
      </c>
      <c r="Z57" s="101" t="str">
        <f>IF($B57="","",IF(OR('②-1職員名簿'!AK57="○",'②-1職員名簿'!AK57="●"),IF($E57="正規職員","正",IF($E57="契約上の就業時間を記載","",IF($E57&gt;=N$5,"常",N57))),"-"))</f>
        <v/>
      </c>
      <c r="AA57" s="101" t="str">
        <f>IF($B57="","",IF(OR('②-1職員名簿'!AL57="○",'②-1職員名簿'!AL57="●"),IF($E57="正規職員","正",IF($E57="契約上の就業時間を記載","",IF($E57&gt;=O$5,"常",O57))),"-"))</f>
        <v/>
      </c>
      <c r="AB57" s="101" t="str">
        <f>IF($B57="","",IF(OR('②-1職員名簿'!AM57="○",'②-1職員名簿'!AM57="●"),IF($E57="正規職員","正",IF($E57="契約上の就業時間を記載","",IF($E57&gt;=P$5,"常",P57))),"-"))</f>
        <v/>
      </c>
      <c r="AC57" s="101" t="str">
        <f>IF($B57="","",IF(OR('②-1職員名簿'!AN57="○",'②-1職員名簿'!AN57="●"),IF($E57="正規職員","正",IF($E57="契約上の就業時間を記載","",IF($E57&gt;=Q$5,"常",Q57))),"-"))</f>
        <v/>
      </c>
      <c r="AE57" s="98" t="str">
        <f>IF('②-1職員名簿'!W57="","",'②-1職員名簿'!W57)</f>
        <v/>
      </c>
      <c r="AJ57" s="18" t="str">
        <f t="shared" si="12"/>
        <v>○</v>
      </c>
      <c r="AK57" s="18" t="str">
        <f t="shared" si="13"/>
        <v>○</v>
      </c>
      <c r="AL57" s="18" t="str">
        <f t="shared" si="14"/>
        <v>○</v>
      </c>
      <c r="AM57" s="18" t="str">
        <f t="shared" si="15"/>
        <v>○</v>
      </c>
      <c r="AN57" s="18" t="str">
        <f t="shared" si="16"/>
        <v>○</v>
      </c>
      <c r="AO57" s="18" t="str">
        <f t="shared" si="17"/>
        <v>○</v>
      </c>
      <c r="AP57" s="18" t="str">
        <f t="shared" si="18"/>
        <v>○</v>
      </c>
      <c r="AQ57" s="18" t="str">
        <f t="shared" si="19"/>
        <v>○</v>
      </c>
      <c r="AR57" s="18" t="str">
        <f t="shared" si="20"/>
        <v>○</v>
      </c>
      <c r="AS57" s="18" t="str">
        <f t="shared" si="21"/>
        <v>○</v>
      </c>
      <c r="AT57" s="18" t="str">
        <f t="shared" si="22"/>
        <v>○</v>
      </c>
      <c r="AU57" s="18" t="str">
        <f t="shared" si="23"/>
        <v>○</v>
      </c>
    </row>
    <row r="58" spans="1:47" s="103" customFormat="1" ht="23.15" customHeight="1">
      <c r="A58" s="99">
        <v>52</v>
      </c>
      <c r="B58" s="98" t="str">
        <f>IF('②-1職員名簿'!E58="","",'②-1職員名簿'!Y58)</f>
        <v/>
      </c>
      <c r="C58" s="101" t="str">
        <f>'②-1職員名簿'!BE58</f>
        <v/>
      </c>
      <c r="D58" s="132" t="str">
        <f t="shared" si="9"/>
        <v/>
      </c>
      <c r="E58" s="19" t="str">
        <f>IF($B58="","",IF(AND('②-1職員名簿'!C58="正",'②-1職員名簿'!D58="常"),"正規職員","契約上の就業時間を記載"))</f>
        <v/>
      </c>
      <c r="F58" s="10" t="str">
        <f>IF($B58="","",IF(OR('②-1職員名簿'!AC58="○",'②-1職員名簿'!AC58="●"),IF($E58="正規職員","正",IF($E58="契約上の就業時間を記載","","見込を入力")),"-"))</f>
        <v/>
      </c>
      <c r="G58" s="10" t="str">
        <f>IF($B58="","",IF(OR('②-1職員名簿'!AD58="○",'②-1職員名簿'!AD58="●"),IF($E58="正規職員","正",IF($E58="契約上の就業時間を記載","","実績を入力")),"-"))</f>
        <v/>
      </c>
      <c r="H58" s="10" t="str">
        <f>IF($B58="","",IF(OR('②-1職員名簿'!AE58="○",'②-1職員名簿'!AE58="●"),IF($E58="正規職員","正",IF($E58="契約上の就業時間を記載","","実績を入力")),"-"))</f>
        <v/>
      </c>
      <c r="I58" s="10" t="str">
        <f>IF($B58="","",IF(OR('②-1職員名簿'!AF58="○",'②-1職員名簿'!AF58="●"),IF($E58="正規職員","正",IF($E58="契約上の就業時間を記載","","実績を入力")),"-"))</f>
        <v/>
      </c>
      <c r="J58" s="10" t="str">
        <f>IF($B58="","",IF(OR('②-1職員名簿'!AG58="○",'②-1職員名簿'!AG58="●"),IF($E58="正規職員","正",IF($E58="契約上の就業時間を記載","","実績を入力")),"-"))</f>
        <v/>
      </c>
      <c r="K58" s="10" t="str">
        <f>IF($B58="","",IF(OR('②-1職員名簿'!AH58="○",'②-1職員名簿'!AH58="●"),IF($E58="正規職員","正",IF($E58="契約上の就業時間を記載","","実績を入力")),"-"))</f>
        <v/>
      </c>
      <c r="L58" s="10" t="str">
        <f>IF($B58="","",IF(OR('②-1職員名簿'!AI58="○",'②-1職員名簿'!AI58="●"),IF($E58="正規職員","正",IF($E58="契約上の就業時間を記載","","実績を入力")),"-"))</f>
        <v/>
      </c>
      <c r="M58" s="10" t="str">
        <f>IF($B58="","",IF(OR('②-1職員名簿'!AJ58="○",'②-1職員名簿'!AJ58="●"),IF($E58="正規職員","正",IF($E58="契約上の就業時間を記載","","実績を入力")),"-"))</f>
        <v/>
      </c>
      <c r="N58" s="10" t="str">
        <f>IF($B58="","",IF(OR('②-1職員名簿'!AK58="○",'②-1職員名簿'!AK58="●"),IF($E58="正規職員","正",IF($E58="契約上の就業時間を記載","","実績を入力")),"-"))</f>
        <v/>
      </c>
      <c r="O58" s="10" t="str">
        <f>IF($B58="","",IF(OR('②-1職員名簿'!AL58="○",'②-1職員名簿'!AL58="●"),IF($E58="正規職員","正",IF($E58="契約上の就業時間を記載","","実績を入力")),"-"))</f>
        <v/>
      </c>
      <c r="P58" s="10" t="str">
        <f>IF($B58="","",IF(OR('②-1職員名簿'!AM58="○",'②-1職員名簿'!AM58="●"),IF($E58="正規職員","正",IF($E58="契約上の就業時間を記載","","実績を入力")),"-"))</f>
        <v/>
      </c>
      <c r="Q58" s="10" t="str">
        <f>IF($B58="","",IF(OR('②-1職員名簿'!AN58="○",'②-1職員名簿'!AN58="●"),IF($E58="正規職員","正",IF($E58="契約上の就業時間を記載","","実績を入力")),"-"))</f>
        <v/>
      </c>
      <c r="R58" s="101" t="str">
        <f>IF($B58="","",IF(OR('②-1職員名簿'!AC58="○",'②-1職員名簿'!AC58="●"),IF($E58="正規職員","正",IF($E58="契約上の就業時間を記載","",IF($E58&gt;=F$5,"常",F58))),"-"))</f>
        <v/>
      </c>
      <c r="S58" s="101" t="str">
        <f>IF($B58="","",IF(OR('②-1職員名簿'!AD58="○",'②-1職員名簿'!AD58="●"),IF($E58="正規職員","正",IF($E58="契約上の就業時間を記載","",IF($E58&gt;=G$5,"常",G58))),"-"))</f>
        <v/>
      </c>
      <c r="T58" s="101" t="str">
        <f>IF($B58="","",IF(OR('②-1職員名簿'!AE58="○",'②-1職員名簿'!AE58="●"),IF($E58="正規職員","正",IF($E58="契約上の就業時間を記載","",IF($E58&gt;=H$5,"常",H58))),"-"))</f>
        <v/>
      </c>
      <c r="U58" s="101" t="str">
        <f>IF($B58="","",IF(OR('②-1職員名簿'!AF58="○",'②-1職員名簿'!AF58="●"),IF($E58="正規職員","正",IF($E58="契約上の就業時間を記載","",IF($E58&gt;=I$5,"常",I58))),"-"))</f>
        <v/>
      </c>
      <c r="V58" s="101" t="str">
        <f>IF($B58="","",IF(OR('②-1職員名簿'!AG58="○",'②-1職員名簿'!AG58="●"),IF($E58="正規職員","正",IF($E58="契約上の就業時間を記載","",IF($E58&gt;=J$5,"常",J58))),"-"))</f>
        <v/>
      </c>
      <c r="W58" s="101" t="str">
        <f>IF($B58="","",IF(OR('②-1職員名簿'!AH58="○",'②-1職員名簿'!AH58="●"),IF($E58="正規職員","正",IF($E58="契約上の就業時間を記載","",IF($E58&gt;=K$5,"常",K58))),"-"))</f>
        <v/>
      </c>
      <c r="X58" s="101" t="str">
        <f>IF($B58="","",IF(OR('②-1職員名簿'!AI58="○",'②-1職員名簿'!AI58="●"),IF($E58="正規職員","正",IF($E58="契約上の就業時間を記載","",IF($E58&gt;=L$5,"常",L58))),"-"))</f>
        <v/>
      </c>
      <c r="Y58" s="101" t="str">
        <f>IF($B58="","",IF(OR('②-1職員名簿'!AJ58="○",'②-1職員名簿'!AJ58="●"),IF($E58="正規職員","正",IF($E58="契約上の就業時間を記載","",IF($E58&gt;=M$5,"常",M58))),"-"))</f>
        <v/>
      </c>
      <c r="Z58" s="101" t="str">
        <f>IF($B58="","",IF(OR('②-1職員名簿'!AK58="○",'②-1職員名簿'!AK58="●"),IF($E58="正規職員","正",IF($E58="契約上の就業時間を記載","",IF($E58&gt;=N$5,"常",N58))),"-"))</f>
        <v/>
      </c>
      <c r="AA58" s="101" t="str">
        <f>IF($B58="","",IF(OR('②-1職員名簿'!AL58="○",'②-1職員名簿'!AL58="●"),IF($E58="正規職員","正",IF($E58="契約上の就業時間を記載","",IF($E58&gt;=O$5,"常",O58))),"-"))</f>
        <v/>
      </c>
      <c r="AB58" s="101" t="str">
        <f>IF($B58="","",IF(OR('②-1職員名簿'!AM58="○",'②-1職員名簿'!AM58="●"),IF($E58="正規職員","正",IF($E58="契約上の就業時間を記載","",IF($E58&gt;=P$5,"常",P58))),"-"))</f>
        <v/>
      </c>
      <c r="AC58" s="101" t="str">
        <f>IF($B58="","",IF(OR('②-1職員名簿'!AN58="○",'②-1職員名簿'!AN58="●"),IF($E58="正規職員","正",IF($E58="契約上の就業時間を記載","",IF($E58&gt;=Q$5,"常",Q58))),"-"))</f>
        <v/>
      </c>
      <c r="AE58" s="98" t="str">
        <f>IF('②-1職員名簿'!W58="","",'②-1職員名簿'!W58)</f>
        <v/>
      </c>
      <c r="AJ58" s="18" t="str">
        <f t="shared" si="12"/>
        <v>○</v>
      </c>
      <c r="AK58" s="18" t="str">
        <f t="shared" si="13"/>
        <v>○</v>
      </c>
      <c r="AL58" s="18" t="str">
        <f t="shared" si="14"/>
        <v>○</v>
      </c>
      <c r="AM58" s="18" t="str">
        <f t="shared" si="15"/>
        <v>○</v>
      </c>
      <c r="AN58" s="18" t="str">
        <f t="shared" si="16"/>
        <v>○</v>
      </c>
      <c r="AO58" s="18" t="str">
        <f t="shared" si="17"/>
        <v>○</v>
      </c>
      <c r="AP58" s="18" t="str">
        <f t="shared" si="18"/>
        <v>○</v>
      </c>
      <c r="AQ58" s="18" t="str">
        <f t="shared" si="19"/>
        <v>○</v>
      </c>
      <c r="AR58" s="18" t="str">
        <f t="shared" si="20"/>
        <v>○</v>
      </c>
      <c r="AS58" s="18" t="str">
        <f t="shared" si="21"/>
        <v>○</v>
      </c>
      <c r="AT58" s="18" t="str">
        <f t="shared" si="22"/>
        <v>○</v>
      </c>
      <c r="AU58" s="18" t="str">
        <f t="shared" si="23"/>
        <v>○</v>
      </c>
    </row>
    <row r="59" spans="1:47" s="103" customFormat="1" ht="23.15" customHeight="1">
      <c r="A59" s="99">
        <v>53</v>
      </c>
      <c r="B59" s="98" t="str">
        <f>IF('②-1職員名簿'!E59="","",'②-1職員名簿'!Y59)</f>
        <v/>
      </c>
      <c r="C59" s="101" t="str">
        <f>'②-1職員名簿'!BE59</f>
        <v/>
      </c>
      <c r="D59" s="132" t="str">
        <f t="shared" si="9"/>
        <v/>
      </c>
      <c r="E59" s="19" t="str">
        <f>IF($B59="","",IF(AND('②-1職員名簿'!C59="正",'②-1職員名簿'!D59="常"),"正規職員","契約上の就業時間を記載"))</f>
        <v/>
      </c>
      <c r="F59" s="10" t="str">
        <f>IF($B59="","",IF(OR('②-1職員名簿'!AC59="○",'②-1職員名簿'!AC59="●"),IF($E59="正規職員","正",IF($E59="契約上の就業時間を記載","","見込を入力")),"-"))</f>
        <v/>
      </c>
      <c r="G59" s="10" t="str">
        <f>IF($B59="","",IF(OR('②-1職員名簿'!AD59="○",'②-1職員名簿'!AD59="●"),IF($E59="正規職員","正",IF($E59="契約上の就業時間を記載","","実績を入力")),"-"))</f>
        <v/>
      </c>
      <c r="H59" s="10" t="str">
        <f>IF($B59="","",IF(OR('②-1職員名簿'!AE59="○",'②-1職員名簿'!AE59="●"),IF($E59="正規職員","正",IF($E59="契約上の就業時間を記載","","実績を入力")),"-"))</f>
        <v/>
      </c>
      <c r="I59" s="10" t="str">
        <f>IF($B59="","",IF(OR('②-1職員名簿'!AF59="○",'②-1職員名簿'!AF59="●"),IF($E59="正規職員","正",IF($E59="契約上の就業時間を記載","","実績を入力")),"-"))</f>
        <v/>
      </c>
      <c r="J59" s="10" t="str">
        <f>IF($B59="","",IF(OR('②-1職員名簿'!AG59="○",'②-1職員名簿'!AG59="●"),IF($E59="正規職員","正",IF($E59="契約上の就業時間を記載","","実績を入力")),"-"))</f>
        <v/>
      </c>
      <c r="K59" s="10" t="str">
        <f>IF($B59="","",IF(OR('②-1職員名簿'!AH59="○",'②-1職員名簿'!AH59="●"),IF($E59="正規職員","正",IF($E59="契約上の就業時間を記載","","実績を入力")),"-"))</f>
        <v/>
      </c>
      <c r="L59" s="10" t="str">
        <f>IF($B59="","",IF(OR('②-1職員名簿'!AI59="○",'②-1職員名簿'!AI59="●"),IF($E59="正規職員","正",IF($E59="契約上の就業時間を記載","","実績を入力")),"-"))</f>
        <v/>
      </c>
      <c r="M59" s="10" t="str">
        <f>IF($B59="","",IF(OR('②-1職員名簿'!AJ59="○",'②-1職員名簿'!AJ59="●"),IF($E59="正規職員","正",IF($E59="契約上の就業時間を記載","","実績を入力")),"-"))</f>
        <v/>
      </c>
      <c r="N59" s="10" t="str">
        <f>IF($B59="","",IF(OR('②-1職員名簿'!AK59="○",'②-1職員名簿'!AK59="●"),IF($E59="正規職員","正",IF($E59="契約上の就業時間を記載","","実績を入力")),"-"))</f>
        <v/>
      </c>
      <c r="O59" s="10" t="str">
        <f>IF($B59="","",IF(OR('②-1職員名簿'!AL59="○",'②-1職員名簿'!AL59="●"),IF($E59="正規職員","正",IF($E59="契約上の就業時間を記載","","実績を入力")),"-"))</f>
        <v/>
      </c>
      <c r="P59" s="10" t="str">
        <f>IF($B59="","",IF(OR('②-1職員名簿'!AM59="○",'②-1職員名簿'!AM59="●"),IF($E59="正規職員","正",IF($E59="契約上の就業時間を記載","","実績を入力")),"-"))</f>
        <v/>
      </c>
      <c r="Q59" s="10" t="str">
        <f>IF($B59="","",IF(OR('②-1職員名簿'!AN59="○",'②-1職員名簿'!AN59="●"),IF($E59="正規職員","正",IF($E59="契約上の就業時間を記載","","実績を入力")),"-"))</f>
        <v/>
      </c>
      <c r="R59" s="101" t="str">
        <f>IF($B59="","",IF(OR('②-1職員名簿'!AC59="○",'②-1職員名簿'!AC59="●"),IF($E59="正規職員","正",IF($E59="契約上の就業時間を記載","",IF($E59&gt;=F$5,"常",F59))),"-"))</f>
        <v/>
      </c>
      <c r="S59" s="101" t="str">
        <f>IF($B59="","",IF(OR('②-1職員名簿'!AD59="○",'②-1職員名簿'!AD59="●"),IF($E59="正規職員","正",IF($E59="契約上の就業時間を記載","",IF($E59&gt;=G$5,"常",G59))),"-"))</f>
        <v/>
      </c>
      <c r="T59" s="101" t="str">
        <f>IF($B59="","",IF(OR('②-1職員名簿'!AE59="○",'②-1職員名簿'!AE59="●"),IF($E59="正規職員","正",IF($E59="契約上の就業時間を記載","",IF($E59&gt;=H$5,"常",H59))),"-"))</f>
        <v/>
      </c>
      <c r="U59" s="101" t="str">
        <f>IF($B59="","",IF(OR('②-1職員名簿'!AF59="○",'②-1職員名簿'!AF59="●"),IF($E59="正規職員","正",IF($E59="契約上の就業時間を記載","",IF($E59&gt;=I$5,"常",I59))),"-"))</f>
        <v/>
      </c>
      <c r="V59" s="101" t="str">
        <f>IF($B59="","",IF(OR('②-1職員名簿'!AG59="○",'②-1職員名簿'!AG59="●"),IF($E59="正規職員","正",IF($E59="契約上の就業時間を記載","",IF($E59&gt;=J$5,"常",J59))),"-"))</f>
        <v/>
      </c>
      <c r="W59" s="101" t="str">
        <f>IF($B59="","",IF(OR('②-1職員名簿'!AH59="○",'②-1職員名簿'!AH59="●"),IF($E59="正規職員","正",IF($E59="契約上の就業時間を記載","",IF($E59&gt;=K$5,"常",K59))),"-"))</f>
        <v/>
      </c>
      <c r="X59" s="101" t="str">
        <f>IF($B59="","",IF(OR('②-1職員名簿'!AI59="○",'②-1職員名簿'!AI59="●"),IF($E59="正規職員","正",IF($E59="契約上の就業時間を記載","",IF($E59&gt;=L$5,"常",L59))),"-"))</f>
        <v/>
      </c>
      <c r="Y59" s="101" t="str">
        <f>IF($B59="","",IF(OR('②-1職員名簿'!AJ59="○",'②-1職員名簿'!AJ59="●"),IF($E59="正規職員","正",IF($E59="契約上の就業時間を記載","",IF($E59&gt;=M$5,"常",M59))),"-"))</f>
        <v/>
      </c>
      <c r="Z59" s="101" t="str">
        <f>IF($B59="","",IF(OR('②-1職員名簿'!AK59="○",'②-1職員名簿'!AK59="●"),IF($E59="正規職員","正",IF($E59="契約上の就業時間を記載","",IF($E59&gt;=N$5,"常",N59))),"-"))</f>
        <v/>
      </c>
      <c r="AA59" s="101" t="str">
        <f>IF($B59="","",IF(OR('②-1職員名簿'!AL59="○",'②-1職員名簿'!AL59="●"),IF($E59="正規職員","正",IF($E59="契約上の就業時間を記載","",IF($E59&gt;=O$5,"常",O59))),"-"))</f>
        <v/>
      </c>
      <c r="AB59" s="101" t="str">
        <f>IF($B59="","",IF(OR('②-1職員名簿'!AM59="○",'②-1職員名簿'!AM59="●"),IF($E59="正規職員","正",IF($E59="契約上の就業時間を記載","",IF($E59&gt;=P$5,"常",P59))),"-"))</f>
        <v/>
      </c>
      <c r="AC59" s="101" t="str">
        <f>IF($B59="","",IF(OR('②-1職員名簿'!AN59="○",'②-1職員名簿'!AN59="●"),IF($E59="正規職員","正",IF($E59="契約上の就業時間を記載","",IF($E59&gt;=Q$5,"常",Q59))),"-"))</f>
        <v/>
      </c>
      <c r="AE59" s="98" t="str">
        <f>IF('②-1職員名簿'!W59="","",'②-1職員名簿'!W59)</f>
        <v/>
      </c>
      <c r="AJ59" s="18" t="str">
        <f t="shared" si="12"/>
        <v>○</v>
      </c>
      <c r="AK59" s="18" t="str">
        <f t="shared" si="13"/>
        <v>○</v>
      </c>
      <c r="AL59" s="18" t="str">
        <f t="shared" si="14"/>
        <v>○</v>
      </c>
      <c r="AM59" s="18" t="str">
        <f t="shared" si="15"/>
        <v>○</v>
      </c>
      <c r="AN59" s="18" t="str">
        <f t="shared" si="16"/>
        <v>○</v>
      </c>
      <c r="AO59" s="18" t="str">
        <f t="shared" si="17"/>
        <v>○</v>
      </c>
      <c r="AP59" s="18" t="str">
        <f t="shared" si="18"/>
        <v>○</v>
      </c>
      <c r="AQ59" s="18" t="str">
        <f t="shared" si="19"/>
        <v>○</v>
      </c>
      <c r="AR59" s="18" t="str">
        <f t="shared" si="20"/>
        <v>○</v>
      </c>
      <c r="AS59" s="18" t="str">
        <f t="shared" si="21"/>
        <v>○</v>
      </c>
      <c r="AT59" s="18" t="str">
        <f t="shared" si="22"/>
        <v>○</v>
      </c>
      <c r="AU59" s="18" t="str">
        <f t="shared" si="23"/>
        <v>○</v>
      </c>
    </row>
    <row r="60" spans="1:47" s="103" customFormat="1" ht="23.15" customHeight="1">
      <c r="A60" s="99">
        <v>54</v>
      </c>
      <c r="B60" s="98" t="str">
        <f>IF('②-1職員名簿'!E60="","",'②-1職員名簿'!Y60)</f>
        <v/>
      </c>
      <c r="C60" s="101" t="str">
        <f>'②-1職員名簿'!BE60</f>
        <v/>
      </c>
      <c r="D60" s="132" t="str">
        <f t="shared" si="9"/>
        <v/>
      </c>
      <c r="E60" s="19" t="str">
        <f>IF($B60="","",IF(AND('②-1職員名簿'!C60="正",'②-1職員名簿'!D60="常"),"正規職員","契約上の就業時間を記載"))</f>
        <v/>
      </c>
      <c r="F60" s="10" t="str">
        <f>IF($B60="","",IF(OR('②-1職員名簿'!AC60="○",'②-1職員名簿'!AC60="●"),IF($E60="正規職員","正",IF($E60="契約上の就業時間を記載","","見込を入力")),"-"))</f>
        <v/>
      </c>
      <c r="G60" s="10" t="str">
        <f>IF($B60="","",IF(OR('②-1職員名簿'!AD60="○",'②-1職員名簿'!AD60="●"),IF($E60="正規職員","正",IF($E60="契約上の就業時間を記載","","実績を入力")),"-"))</f>
        <v/>
      </c>
      <c r="H60" s="10" t="str">
        <f>IF($B60="","",IF(OR('②-1職員名簿'!AE60="○",'②-1職員名簿'!AE60="●"),IF($E60="正規職員","正",IF($E60="契約上の就業時間を記載","","実績を入力")),"-"))</f>
        <v/>
      </c>
      <c r="I60" s="10" t="str">
        <f>IF($B60="","",IF(OR('②-1職員名簿'!AF60="○",'②-1職員名簿'!AF60="●"),IF($E60="正規職員","正",IF($E60="契約上の就業時間を記載","","実績を入力")),"-"))</f>
        <v/>
      </c>
      <c r="J60" s="10" t="str">
        <f>IF($B60="","",IF(OR('②-1職員名簿'!AG60="○",'②-1職員名簿'!AG60="●"),IF($E60="正規職員","正",IF($E60="契約上の就業時間を記載","","実績を入力")),"-"))</f>
        <v/>
      </c>
      <c r="K60" s="10" t="str">
        <f>IF($B60="","",IF(OR('②-1職員名簿'!AH60="○",'②-1職員名簿'!AH60="●"),IF($E60="正規職員","正",IF($E60="契約上の就業時間を記載","","実績を入力")),"-"))</f>
        <v/>
      </c>
      <c r="L60" s="10" t="str">
        <f>IF($B60="","",IF(OR('②-1職員名簿'!AI60="○",'②-1職員名簿'!AI60="●"),IF($E60="正規職員","正",IF($E60="契約上の就業時間を記載","","実績を入力")),"-"))</f>
        <v/>
      </c>
      <c r="M60" s="10" t="str">
        <f>IF($B60="","",IF(OR('②-1職員名簿'!AJ60="○",'②-1職員名簿'!AJ60="●"),IF($E60="正規職員","正",IF($E60="契約上の就業時間を記載","","実績を入力")),"-"))</f>
        <v/>
      </c>
      <c r="N60" s="10" t="str">
        <f>IF($B60="","",IF(OR('②-1職員名簿'!AK60="○",'②-1職員名簿'!AK60="●"),IF($E60="正規職員","正",IF($E60="契約上の就業時間を記載","","実績を入力")),"-"))</f>
        <v/>
      </c>
      <c r="O60" s="10" t="str">
        <f>IF($B60="","",IF(OR('②-1職員名簿'!AL60="○",'②-1職員名簿'!AL60="●"),IF($E60="正規職員","正",IF($E60="契約上の就業時間を記載","","実績を入力")),"-"))</f>
        <v/>
      </c>
      <c r="P60" s="10" t="str">
        <f>IF($B60="","",IF(OR('②-1職員名簿'!AM60="○",'②-1職員名簿'!AM60="●"),IF($E60="正規職員","正",IF($E60="契約上の就業時間を記載","","実績を入力")),"-"))</f>
        <v/>
      </c>
      <c r="Q60" s="10" t="str">
        <f>IF($B60="","",IF(OR('②-1職員名簿'!AN60="○",'②-1職員名簿'!AN60="●"),IF($E60="正規職員","正",IF($E60="契約上の就業時間を記載","","実績を入力")),"-"))</f>
        <v/>
      </c>
      <c r="R60" s="101" t="str">
        <f>IF($B60="","",IF(OR('②-1職員名簿'!AC60="○",'②-1職員名簿'!AC60="●"),IF($E60="正規職員","正",IF($E60="契約上の就業時間を記載","",IF($E60&gt;=F$5,"常",F60))),"-"))</f>
        <v/>
      </c>
      <c r="S60" s="101" t="str">
        <f>IF($B60="","",IF(OR('②-1職員名簿'!AD60="○",'②-1職員名簿'!AD60="●"),IF($E60="正規職員","正",IF($E60="契約上の就業時間を記載","",IF($E60&gt;=G$5,"常",G60))),"-"))</f>
        <v/>
      </c>
      <c r="T60" s="101" t="str">
        <f>IF($B60="","",IF(OR('②-1職員名簿'!AE60="○",'②-1職員名簿'!AE60="●"),IF($E60="正規職員","正",IF($E60="契約上の就業時間を記載","",IF($E60&gt;=H$5,"常",H60))),"-"))</f>
        <v/>
      </c>
      <c r="U60" s="101" t="str">
        <f>IF($B60="","",IF(OR('②-1職員名簿'!AF60="○",'②-1職員名簿'!AF60="●"),IF($E60="正規職員","正",IF($E60="契約上の就業時間を記載","",IF($E60&gt;=I$5,"常",I60))),"-"))</f>
        <v/>
      </c>
      <c r="V60" s="101" t="str">
        <f>IF($B60="","",IF(OR('②-1職員名簿'!AG60="○",'②-1職員名簿'!AG60="●"),IF($E60="正規職員","正",IF($E60="契約上の就業時間を記載","",IF($E60&gt;=J$5,"常",J60))),"-"))</f>
        <v/>
      </c>
      <c r="W60" s="101" t="str">
        <f>IF($B60="","",IF(OR('②-1職員名簿'!AH60="○",'②-1職員名簿'!AH60="●"),IF($E60="正規職員","正",IF($E60="契約上の就業時間を記載","",IF($E60&gt;=K$5,"常",K60))),"-"))</f>
        <v/>
      </c>
      <c r="X60" s="101" t="str">
        <f>IF($B60="","",IF(OR('②-1職員名簿'!AI60="○",'②-1職員名簿'!AI60="●"),IF($E60="正規職員","正",IF($E60="契約上の就業時間を記載","",IF($E60&gt;=L$5,"常",L60))),"-"))</f>
        <v/>
      </c>
      <c r="Y60" s="101" t="str">
        <f>IF($B60="","",IF(OR('②-1職員名簿'!AJ60="○",'②-1職員名簿'!AJ60="●"),IF($E60="正規職員","正",IF($E60="契約上の就業時間を記載","",IF($E60&gt;=M$5,"常",M60))),"-"))</f>
        <v/>
      </c>
      <c r="Z60" s="101" t="str">
        <f>IF($B60="","",IF(OR('②-1職員名簿'!AK60="○",'②-1職員名簿'!AK60="●"),IF($E60="正規職員","正",IF($E60="契約上の就業時間を記載","",IF($E60&gt;=N$5,"常",N60))),"-"))</f>
        <v/>
      </c>
      <c r="AA60" s="101" t="str">
        <f>IF($B60="","",IF(OR('②-1職員名簿'!AL60="○",'②-1職員名簿'!AL60="●"),IF($E60="正規職員","正",IF($E60="契約上の就業時間を記載","",IF($E60&gt;=O$5,"常",O60))),"-"))</f>
        <v/>
      </c>
      <c r="AB60" s="101" t="str">
        <f>IF($B60="","",IF(OR('②-1職員名簿'!AM60="○",'②-1職員名簿'!AM60="●"),IF($E60="正規職員","正",IF($E60="契約上の就業時間を記載","",IF($E60&gt;=P$5,"常",P60))),"-"))</f>
        <v/>
      </c>
      <c r="AC60" s="101" t="str">
        <f>IF($B60="","",IF(OR('②-1職員名簿'!AN60="○",'②-1職員名簿'!AN60="●"),IF($E60="正規職員","正",IF($E60="契約上の就業時間を記載","",IF($E60&gt;=Q$5,"常",Q60))),"-"))</f>
        <v/>
      </c>
      <c r="AE60" s="98" t="str">
        <f>IF('②-1職員名簿'!W60="","",'②-1職員名簿'!W60)</f>
        <v/>
      </c>
      <c r="AJ60" s="18" t="str">
        <f t="shared" si="12"/>
        <v>○</v>
      </c>
      <c r="AK60" s="18" t="str">
        <f t="shared" si="13"/>
        <v>○</v>
      </c>
      <c r="AL60" s="18" t="str">
        <f t="shared" si="14"/>
        <v>○</v>
      </c>
      <c r="AM60" s="18" t="str">
        <f t="shared" si="15"/>
        <v>○</v>
      </c>
      <c r="AN60" s="18" t="str">
        <f t="shared" si="16"/>
        <v>○</v>
      </c>
      <c r="AO60" s="18" t="str">
        <f t="shared" si="17"/>
        <v>○</v>
      </c>
      <c r="AP60" s="18" t="str">
        <f t="shared" si="18"/>
        <v>○</v>
      </c>
      <c r="AQ60" s="18" t="str">
        <f t="shared" si="19"/>
        <v>○</v>
      </c>
      <c r="AR60" s="18" t="str">
        <f t="shared" si="20"/>
        <v>○</v>
      </c>
      <c r="AS60" s="18" t="str">
        <f t="shared" si="21"/>
        <v>○</v>
      </c>
      <c r="AT60" s="18" t="str">
        <f t="shared" si="22"/>
        <v>○</v>
      </c>
      <c r="AU60" s="18" t="str">
        <f t="shared" si="23"/>
        <v>○</v>
      </c>
    </row>
    <row r="61" spans="1:47" s="103" customFormat="1" ht="23.15" customHeight="1">
      <c r="A61" s="99">
        <v>55</v>
      </c>
      <c r="B61" s="98" t="str">
        <f>IF('②-1職員名簿'!E61="","",'②-1職員名簿'!Y61)</f>
        <v/>
      </c>
      <c r="C61" s="101" t="str">
        <f>'②-1職員名簿'!BE61</f>
        <v/>
      </c>
      <c r="D61" s="132" t="str">
        <f t="shared" si="9"/>
        <v/>
      </c>
      <c r="E61" s="19" t="str">
        <f>IF($B61="","",IF(AND('②-1職員名簿'!C61="正",'②-1職員名簿'!D61="常"),"正規職員","契約上の就業時間を記載"))</f>
        <v/>
      </c>
      <c r="F61" s="10" t="str">
        <f>IF($B61="","",IF(OR('②-1職員名簿'!AC61="○",'②-1職員名簿'!AC61="●"),IF($E61="正規職員","正",IF($E61="契約上の就業時間を記載","","見込を入力")),"-"))</f>
        <v/>
      </c>
      <c r="G61" s="10" t="str">
        <f>IF($B61="","",IF(OR('②-1職員名簿'!AD61="○",'②-1職員名簿'!AD61="●"),IF($E61="正規職員","正",IF($E61="契約上の就業時間を記載","","実績を入力")),"-"))</f>
        <v/>
      </c>
      <c r="H61" s="10" t="str">
        <f>IF($B61="","",IF(OR('②-1職員名簿'!AE61="○",'②-1職員名簿'!AE61="●"),IF($E61="正規職員","正",IF($E61="契約上の就業時間を記載","","実績を入力")),"-"))</f>
        <v/>
      </c>
      <c r="I61" s="10" t="str">
        <f>IF($B61="","",IF(OR('②-1職員名簿'!AF61="○",'②-1職員名簿'!AF61="●"),IF($E61="正規職員","正",IF($E61="契約上の就業時間を記載","","実績を入力")),"-"))</f>
        <v/>
      </c>
      <c r="J61" s="10" t="str">
        <f>IF($B61="","",IF(OR('②-1職員名簿'!AG61="○",'②-1職員名簿'!AG61="●"),IF($E61="正規職員","正",IF($E61="契約上の就業時間を記載","","実績を入力")),"-"))</f>
        <v/>
      </c>
      <c r="K61" s="10" t="str">
        <f>IF($B61="","",IF(OR('②-1職員名簿'!AH61="○",'②-1職員名簿'!AH61="●"),IF($E61="正規職員","正",IF($E61="契約上の就業時間を記載","","実績を入力")),"-"))</f>
        <v/>
      </c>
      <c r="L61" s="10" t="str">
        <f>IF($B61="","",IF(OR('②-1職員名簿'!AI61="○",'②-1職員名簿'!AI61="●"),IF($E61="正規職員","正",IF($E61="契約上の就業時間を記載","","実績を入力")),"-"))</f>
        <v/>
      </c>
      <c r="M61" s="10" t="str">
        <f>IF($B61="","",IF(OR('②-1職員名簿'!AJ61="○",'②-1職員名簿'!AJ61="●"),IF($E61="正規職員","正",IF($E61="契約上の就業時間を記載","","実績を入力")),"-"))</f>
        <v/>
      </c>
      <c r="N61" s="10" t="str">
        <f>IF($B61="","",IF(OR('②-1職員名簿'!AK61="○",'②-1職員名簿'!AK61="●"),IF($E61="正規職員","正",IF($E61="契約上の就業時間を記載","","実績を入力")),"-"))</f>
        <v/>
      </c>
      <c r="O61" s="10" t="str">
        <f>IF($B61="","",IF(OR('②-1職員名簿'!AL61="○",'②-1職員名簿'!AL61="●"),IF($E61="正規職員","正",IF($E61="契約上の就業時間を記載","","実績を入力")),"-"))</f>
        <v/>
      </c>
      <c r="P61" s="10" t="str">
        <f>IF($B61="","",IF(OR('②-1職員名簿'!AM61="○",'②-1職員名簿'!AM61="●"),IF($E61="正規職員","正",IF($E61="契約上の就業時間を記載","","実績を入力")),"-"))</f>
        <v/>
      </c>
      <c r="Q61" s="10" t="str">
        <f>IF($B61="","",IF(OR('②-1職員名簿'!AN61="○",'②-1職員名簿'!AN61="●"),IF($E61="正規職員","正",IF($E61="契約上の就業時間を記載","","実績を入力")),"-"))</f>
        <v/>
      </c>
      <c r="R61" s="101" t="str">
        <f>IF($B61="","",IF(OR('②-1職員名簿'!AC61="○",'②-1職員名簿'!AC61="●"),IF($E61="正規職員","正",IF($E61="契約上の就業時間を記載","",IF($E61&gt;=F$5,"常",F61))),"-"))</f>
        <v/>
      </c>
      <c r="S61" s="101" t="str">
        <f>IF($B61="","",IF(OR('②-1職員名簿'!AD61="○",'②-1職員名簿'!AD61="●"),IF($E61="正規職員","正",IF($E61="契約上の就業時間を記載","",IF($E61&gt;=G$5,"常",G61))),"-"))</f>
        <v/>
      </c>
      <c r="T61" s="101" t="str">
        <f>IF($B61="","",IF(OR('②-1職員名簿'!AE61="○",'②-1職員名簿'!AE61="●"),IF($E61="正規職員","正",IF($E61="契約上の就業時間を記載","",IF($E61&gt;=H$5,"常",H61))),"-"))</f>
        <v/>
      </c>
      <c r="U61" s="101" t="str">
        <f>IF($B61="","",IF(OR('②-1職員名簿'!AF61="○",'②-1職員名簿'!AF61="●"),IF($E61="正規職員","正",IF($E61="契約上の就業時間を記載","",IF($E61&gt;=I$5,"常",I61))),"-"))</f>
        <v/>
      </c>
      <c r="V61" s="101" t="str">
        <f>IF($B61="","",IF(OR('②-1職員名簿'!AG61="○",'②-1職員名簿'!AG61="●"),IF($E61="正規職員","正",IF($E61="契約上の就業時間を記載","",IF($E61&gt;=J$5,"常",J61))),"-"))</f>
        <v/>
      </c>
      <c r="W61" s="101" t="str">
        <f>IF($B61="","",IF(OR('②-1職員名簿'!AH61="○",'②-1職員名簿'!AH61="●"),IF($E61="正規職員","正",IF($E61="契約上の就業時間を記載","",IF($E61&gt;=K$5,"常",K61))),"-"))</f>
        <v/>
      </c>
      <c r="X61" s="101" t="str">
        <f>IF($B61="","",IF(OR('②-1職員名簿'!AI61="○",'②-1職員名簿'!AI61="●"),IF($E61="正規職員","正",IF($E61="契約上の就業時間を記載","",IF($E61&gt;=L$5,"常",L61))),"-"))</f>
        <v/>
      </c>
      <c r="Y61" s="101" t="str">
        <f>IF($B61="","",IF(OR('②-1職員名簿'!AJ61="○",'②-1職員名簿'!AJ61="●"),IF($E61="正規職員","正",IF($E61="契約上の就業時間を記載","",IF($E61&gt;=M$5,"常",M61))),"-"))</f>
        <v/>
      </c>
      <c r="Z61" s="101" t="str">
        <f>IF($B61="","",IF(OR('②-1職員名簿'!AK61="○",'②-1職員名簿'!AK61="●"),IF($E61="正規職員","正",IF($E61="契約上の就業時間を記載","",IF($E61&gt;=N$5,"常",N61))),"-"))</f>
        <v/>
      </c>
      <c r="AA61" s="101" t="str">
        <f>IF($B61="","",IF(OR('②-1職員名簿'!AL61="○",'②-1職員名簿'!AL61="●"),IF($E61="正規職員","正",IF($E61="契約上の就業時間を記載","",IF($E61&gt;=O$5,"常",O61))),"-"))</f>
        <v/>
      </c>
      <c r="AB61" s="101" t="str">
        <f>IF($B61="","",IF(OR('②-1職員名簿'!AM61="○",'②-1職員名簿'!AM61="●"),IF($E61="正規職員","正",IF($E61="契約上の就業時間を記載","",IF($E61&gt;=P$5,"常",P61))),"-"))</f>
        <v/>
      </c>
      <c r="AC61" s="101" t="str">
        <f>IF($B61="","",IF(OR('②-1職員名簿'!AN61="○",'②-1職員名簿'!AN61="●"),IF($E61="正規職員","正",IF($E61="契約上の就業時間を記載","",IF($E61&gt;=Q$5,"常",Q61))),"-"))</f>
        <v/>
      </c>
      <c r="AE61" s="98" t="str">
        <f>IF('②-1職員名簿'!W61="","",'②-1職員名簿'!W61)</f>
        <v/>
      </c>
      <c r="AJ61" s="18" t="str">
        <f t="shared" si="12"/>
        <v>○</v>
      </c>
      <c r="AK61" s="18" t="str">
        <f t="shared" si="13"/>
        <v>○</v>
      </c>
      <c r="AL61" s="18" t="str">
        <f t="shared" si="14"/>
        <v>○</v>
      </c>
      <c r="AM61" s="18" t="str">
        <f t="shared" si="15"/>
        <v>○</v>
      </c>
      <c r="AN61" s="18" t="str">
        <f t="shared" si="16"/>
        <v>○</v>
      </c>
      <c r="AO61" s="18" t="str">
        <f t="shared" si="17"/>
        <v>○</v>
      </c>
      <c r="AP61" s="18" t="str">
        <f t="shared" si="18"/>
        <v>○</v>
      </c>
      <c r="AQ61" s="18" t="str">
        <f t="shared" si="19"/>
        <v>○</v>
      </c>
      <c r="AR61" s="18" t="str">
        <f t="shared" si="20"/>
        <v>○</v>
      </c>
      <c r="AS61" s="18" t="str">
        <f t="shared" si="21"/>
        <v>○</v>
      </c>
      <c r="AT61" s="18" t="str">
        <f t="shared" si="22"/>
        <v>○</v>
      </c>
      <c r="AU61" s="18" t="str">
        <f t="shared" si="23"/>
        <v>○</v>
      </c>
    </row>
    <row r="62" spans="1:47" s="103" customFormat="1" ht="23.15" customHeight="1">
      <c r="A62" s="99">
        <v>56</v>
      </c>
      <c r="B62" s="98" t="str">
        <f>IF('②-1職員名簿'!E62="","",'②-1職員名簿'!Y62)</f>
        <v/>
      </c>
      <c r="C62" s="101" t="str">
        <f>'②-1職員名簿'!BE62</f>
        <v/>
      </c>
      <c r="D62" s="132" t="str">
        <f t="shared" si="9"/>
        <v/>
      </c>
      <c r="E62" s="19" t="str">
        <f>IF($B62="","",IF(AND('②-1職員名簿'!C62="正",'②-1職員名簿'!D62="常"),"正規職員","契約上の就業時間を記載"))</f>
        <v/>
      </c>
      <c r="F62" s="10" t="str">
        <f>IF($B62="","",IF(OR('②-1職員名簿'!AC62="○",'②-1職員名簿'!AC62="●"),IF($E62="正規職員","正",IF($E62="契約上の就業時間を記載","","見込を入力")),"-"))</f>
        <v/>
      </c>
      <c r="G62" s="10" t="str">
        <f>IF($B62="","",IF(OR('②-1職員名簿'!AD62="○",'②-1職員名簿'!AD62="●"),IF($E62="正規職員","正",IF($E62="契約上の就業時間を記載","","実績を入力")),"-"))</f>
        <v/>
      </c>
      <c r="H62" s="10" t="str">
        <f>IF($B62="","",IF(OR('②-1職員名簿'!AE62="○",'②-1職員名簿'!AE62="●"),IF($E62="正規職員","正",IF($E62="契約上の就業時間を記載","","実績を入力")),"-"))</f>
        <v/>
      </c>
      <c r="I62" s="10" t="str">
        <f>IF($B62="","",IF(OR('②-1職員名簿'!AF62="○",'②-1職員名簿'!AF62="●"),IF($E62="正規職員","正",IF($E62="契約上の就業時間を記載","","実績を入力")),"-"))</f>
        <v/>
      </c>
      <c r="J62" s="10" t="str">
        <f>IF($B62="","",IF(OR('②-1職員名簿'!AG62="○",'②-1職員名簿'!AG62="●"),IF($E62="正規職員","正",IF($E62="契約上の就業時間を記載","","実績を入力")),"-"))</f>
        <v/>
      </c>
      <c r="K62" s="10" t="str">
        <f>IF($B62="","",IF(OR('②-1職員名簿'!AH62="○",'②-1職員名簿'!AH62="●"),IF($E62="正規職員","正",IF($E62="契約上の就業時間を記載","","実績を入力")),"-"))</f>
        <v/>
      </c>
      <c r="L62" s="10" t="str">
        <f>IF($B62="","",IF(OR('②-1職員名簿'!AI62="○",'②-1職員名簿'!AI62="●"),IF($E62="正規職員","正",IF($E62="契約上の就業時間を記載","","実績を入力")),"-"))</f>
        <v/>
      </c>
      <c r="M62" s="10" t="str">
        <f>IF($B62="","",IF(OR('②-1職員名簿'!AJ62="○",'②-1職員名簿'!AJ62="●"),IF($E62="正規職員","正",IF($E62="契約上の就業時間を記載","","実績を入力")),"-"))</f>
        <v/>
      </c>
      <c r="N62" s="10" t="str">
        <f>IF($B62="","",IF(OR('②-1職員名簿'!AK62="○",'②-1職員名簿'!AK62="●"),IF($E62="正規職員","正",IF($E62="契約上の就業時間を記載","","実績を入力")),"-"))</f>
        <v/>
      </c>
      <c r="O62" s="10" t="str">
        <f>IF($B62="","",IF(OR('②-1職員名簿'!AL62="○",'②-1職員名簿'!AL62="●"),IF($E62="正規職員","正",IF($E62="契約上の就業時間を記載","","実績を入力")),"-"))</f>
        <v/>
      </c>
      <c r="P62" s="10" t="str">
        <f>IF($B62="","",IF(OR('②-1職員名簿'!AM62="○",'②-1職員名簿'!AM62="●"),IF($E62="正規職員","正",IF($E62="契約上の就業時間を記載","","実績を入力")),"-"))</f>
        <v/>
      </c>
      <c r="Q62" s="10" t="str">
        <f>IF($B62="","",IF(OR('②-1職員名簿'!AN62="○",'②-1職員名簿'!AN62="●"),IF($E62="正規職員","正",IF($E62="契約上の就業時間を記載","","実績を入力")),"-"))</f>
        <v/>
      </c>
      <c r="R62" s="101" t="str">
        <f>IF($B62="","",IF(OR('②-1職員名簿'!AC62="○",'②-1職員名簿'!AC62="●"),IF($E62="正規職員","正",IF($E62="契約上の就業時間を記載","",IF($E62&gt;=F$5,"常",F62))),"-"))</f>
        <v/>
      </c>
      <c r="S62" s="101" t="str">
        <f>IF($B62="","",IF(OR('②-1職員名簿'!AD62="○",'②-1職員名簿'!AD62="●"),IF($E62="正規職員","正",IF($E62="契約上の就業時間を記載","",IF($E62&gt;=G$5,"常",G62))),"-"))</f>
        <v/>
      </c>
      <c r="T62" s="101" t="str">
        <f>IF($B62="","",IF(OR('②-1職員名簿'!AE62="○",'②-1職員名簿'!AE62="●"),IF($E62="正規職員","正",IF($E62="契約上の就業時間を記載","",IF($E62&gt;=H$5,"常",H62))),"-"))</f>
        <v/>
      </c>
      <c r="U62" s="101" t="str">
        <f>IF($B62="","",IF(OR('②-1職員名簿'!AF62="○",'②-1職員名簿'!AF62="●"),IF($E62="正規職員","正",IF($E62="契約上の就業時間を記載","",IF($E62&gt;=I$5,"常",I62))),"-"))</f>
        <v/>
      </c>
      <c r="V62" s="101" t="str">
        <f>IF($B62="","",IF(OR('②-1職員名簿'!AG62="○",'②-1職員名簿'!AG62="●"),IF($E62="正規職員","正",IF($E62="契約上の就業時間を記載","",IF($E62&gt;=J$5,"常",J62))),"-"))</f>
        <v/>
      </c>
      <c r="W62" s="101" t="str">
        <f>IF($B62="","",IF(OR('②-1職員名簿'!AH62="○",'②-1職員名簿'!AH62="●"),IF($E62="正規職員","正",IF($E62="契約上の就業時間を記載","",IF($E62&gt;=K$5,"常",K62))),"-"))</f>
        <v/>
      </c>
      <c r="X62" s="101" t="str">
        <f>IF($B62="","",IF(OR('②-1職員名簿'!AI62="○",'②-1職員名簿'!AI62="●"),IF($E62="正規職員","正",IF($E62="契約上の就業時間を記載","",IF($E62&gt;=L$5,"常",L62))),"-"))</f>
        <v/>
      </c>
      <c r="Y62" s="101" t="str">
        <f>IF($B62="","",IF(OR('②-1職員名簿'!AJ62="○",'②-1職員名簿'!AJ62="●"),IF($E62="正規職員","正",IF($E62="契約上の就業時間を記載","",IF($E62&gt;=M$5,"常",M62))),"-"))</f>
        <v/>
      </c>
      <c r="Z62" s="101" t="str">
        <f>IF($B62="","",IF(OR('②-1職員名簿'!AK62="○",'②-1職員名簿'!AK62="●"),IF($E62="正規職員","正",IF($E62="契約上の就業時間を記載","",IF($E62&gt;=N$5,"常",N62))),"-"))</f>
        <v/>
      </c>
      <c r="AA62" s="101" t="str">
        <f>IF($B62="","",IF(OR('②-1職員名簿'!AL62="○",'②-1職員名簿'!AL62="●"),IF($E62="正規職員","正",IF($E62="契約上の就業時間を記載","",IF($E62&gt;=O$5,"常",O62))),"-"))</f>
        <v/>
      </c>
      <c r="AB62" s="101" t="str">
        <f>IF($B62="","",IF(OR('②-1職員名簿'!AM62="○",'②-1職員名簿'!AM62="●"),IF($E62="正規職員","正",IF($E62="契約上の就業時間を記載","",IF($E62&gt;=P$5,"常",P62))),"-"))</f>
        <v/>
      </c>
      <c r="AC62" s="101" t="str">
        <f>IF($B62="","",IF(OR('②-1職員名簿'!AN62="○",'②-1職員名簿'!AN62="●"),IF($E62="正規職員","正",IF($E62="契約上の就業時間を記載","",IF($E62&gt;=Q$5,"常",Q62))),"-"))</f>
        <v/>
      </c>
      <c r="AE62" s="98" t="str">
        <f>IF('②-1職員名簿'!W62="","",'②-1職員名簿'!W62)</f>
        <v/>
      </c>
      <c r="AJ62" s="18" t="str">
        <f t="shared" si="12"/>
        <v>○</v>
      </c>
      <c r="AK62" s="18" t="str">
        <f t="shared" si="13"/>
        <v>○</v>
      </c>
      <c r="AL62" s="18" t="str">
        <f t="shared" si="14"/>
        <v>○</v>
      </c>
      <c r="AM62" s="18" t="str">
        <f t="shared" si="15"/>
        <v>○</v>
      </c>
      <c r="AN62" s="18" t="str">
        <f t="shared" si="16"/>
        <v>○</v>
      </c>
      <c r="AO62" s="18" t="str">
        <f t="shared" si="17"/>
        <v>○</v>
      </c>
      <c r="AP62" s="18" t="str">
        <f t="shared" si="18"/>
        <v>○</v>
      </c>
      <c r="AQ62" s="18" t="str">
        <f t="shared" si="19"/>
        <v>○</v>
      </c>
      <c r="AR62" s="18" t="str">
        <f t="shared" si="20"/>
        <v>○</v>
      </c>
      <c r="AS62" s="18" t="str">
        <f t="shared" si="21"/>
        <v>○</v>
      </c>
      <c r="AT62" s="18" t="str">
        <f t="shared" si="22"/>
        <v>○</v>
      </c>
      <c r="AU62" s="18" t="str">
        <f t="shared" si="23"/>
        <v>○</v>
      </c>
    </row>
    <row r="63" spans="1:47" s="103" customFormat="1" ht="23.15" customHeight="1">
      <c r="A63" s="99">
        <v>57</v>
      </c>
      <c r="B63" s="98" t="str">
        <f>IF('②-1職員名簿'!E63="","",'②-1職員名簿'!Y63)</f>
        <v/>
      </c>
      <c r="C63" s="101" t="str">
        <f>'②-1職員名簿'!BE63</f>
        <v/>
      </c>
      <c r="D63" s="132" t="str">
        <f t="shared" si="9"/>
        <v/>
      </c>
      <c r="E63" s="19" t="str">
        <f>IF($B63="","",IF(AND('②-1職員名簿'!C63="正",'②-1職員名簿'!D63="常"),"正規職員","契約上の就業時間を記載"))</f>
        <v/>
      </c>
      <c r="F63" s="10" t="str">
        <f>IF($B63="","",IF(OR('②-1職員名簿'!AC63="○",'②-1職員名簿'!AC63="●"),IF($E63="正規職員","正",IF($E63="契約上の就業時間を記載","","見込を入力")),"-"))</f>
        <v/>
      </c>
      <c r="G63" s="10" t="str">
        <f>IF($B63="","",IF(OR('②-1職員名簿'!AD63="○",'②-1職員名簿'!AD63="●"),IF($E63="正規職員","正",IF($E63="契約上の就業時間を記載","","実績を入力")),"-"))</f>
        <v/>
      </c>
      <c r="H63" s="10" t="str">
        <f>IF($B63="","",IF(OR('②-1職員名簿'!AE63="○",'②-1職員名簿'!AE63="●"),IF($E63="正規職員","正",IF($E63="契約上の就業時間を記載","","実績を入力")),"-"))</f>
        <v/>
      </c>
      <c r="I63" s="10" t="str">
        <f>IF($B63="","",IF(OR('②-1職員名簿'!AF63="○",'②-1職員名簿'!AF63="●"),IF($E63="正規職員","正",IF($E63="契約上の就業時間を記載","","実績を入力")),"-"))</f>
        <v/>
      </c>
      <c r="J63" s="10" t="str">
        <f>IF($B63="","",IF(OR('②-1職員名簿'!AG63="○",'②-1職員名簿'!AG63="●"),IF($E63="正規職員","正",IF($E63="契約上の就業時間を記載","","実績を入力")),"-"))</f>
        <v/>
      </c>
      <c r="K63" s="10" t="str">
        <f>IF($B63="","",IF(OR('②-1職員名簿'!AH63="○",'②-1職員名簿'!AH63="●"),IF($E63="正規職員","正",IF($E63="契約上の就業時間を記載","","実績を入力")),"-"))</f>
        <v/>
      </c>
      <c r="L63" s="10" t="str">
        <f>IF($B63="","",IF(OR('②-1職員名簿'!AI63="○",'②-1職員名簿'!AI63="●"),IF($E63="正規職員","正",IF($E63="契約上の就業時間を記載","","実績を入力")),"-"))</f>
        <v/>
      </c>
      <c r="M63" s="10" t="str">
        <f>IF($B63="","",IF(OR('②-1職員名簿'!AJ63="○",'②-1職員名簿'!AJ63="●"),IF($E63="正規職員","正",IF($E63="契約上の就業時間を記載","","実績を入力")),"-"))</f>
        <v/>
      </c>
      <c r="N63" s="10" t="str">
        <f>IF($B63="","",IF(OR('②-1職員名簿'!AK63="○",'②-1職員名簿'!AK63="●"),IF($E63="正規職員","正",IF($E63="契約上の就業時間を記載","","実績を入力")),"-"))</f>
        <v/>
      </c>
      <c r="O63" s="10" t="str">
        <f>IF($B63="","",IF(OR('②-1職員名簿'!AL63="○",'②-1職員名簿'!AL63="●"),IF($E63="正規職員","正",IF($E63="契約上の就業時間を記載","","実績を入力")),"-"))</f>
        <v/>
      </c>
      <c r="P63" s="10" t="str">
        <f>IF($B63="","",IF(OR('②-1職員名簿'!AM63="○",'②-1職員名簿'!AM63="●"),IF($E63="正規職員","正",IF($E63="契約上の就業時間を記載","","実績を入力")),"-"))</f>
        <v/>
      </c>
      <c r="Q63" s="10" t="str">
        <f>IF($B63="","",IF(OR('②-1職員名簿'!AN63="○",'②-1職員名簿'!AN63="●"),IF($E63="正規職員","正",IF($E63="契約上の就業時間を記載","","実績を入力")),"-"))</f>
        <v/>
      </c>
      <c r="R63" s="101" t="str">
        <f>IF($B63="","",IF(OR('②-1職員名簿'!AC63="○",'②-1職員名簿'!AC63="●"),IF($E63="正規職員","正",IF($E63="契約上の就業時間を記載","",IF($E63&gt;=F$5,"常",F63))),"-"))</f>
        <v/>
      </c>
      <c r="S63" s="101" t="str">
        <f>IF($B63="","",IF(OR('②-1職員名簿'!AD63="○",'②-1職員名簿'!AD63="●"),IF($E63="正規職員","正",IF($E63="契約上の就業時間を記載","",IF($E63&gt;=G$5,"常",G63))),"-"))</f>
        <v/>
      </c>
      <c r="T63" s="101" t="str">
        <f>IF($B63="","",IF(OR('②-1職員名簿'!AE63="○",'②-1職員名簿'!AE63="●"),IF($E63="正規職員","正",IF($E63="契約上の就業時間を記載","",IF($E63&gt;=H$5,"常",H63))),"-"))</f>
        <v/>
      </c>
      <c r="U63" s="101" t="str">
        <f>IF($B63="","",IF(OR('②-1職員名簿'!AF63="○",'②-1職員名簿'!AF63="●"),IF($E63="正規職員","正",IF($E63="契約上の就業時間を記載","",IF($E63&gt;=I$5,"常",I63))),"-"))</f>
        <v/>
      </c>
      <c r="V63" s="101" t="str">
        <f>IF($B63="","",IF(OR('②-1職員名簿'!AG63="○",'②-1職員名簿'!AG63="●"),IF($E63="正規職員","正",IF($E63="契約上の就業時間を記載","",IF($E63&gt;=J$5,"常",J63))),"-"))</f>
        <v/>
      </c>
      <c r="W63" s="101" t="str">
        <f>IF($B63="","",IF(OR('②-1職員名簿'!AH63="○",'②-1職員名簿'!AH63="●"),IF($E63="正規職員","正",IF($E63="契約上の就業時間を記載","",IF($E63&gt;=K$5,"常",K63))),"-"))</f>
        <v/>
      </c>
      <c r="X63" s="101" t="str">
        <f>IF($B63="","",IF(OR('②-1職員名簿'!AI63="○",'②-1職員名簿'!AI63="●"),IF($E63="正規職員","正",IF($E63="契約上の就業時間を記載","",IF($E63&gt;=L$5,"常",L63))),"-"))</f>
        <v/>
      </c>
      <c r="Y63" s="101" t="str">
        <f>IF($B63="","",IF(OR('②-1職員名簿'!AJ63="○",'②-1職員名簿'!AJ63="●"),IF($E63="正規職員","正",IF($E63="契約上の就業時間を記載","",IF($E63&gt;=M$5,"常",M63))),"-"))</f>
        <v/>
      </c>
      <c r="Z63" s="101" t="str">
        <f>IF($B63="","",IF(OR('②-1職員名簿'!AK63="○",'②-1職員名簿'!AK63="●"),IF($E63="正規職員","正",IF($E63="契約上の就業時間を記載","",IF($E63&gt;=N$5,"常",N63))),"-"))</f>
        <v/>
      </c>
      <c r="AA63" s="101" t="str">
        <f>IF($B63="","",IF(OR('②-1職員名簿'!AL63="○",'②-1職員名簿'!AL63="●"),IF($E63="正規職員","正",IF($E63="契約上の就業時間を記載","",IF($E63&gt;=O$5,"常",O63))),"-"))</f>
        <v/>
      </c>
      <c r="AB63" s="101" t="str">
        <f>IF($B63="","",IF(OR('②-1職員名簿'!AM63="○",'②-1職員名簿'!AM63="●"),IF($E63="正規職員","正",IF($E63="契約上の就業時間を記載","",IF($E63&gt;=P$5,"常",P63))),"-"))</f>
        <v/>
      </c>
      <c r="AC63" s="101" t="str">
        <f>IF($B63="","",IF(OR('②-1職員名簿'!AN63="○",'②-1職員名簿'!AN63="●"),IF($E63="正規職員","正",IF($E63="契約上の就業時間を記載","",IF($E63&gt;=Q$5,"常",Q63))),"-"))</f>
        <v/>
      </c>
      <c r="AE63" s="98" t="str">
        <f>IF('②-1職員名簿'!W63="","",'②-1職員名簿'!W63)</f>
        <v/>
      </c>
      <c r="AJ63" s="18" t="str">
        <f t="shared" si="12"/>
        <v>○</v>
      </c>
      <c r="AK63" s="18" t="str">
        <f t="shared" si="13"/>
        <v>○</v>
      </c>
      <c r="AL63" s="18" t="str">
        <f t="shared" si="14"/>
        <v>○</v>
      </c>
      <c r="AM63" s="18" t="str">
        <f t="shared" si="15"/>
        <v>○</v>
      </c>
      <c r="AN63" s="18" t="str">
        <f t="shared" si="16"/>
        <v>○</v>
      </c>
      <c r="AO63" s="18" t="str">
        <f t="shared" si="17"/>
        <v>○</v>
      </c>
      <c r="AP63" s="18" t="str">
        <f t="shared" si="18"/>
        <v>○</v>
      </c>
      <c r="AQ63" s="18" t="str">
        <f t="shared" si="19"/>
        <v>○</v>
      </c>
      <c r="AR63" s="18" t="str">
        <f t="shared" si="20"/>
        <v>○</v>
      </c>
      <c r="AS63" s="18" t="str">
        <f t="shared" si="21"/>
        <v>○</v>
      </c>
      <c r="AT63" s="18" t="str">
        <f t="shared" si="22"/>
        <v>○</v>
      </c>
      <c r="AU63" s="18" t="str">
        <f t="shared" si="23"/>
        <v>○</v>
      </c>
    </row>
    <row r="64" spans="1:47" s="103" customFormat="1" ht="23.15" customHeight="1">
      <c r="A64" s="99">
        <v>58</v>
      </c>
      <c r="B64" s="98" t="str">
        <f>IF('②-1職員名簿'!E64="","",'②-1職員名簿'!Y64)</f>
        <v/>
      </c>
      <c r="C64" s="101" t="str">
        <f>'②-1職員名簿'!BE64</f>
        <v/>
      </c>
      <c r="D64" s="132" t="str">
        <f t="shared" si="9"/>
        <v/>
      </c>
      <c r="E64" s="19" t="str">
        <f>IF($B64="","",IF(AND('②-1職員名簿'!C64="正",'②-1職員名簿'!D64="常"),"正規職員","契約上の就業時間を記載"))</f>
        <v/>
      </c>
      <c r="F64" s="10" t="str">
        <f>IF($B64="","",IF(OR('②-1職員名簿'!AC64="○",'②-1職員名簿'!AC64="●"),IF($E64="正規職員","正",IF($E64="契約上の就業時間を記載","","見込を入力")),"-"))</f>
        <v/>
      </c>
      <c r="G64" s="10" t="str">
        <f>IF($B64="","",IF(OR('②-1職員名簿'!AD64="○",'②-1職員名簿'!AD64="●"),IF($E64="正規職員","正",IF($E64="契約上の就業時間を記載","","実績を入力")),"-"))</f>
        <v/>
      </c>
      <c r="H64" s="10" t="str">
        <f>IF($B64="","",IF(OR('②-1職員名簿'!AE64="○",'②-1職員名簿'!AE64="●"),IF($E64="正規職員","正",IF($E64="契約上の就業時間を記載","","実績を入力")),"-"))</f>
        <v/>
      </c>
      <c r="I64" s="10" t="str">
        <f>IF($B64="","",IF(OR('②-1職員名簿'!AF64="○",'②-1職員名簿'!AF64="●"),IF($E64="正規職員","正",IF($E64="契約上の就業時間を記載","","実績を入力")),"-"))</f>
        <v/>
      </c>
      <c r="J64" s="10" t="str">
        <f>IF($B64="","",IF(OR('②-1職員名簿'!AG64="○",'②-1職員名簿'!AG64="●"),IF($E64="正規職員","正",IF($E64="契約上の就業時間を記載","","実績を入力")),"-"))</f>
        <v/>
      </c>
      <c r="K64" s="10" t="str">
        <f>IF($B64="","",IF(OR('②-1職員名簿'!AH64="○",'②-1職員名簿'!AH64="●"),IF($E64="正規職員","正",IF($E64="契約上の就業時間を記載","","実績を入力")),"-"))</f>
        <v/>
      </c>
      <c r="L64" s="10" t="str">
        <f>IF($B64="","",IF(OR('②-1職員名簿'!AI64="○",'②-1職員名簿'!AI64="●"),IF($E64="正規職員","正",IF($E64="契約上の就業時間を記載","","実績を入力")),"-"))</f>
        <v/>
      </c>
      <c r="M64" s="10" t="str">
        <f>IF($B64="","",IF(OR('②-1職員名簿'!AJ64="○",'②-1職員名簿'!AJ64="●"),IF($E64="正規職員","正",IF($E64="契約上の就業時間を記載","","実績を入力")),"-"))</f>
        <v/>
      </c>
      <c r="N64" s="10" t="str">
        <f>IF($B64="","",IF(OR('②-1職員名簿'!AK64="○",'②-1職員名簿'!AK64="●"),IF($E64="正規職員","正",IF($E64="契約上の就業時間を記載","","実績を入力")),"-"))</f>
        <v/>
      </c>
      <c r="O64" s="10" t="str">
        <f>IF($B64="","",IF(OR('②-1職員名簿'!AL64="○",'②-1職員名簿'!AL64="●"),IF($E64="正規職員","正",IF($E64="契約上の就業時間を記載","","実績を入力")),"-"))</f>
        <v/>
      </c>
      <c r="P64" s="10" t="str">
        <f>IF($B64="","",IF(OR('②-1職員名簿'!AM64="○",'②-1職員名簿'!AM64="●"),IF($E64="正規職員","正",IF($E64="契約上の就業時間を記載","","実績を入力")),"-"))</f>
        <v/>
      </c>
      <c r="Q64" s="10" t="str">
        <f>IF($B64="","",IF(OR('②-1職員名簿'!AN64="○",'②-1職員名簿'!AN64="●"),IF($E64="正規職員","正",IF($E64="契約上の就業時間を記載","","実績を入力")),"-"))</f>
        <v/>
      </c>
      <c r="R64" s="101" t="str">
        <f>IF($B64="","",IF(OR('②-1職員名簿'!AC64="○",'②-1職員名簿'!AC64="●"),IF($E64="正規職員","正",IF($E64="契約上の就業時間を記載","",IF($E64&gt;=F$5,"常",F64))),"-"))</f>
        <v/>
      </c>
      <c r="S64" s="101" t="str">
        <f>IF($B64="","",IF(OR('②-1職員名簿'!AD64="○",'②-1職員名簿'!AD64="●"),IF($E64="正規職員","正",IF($E64="契約上の就業時間を記載","",IF($E64&gt;=G$5,"常",G64))),"-"))</f>
        <v/>
      </c>
      <c r="T64" s="101" t="str">
        <f>IF($B64="","",IF(OR('②-1職員名簿'!AE64="○",'②-1職員名簿'!AE64="●"),IF($E64="正規職員","正",IF($E64="契約上の就業時間を記載","",IF($E64&gt;=H$5,"常",H64))),"-"))</f>
        <v/>
      </c>
      <c r="U64" s="101" t="str">
        <f>IF($B64="","",IF(OR('②-1職員名簿'!AF64="○",'②-1職員名簿'!AF64="●"),IF($E64="正規職員","正",IF($E64="契約上の就業時間を記載","",IF($E64&gt;=I$5,"常",I64))),"-"))</f>
        <v/>
      </c>
      <c r="V64" s="101" t="str">
        <f>IF($B64="","",IF(OR('②-1職員名簿'!AG64="○",'②-1職員名簿'!AG64="●"),IF($E64="正規職員","正",IF($E64="契約上の就業時間を記載","",IF($E64&gt;=J$5,"常",J64))),"-"))</f>
        <v/>
      </c>
      <c r="W64" s="101" t="str">
        <f>IF($B64="","",IF(OR('②-1職員名簿'!AH64="○",'②-1職員名簿'!AH64="●"),IF($E64="正規職員","正",IF($E64="契約上の就業時間を記載","",IF($E64&gt;=K$5,"常",K64))),"-"))</f>
        <v/>
      </c>
      <c r="X64" s="101" t="str">
        <f>IF($B64="","",IF(OR('②-1職員名簿'!AI64="○",'②-1職員名簿'!AI64="●"),IF($E64="正規職員","正",IF($E64="契約上の就業時間を記載","",IF($E64&gt;=L$5,"常",L64))),"-"))</f>
        <v/>
      </c>
      <c r="Y64" s="101" t="str">
        <f>IF($B64="","",IF(OR('②-1職員名簿'!AJ64="○",'②-1職員名簿'!AJ64="●"),IF($E64="正規職員","正",IF($E64="契約上の就業時間を記載","",IF($E64&gt;=M$5,"常",M64))),"-"))</f>
        <v/>
      </c>
      <c r="Z64" s="101" t="str">
        <f>IF($B64="","",IF(OR('②-1職員名簿'!AK64="○",'②-1職員名簿'!AK64="●"),IF($E64="正規職員","正",IF($E64="契約上の就業時間を記載","",IF($E64&gt;=N$5,"常",N64))),"-"))</f>
        <v/>
      </c>
      <c r="AA64" s="101" t="str">
        <f>IF($B64="","",IF(OR('②-1職員名簿'!AL64="○",'②-1職員名簿'!AL64="●"),IF($E64="正規職員","正",IF($E64="契約上の就業時間を記載","",IF($E64&gt;=O$5,"常",O64))),"-"))</f>
        <v/>
      </c>
      <c r="AB64" s="101" t="str">
        <f>IF($B64="","",IF(OR('②-1職員名簿'!AM64="○",'②-1職員名簿'!AM64="●"),IF($E64="正規職員","正",IF($E64="契約上の就業時間を記載","",IF($E64&gt;=P$5,"常",P64))),"-"))</f>
        <v/>
      </c>
      <c r="AC64" s="101" t="str">
        <f>IF($B64="","",IF(OR('②-1職員名簿'!AN64="○",'②-1職員名簿'!AN64="●"),IF($E64="正規職員","正",IF($E64="契約上の就業時間を記載","",IF($E64&gt;=Q$5,"常",Q64))),"-"))</f>
        <v/>
      </c>
      <c r="AE64" s="98" t="str">
        <f>IF('②-1職員名簿'!W64="","",'②-1職員名簿'!W64)</f>
        <v/>
      </c>
      <c r="AJ64" s="18" t="str">
        <f t="shared" si="12"/>
        <v>○</v>
      </c>
      <c r="AK64" s="18" t="str">
        <f t="shared" si="13"/>
        <v>○</v>
      </c>
      <c r="AL64" s="18" t="str">
        <f t="shared" si="14"/>
        <v>○</v>
      </c>
      <c r="AM64" s="18" t="str">
        <f t="shared" si="15"/>
        <v>○</v>
      </c>
      <c r="AN64" s="18" t="str">
        <f t="shared" si="16"/>
        <v>○</v>
      </c>
      <c r="AO64" s="18" t="str">
        <f t="shared" si="17"/>
        <v>○</v>
      </c>
      <c r="AP64" s="18" t="str">
        <f t="shared" si="18"/>
        <v>○</v>
      </c>
      <c r="AQ64" s="18" t="str">
        <f t="shared" si="19"/>
        <v>○</v>
      </c>
      <c r="AR64" s="18" t="str">
        <f t="shared" si="20"/>
        <v>○</v>
      </c>
      <c r="AS64" s="18" t="str">
        <f t="shared" si="21"/>
        <v>○</v>
      </c>
      <c r="AT64" s="18" t="str">
        <f t="shared" si="22"/>
        <v>○</v>
      </c>
      <c r="AU64" s="18" t="str">
        <f t="shared" si="23"/>
        <v>○</v>
      </c>
    </row>
    <row r="65" spans="1:47" s="103" customFormat="1" ht="23.15" customHeight="1">
      <c r="A65" s="99">
        <v>59</v>
      </c>
      <c r="B65" s="98" t="str">
        <f>IF('②-1職員名簿'!E65="","",'②-1職員名簿'!Y65)</f>
        <v/>
      </c>
      <c r="C65" s="101" t="str">
        <f>'②-1職員名簿'!BE65</f>
        <v/>
      </c>
      <c r="D65" s="132" t="str">
        <f t="shared" si="9"/>
        <v/>
      </c>
      <c r="E65" s="19" t="str">
        <f>IF($B65="","",IF(AND('②-1職員名簿'!C65="正",'②-1職員名簿'!D65="常"),"正規職員","契約上の就業時間を記載"))</f>
        <v/>
      </c>
      <c r="F65" s="10" t="str">
        <f>IF($B65="","",IF(OR('②-1職員名簿'!AC65="○",'②-1職員名簿'!AC65="●"),IF($E65="正規職員","正",IF($E65="契約上の就業時間を記載","","見込を入力")),"-"))</f>
        <v/>
      </c>
      <c r="G65" s="10" t="str">
        <f>IF($B65="","",IF(OR('②-1職員名簿'!AD65="○",'②-1職員名簿'!AD65="●"),IF($E65="正規職員","正",IF($E65="契約上の就業時間を記載","","実績を入力")),"-"))</f>
        <v/>
      </c>
      <c r="H65" s="10" t="str">
        <f>IF($B65="","",IF(OR('②-1職員名簿'!AE65="○",'②-1職員名簿'!AE65="●"),IF($E65="正規職員","正",IF($E65="契約上の就業時間を記載","","実績を入力")),"-"))</f>
        <v/>
      </c>
      <c r="I65" s="10" t="str">
        <f>IF($B65="","",IF(OR('②-1職員名簿'!AF65="○",'②-1職員名簿'!AF65="●"),IF($E65="正規職員","正",IF($E65="契約上の就業時間を記載","","実績を入力")),"-"))</f>
        <v/>
      </c>
      <c r="J65" s="10" t="str">
        <f>IF($B65="","",IF(OR('②-1職員名簿'!AG65="○",'②-1職員名簿'!AG65="●"),IF($E65="正規職員","正",IF($E65="契約上の就業時間を記載","","実績を入力")),"-"))</f>
        <v/>
      </c>
      <c r="K65" s="10" t="str">
        <f>IF($B65="","",IF(OR('②-1職員名簿'!AH65="○",'②-1職員名簿'!AH65="●"),IF($E65="正規職員","正",IF($E65="契約上の就業時間を記載","","実績を入力")),"-"))</f>
        <v/>
      </c>
      <c r="L65" s="10" t="str">
        <f>IF($B65="","",IF(OR('②-1職員名簿'!AI65="○",'②-1職員名簿'!AI65="●"),IF($E65="正規職員","正",IF($E65="契約上の就業時間を記載","","実績を入力")),"-"))</f>
        <v/>
      </c>
      <c r="M65" s="10" t="str">
        <f>IF($B65="","",IF(OR('②-1職員名簿'!AJ65="○",'②-1職員名簿'!AJ65="●"),IF($E65="正規職員","正",IF($E65="契約上の就業時間を記載","","実績を入力")),"-"))</f>
        <v/>
      </c>
      <c r="N65" s="10" t="str">
        <f>IF($B65="","",IF(OR('②-1職員名簿'!AK65="○",'②-1職員名簿'!AK65="●"),IF($E65="正規職員","正",IF($E65="契約上の就業時間を記載","","実績を入力")),"-"))</f>
        <v/>
      </c>
      <c r="O65" s="10" t="str">
        <f>IF($B65="","",IF(OR('②-1職員名簿'!AL65="○",'②-1職員名簿'!AL65="●"),IF($E65="正規職員","正",IF($E65="契約上の就業時間を記載","","実績を入力")),"-"))</f>
        <v/>
      </c>
      <c r="P65" s="10" t="str">
        <f>IF($B65="","",IF(OR('②-1職員名簿'!AM65="○",'②-1職員名簿'!AM65="●"),IF($E65="正規職員","正",IF($E65="契約上の就業時間を記載","","実績を入力")),"-"))</f>
        <v/>
      </c>
      <c r="Q65" s="10" t="str">
        <f>IF($B65="","",IF(OR('②-1職員名簿'!AN65="○",'②-1職員名簿'!AN65="●"),IF($E65="正規職員","正",IF($E65="契約上の就業時間を記載","","実績を入力")),"-"))</f>
        <v/>
      </c>
      <c r="R65" s="101" t="str">
        <f>IF($B65="","",IF(OR('②-1職員名簿'!AC65="○",'②-1職員名簿'!AC65="●"),IF($E65="正規職員","正",IF($E65="契約上の就業時間を記載","",IF($E65&gt;=F$5,"常",F65))),"-"))</f>
        <v/>
      </c>
      <c r="S65" s="101" t="str">
        <f>IF($B65="","",IF(OR('②-1職員名簿'!AD65="○",'②-1職員名簿'!AD65="●"),IF($E65="正規職員","正",IF($E65="契約上の就業時間を記載","",IF($E65&gt;=G$5,"常",G65))),"-"))</f>
        <v/>
      </c>
      <c r="T65" s="101" t="str">
        <f>IF($B65="","",IF(OR('②-1職員名簿'!AE65="○",'②-1職員名簿'!AE65="●"),IF($E65="正規職員","正",IF($E65="契約上の就業時間を記載","",IF($E65&gt;=H$5,"常",H65))),"-"))</f>
        <v/>
      </c>
      <c r="U65" s="101" t="str">
        <f>IF($B65="","",IF(OR('②-1職員名簿'!AF65="○",'②-1職員名簿'!AF65="●"),IF($E65="正規職員","正",IF($E65="契約上の就業時間を記載","",IF($E65&gt;=I$5,"常",I65))),"-"))</f>
        <v/>
      </c>
      <c r="V65" s="101" t="str">
        <f>IF($B65="","",IF(OR('②-1職員名簿'!AG65="○",'②-1職員名簿'!AG65="●"),IF($E65="正規職員","正",IF($E65="契約上の就業時間を記載","",IF($E65&gt;=J$5,"常",J65))),"-"))</f>
        <v/>
      </c>
      <c r="W65" s="101" t="str">
        <f>IF($B65="","",IF(OR('②-1職員名簿'!AH65="○",'②-1職員名簿'!AH65="●"),IF($E65="正規職員","正",IF($E65="契約上の就業時間を記載","",IF($E65&gt;=K$5,"常",K65))),"-"))</f>
        <v/>
      </c>
      <c r="X65" s="101" t="str">
        <f>IF($B65="","",IF(OR('②-1職員名簿'!AI65="○",'②-1職員名簿'!AI65="●"),IF($E65="正規職員","正",IF($E65="契約上の就業時間を記載","",IF($E65&gt;=L$5,"常",L65))),"-"))</f>
        <v/>
      </c>
      <c r="Y65" s="101" t="str">
        <f>IF($B65="","",IF(OR('②-1職員名簿'!AJ65="○",'②-1職員名簿'!AJ65="●"),IF($E65="正規職員","正",IF($E65="契約上の就業時間を記載","",IF($E65&gt;=M$5,"常",M65))),"-"))</f>
        <v/>
      </c>
      <c r="Z65" s="101" t="str">
        <f>IF($B65="","",IF(OR('②-1職員名簿'!AK65="○",'②-1職員名簿'!AK65="●"),IF($E65="正規職員","正",IF($E65="契約上の就業時間を記載","",IF($E65&gt;=N$5,"常",N65))),"-"))</f>
        <v/>
      </c>
      <c r="AA65" s="101" t="str">
        <f>IF($B65="","",IF(OR('②-1職員名簿'!AL65="○",'②-1職員名簿'!AL65="●"),IF($E65="正規職員","正",IF($E65="契約上の就業時間を記載","",IF($E65&gt;=O$5,"常",O65))),"-"))</f>
        <v/>
      </c>
      <c r="AB65" s="101" t="str">
        <f>IF($B65="","",IF(OR('②-1職員名簿'!AM65="○",'②-1職員名簿'!AM65="●"),IF($E65="正規職員","正",IF($E65="契約上の就業時間を記載","",IF($E65&gt;=P$5,"常",P65))),"-"))</f>
        <v/>
      </c>
      <c r="AC65" s="101" t="str">
        <f>IF($B65="","",IF(OR('②-1職員名簿'!AN65="○",'②-1職員名簿'!AN65="●"),IF($E65="正規職員","正",IF($E65="契約上の就業時間を記載","",IF($E65&gt;=Q$5,"常",Q65))),"-"))</f>
        <v/>
      </c>
      <c r="AE65" s="98" t="str">
        <f>IF('②-1職員名簿'!W65="","",'②-1職員名簿'!W65)</f>
        <v/>
      </c>
      <c r="AJ65" s="18" t="str">
        <f t="shared" si="12"/>
        <v>○</v>
      </c>
      <c r="AK65" s="18" t="str">
        <f t="shared" si="13"/>
        <v>○</v>
      </c>
      <c r="AL65" s="18" t="str">
        <f t="shared" si="14"/>
        <v>○</v>
      </c>
      <c r="AM65" s="18" t="str">
        <f t="shared" si="15"/>
        <v>○</v>
      </c>
      <c r="AN65" s="18" t="str">
        <f t="shared" si="16"/>
        <v>○</v>
      </c>
      <c r="AO65" s="18" t="str">
        <f t="shared" si="17"/>
        <v>○</v>
      </c>
      <c r="AP65" s="18" t="str">
        <f t="shared" si="18"/>
        <v>○</v>
      </c>
      <c r="AQ65" s="18" t="str">
        <f t="shared" si="19"/>
        <v>○</v>
      </c>
      <c r="AR65" s="18" t="str">
        <f t="shared" si="20"/>
        <v>○</v>
      </c>
      <c r="AS65" s="18" t="str">
        <f t="shared" si="21"/>
        <v>○</v>
      </c>
      <c r="AT65" s="18" t="str">
        <f t="shared" si="22"/>
        <v>○</v>
      </c>
      <c r="AU65" s="18" t="str">
        <f t="shared" si="23"/>
        <v>○</v>
      </c>
    </row>
    <row r="66" spans="1:47" s="103" customFormat="1" ht="23.15" customHeight="1">
      <c r="A66" s="99">
        <v>60</v>
      </c>
      <c r="B66" s="98" t="str">
        <f>IF('②-1職員名簿'!E66="","",'②-1職員名簿'!Y66)</f>
        <v/>
      </c>
      <c r="C66" s="101" t="str">
        <f>'②-1職員名簿'!BE66</f>
        <v/>
      </c>
      <c r="D66" s="132" t="str">
        <f t="shared" si="9"/>
        <v/>
      </c>
      <c r="E66" s="19" t="str">
        <f>IF($B66="","",IF(AND('②-1職員名簿'!C66="正",'②-1職員名簿'!D66="常"),"正規職員","契約上の就業時間を記載"))</f>
        <v/>
      </c>
      <c r="F66" s="10" t="str">
        <f>IF($B66="","",IF(OR('②-1職員名簿'!AC66="○",'②-1職員名簿'!AC66="●"),IF($E66="正規職員","正",IF($E66="契約上の就業時間を記載","","見込を入力")),"-"))</f>
        <v/>
      </c>
      <c r="G66" s="10" t="str">
        <f>IF($B66="","",IF(OR('②-1職員名簿'!AD66="○",'②-1職員名簿'!AD66="●"),IF($E66="正規職員","正",IF($E66="契約上の就業時間を記載","","実績を入力")),"-"))</f>
        <v/>
      </c>
      <c r="H66" s="10" t="str">
        <f>IF($B66="","",IF(OR('②-1職員名簿'!AE66="○",'②-1職員名簿'!AE66="●"),IF($E66="正規職員","正",IF($E66="契約上の就業時間を記載","","実績を入力")),"-"))</f>
        <v/>
      </c>
      <c r="I66" s="10" t="str">
        <f>IF($B66="","",IF(OR('②-1職員名簿'!AF66="○",'②-1職員名簿'!AF66="●"),IF($E66="正規職員","正",IF($E66="契約上の就業時間を記載","","実績を入力")),"-"))</f>
        <v/>
      </c>
      <c r="J66" s="10" t="str">
        <f>IF($B66="","",IF(OR('②-1職員名簿'!AG66="○",'②-1職員名簿'!AG66="●"),IF($E66="正規職員","正",IF($E66="契約上の就業時間を記載","","実績を入力")),"-"))</f>
        <v/>
      </c>
      <c r="K66" s="10" t="str">
        <f>IF($B66="","",IF(OR('②-1職員名簿'!AH66="○",'②-1職員名簿'!AH66="●"),IF($E66="正規職員","正",IF($E66="契約上の就業時間を記載","","実績を入力")),"-"))</f>
        <v/>
      </c>
      <c r="L66" s="10" t="str">
        <f>IF($B66="","",IF(OR('②-1職員名簿'!AI66="○",'②-1職員名簿'!AI66="●"),IF($E66="正規職員","正",IF($E66="契約上の就業時間を記載","","実績を入力")),"-"))</f>
        <v/>
      </c>
      <c r="M66" s="10" t="str">
        <f>IF($B66="","",IF(OR('②-1職員名簿'!AJ66="○",'②-1職員名簿'!AJ66="●"),IF($E66="正規職員","正",IF($E66="契約上の就業時間を記載","","実績を入力")),"-"))</f>
        <v/>
      </c>
      <c r="N66" s="10" t="str">
        <f>IF($B66="","",IF(OR('②-1職員名簿'!AK66="○",'②-1職員名簿'!AK66="●"),IF($E66="正規職員","正",IF($E66="契約上の就業時間を記載","","実績を入力")),"-"))</f>
        <v/>
      </c>
      <c r="O66" s="10" t="str">
        <f>IF($B66="","",IF(OR('②-1職員名簿'!AL66="○",'②-1職員名簿'!AL66="●"),IF($E66="正規職員","正",IF($E66="契約上の就業時間を記載","","実績を入力")),"-"))</f>
        <v/>
      </c>
      <c r="P66" s="10" t="str">
        <f>IF($B66="","",IF(OR('②-1職員名簿'!AM66="○",'②-1職員名簿'!AM66="●"),IF($E66="正規職員","正",IF($E66="契約上の就業時間を記載","","実績を入力")),"-"))</f>
        <v/>
      </c>
      <c r="Q66" s="10" t="str">
        <f>IF($B66="","",IF(OR('②-1職員名簿'!AN66="○",'②-1職員名簿'!AN66="●"),IF($E66="正規職員","正",IF($E66="契約上の就業時間を記載","","実績を入力")),"-"))</f>
        <v/>
      </c>
      <c r="R66" s="101" t="str">
        <f>IF($B66="","",IF(OR('②-1職員名簿'!AC66="○",'②-1職員名簿'!AC66="●"),IF($E66="正規職員","正",IF($E66="契約上の就業時間を記載","",IF($E66&gt;=F$5,"常",F66))),"-"))</f>
        <v/>
      </c>
      <c r="S66" s="101" t="str">
        <f>IF($B66="","",IF(OR('②-1職員名簿'!AD66="○",'②-1職員名簿'!AD66="●"),IF($E66="正規職員","正",IF($E66="契約上の就業時間を記載","",IF($E66&gt;=G$5,"常",G66))),"-"))</f>
        <v/>
      </c>
      <c r="T66" s="101" t="str">
        <f>IF($B66="","",IF(OR('②-1職員名簿'!AE66="○",'②-1職員名簿'!AE66="●"),IF($E66="正規職員","正",IF($E66="契約上の就業時間を記載","",IF($E66&gt;=H$5,"常",H66))),"-"))</f>
        <v/>
      </c>
      <c r="U66" s="101" t="str">
        <f>IF($B66="","",IF(OR('②-1職員名簿'!AF66="○",'②-1職員名簿'!AF66="●"),IF($E66="正規職員","正",IF($E66="契約上の就業時間を記載","",IF($E66&gt;=I$5,"常",I66))),"-"))</f>
        <v/>
      </c>
      <c r="V66" s="101" t="str">
        <f>IF($B66="","",IF(OR('②-1職員名簿'!AG66="○",'②-1職員名簿'!AG66="●"),IF($E66="正規職員","正",IF($E66="契約上の就業時間を記載","",IF($E66&gt;=J$5,"常",J66))),"-"))</f>
        <v/>
      </c>
      <c r="W66" s="101" t="str">
        <f>IF($B66="","",IF(OR('②-1職員名簿'!AH66="○",'②-1職員名簿'!AH66="●"),IF($E66="正規職員","正",IF($E66="契約上の就業時間を記載","",IF($E66&gt;=K$5,"常",K66))),"-"))</f>
        <v/>
      </c>
      <c r="X66" s="101" t="str">
        <f>IF($B66="","",IF(OR('②-1職員名簿'!AI66="○",'②-1職員名簿'!AI66="●"),IF($E66="正規職員","正",IF($E66="契約上の就業時間を記載","",IF($E66&gt;=L$5,"常",L66))),"-"))</f>
        <v/>
      </c>
      <c r="Y66" s="101" t="str">
        <f>IF($B66="","",IF(OR('②-1職員名簿'!AJ66="○",'②-1職員名簿'!AJ66="●"),IF($E66="正規職員","正",IF($E66="契約上の就業時間を記載","",IF($E66&gt;=M$5,"常",M66))),"-"))</f>
        <v/>
      </c>
      <c r="Z66" s="101" t="str">
        <f>IF($B66="","",IF(OR('②-1職員名簿'!AK66="○",'②-1職員名簿'!AK66="●"),IF($E66="正規職員","正",IF($E66="契約上の就業時間を記載","",IF($E66&gt;=N$5,"常",N66))),"-"))</f>
        <v/>
      </c>
      <c r="AA66" s="101" t="str">
        <f>IF($B66="","",IF(OR('②-1職員名簿'!AL66="○",'②-1職員名簿'!AL66="●"),IF($E66="正規職員","正",IF($E66="契約上の就業時間を記載","",IF($E66&gt;=O$5,"常",O66))),"-"))</f>
        <v/>
      </c>
      <c r="AB66" s="101" t="str">
        <f>IF($B66="","",IF(OR('②-1職員名簿'!AM66="○",'②-1職員名簿'!AM66="●"),IF($E66="正規職員","正",IF($E66="契約上の就業時間を記載","",IF($E66&gt;=P$5,"常",P66))),"-"))</f>
        <v/>
      </c>
      <c r="AC66" s="101" t="str">
        <f>IF($B66="","",IF(OR('②-1職員名簿'!AN66="○",'②-1職員名簿'!AN66="●"),IF($E66="正規職員","正",IF($E66="契約上の就業時間を記載","",IF($E66&gt;=Q$5,"常",Q66))),"-"))</f>
        <v/>
      </c>
      <c r="AE66" s="98" t="str">
        <f>IF('②-1職員名簿'!W66="","",'②-1職員名簿'!W66)</f>
        <v/>
      </c>
      <c r="AJ66" s="18" t="str">
        <f t="shared" si="12"/>
        <v>○</v>
      </c>
      <c r="AK66" s="18" t="str">
        <f t="shared" si="13"/>
        <v>○</v>
      </c>
      <c r="AL66" s="18" t="str">
        <f t="shared" si="14"/>
        <v>○</v>
      </c>
      <c r="AM66" s="18" t="str">
        <f t="shared" si="15"/>
        <v>○</v>
      </c>
      <c r="AN66" s="18" t="str">
        <f t="shared" si="16"/>
        <v>○</v>
      </c>
      <c r="AO66" s="18" t="str">
        <f t="shared" si="17"/>
        <v>○</v>
      </c>
      <c r="AP66" s="18" t="str">
        <f t="shared" si="18"/>
        <v>○</v>
      </c>
      <c r="AQ66" s="18" t="str">
        <f t="shared" si="19"/>
        <v>○</v>
      </c>
      <c r="AR66" s="18" t="str">
        <f t="shared" si="20"/>
        <v>○</v>
      </c>
      <c r="AS66" s="18" t="str">
        <f t="shared" si="21"/>
        <v>○</v>
      </c>
      <c r="AT66" s="18" t="str">
        <f t="shared" si="22"/>
        <v>○</v>
      </c>
      <c r="AU66" s="18" t="str">
        <f t="shared" si="23"/>
        <v>○</v>
      </c>
    </row>
    <row r="67" spans="1:47" s="103" customFormat="1" ht="23.15" customHeight="1">
      <c r="A67" s="99">
        <v>61</v>
      </c>
      <c r="B67" s="98" t="str">
        <f>IF('②-1職員名簿'!E67="","",'②-1職員名簿'!Y67)</f>
        <v/>
      </c>
      <c r="C67" s="101" t="str">
        <f>'②-1職員名簿'!BE67</f>
        <v/>
      </c>
      <c r="D67" s="132" t="str">
        <f t="shared" si="9"/>
        <v/>
      </c>
      <c r="E67" s="19" t="str">
        <f>IF($B67="","",IF(AND('②-1職員名簿'!C67="正",'②-1職員名簿'!D67="常"),"正規職員","契約上の就業時間を記載"))</f>
        <v/>
      </c>
      <c r="F67" s="10" t="str">
        <f>IF($B67="","",IF(OR('②-1職員名簿'!AC67="○",'②-1職員名簿'!AC67="●"),IF($E67="正規職員","正",IF($E67="契約上の就業時間を記載","","見込を入力")),"-"))</f>
        <v/>
      </c>
      <c r="G67" s="10" t="str">
        <f>IF($B67="","",IF(OR('②-1職員名簿'!AD67="○",'②-1職員名簿'!AD67="●"),IF($E67="正規職員","正",IF($E67="契約上の就業時間を記載","","実績を入力")),"-"))</f>
        <v/>
      </c>
      <c r="H67" s="10" t="str">
        <f>IF($B67="","",IF(OR('②-1職員名簿'!AE67="○",'②-1職員名簿'!AE67="●"),IF($E67="正規職員","正",IF($E67="契約上の就業時間を記載","","実績を入力")),"-"))</f>
        <v/>
      </c>
      <c r="I67" s="10" t="str">
        <f>IF($B67="","",IF(OR('②-1職員名簿'!AF67="○",'②-1職員名簿'!AF67="●"),IF($E67="正規職員","正",IF($E67="契約上の就業時間を記載","","実績を入力")),"-"))</f>
        <v/>
      </c>
      <c r="J67" s="10" t="str">
        <f>IF($B67="","",IF(OR('②-1職員名簿'!AG67="○",'②-1職員名簿'!AG67="●"),IF($E67="正規職員","正",IF($E67="契約上の就業時間を記載","","実績を入力")),"-"))</f>
        <v/>
      </c>
      <c r="K67" s="10" t="str">
        <f>IF($B67="","",IF(OR('②-1職員名簿'!AH67="○",'②-1職員名簿'!AH67="●"),IF($E67="正規職員","正",IF($E67="契約上の就業時間を記載","","実績を入力")),"-"))</f>
        <v/>
      </c>
      <c r="L67" s="10" t="str">
        <f>IF($B67="","",IF(OR('②-1職員名簿'!AI67="○",'②-1職員名簿'!AI67="●"),IF($E67="正規職員","正",IF($E67="契約上の就業時間を記載","","実績を入力")),"-"))</f>
        <v/>
      </c>
      <c r="M67" s="10" t="str">
        <f>IF($B67="","",IF(OR('②-1職員名簿'!AJ67="○",'②-1職員名簿'!AJ67="●"),IF($E67="正規職員","正",IF($E67="契約上の就業時間を記載","","実績を入力")),"-"))</f>
        <v/>
      </c>
      <c r="N67" s="10" t="str">
        <f>IF($B67="","",IF(OR('②-1職員名簿'!AK67="○",'②-1職員名簿'!AK67="●"),IF($E67="正規職員","正",IF($E67="契約上の就業時間を記載","","実績を入力")),"-"))</f>
        <v/>
      </c>
      <c r="O67" s="10" t="str">
        <f>IF($B67="","",IF(OR('②-1職員名簿'!AL67="○",'②-1職員名簿'!AL67="●"),IF($E67="正規職員","正",IF($E67="契約上の就業時間を記載","","実績を入力")),"-"))</f>
        <v/>
      </c>
      <c r="P67" s="10" t="str">
        <f>IF($B67="","",IF(OR('②-1職員名簿'!AM67="○",'②-1職員名簿'!AM67="●"),IF($E67="正規職員","正",IF($E67="契約上の就業時間を記載","","実績を入力")),"-"))</f>
        <v/>
      </c>
      <c r="Q67" s="10" t="str">
        <f>IF($B67="","",IF(OR('②-1職員名簿'!AN67="○",'②-1職員名簿'!AN67="●"),IF($E67="正規職員","正",IF($E67="契約上の就業時間を記載","","実績を入力")),"-"))</f>
        <v/>
      </c>
      <c r="R67" s="101" t="str">
        <f>IF($B67="","",IF(OR('②-1職員名簿'!AC67="○",'②-1職員名簿'!AC67="●"),IF($E67="正規職員","正",IF($E67="契約上の就業時間を記載","",IF($E67&gt;=F$5,"常",F67))),"-"))</f>
        <v/>
      </c>
      <c r="S67" s="101" t="str">
        <f>IF($B67="","",IF(OR('②-1職員名簿'!AD67="○",'②-1職員名簿'!AD67="●"),IF($E67="正規職員","正",IF($E67="契約上の就業時間を記載","",IF($E67&gt;=G$5,"常",G67))),"-"))</f>
        <v/>
      </c>
      <c r="T67" s="101" t="str">
        <f>IF($B67="","",IF(OR('②-1職員名簿'!AE67="○",'②-1職員名簿'!AE67="●"),IF($E67="正規職員","正",IF($E67="契約上の就業時間を記載","",IF($E67&gt;=H$5,"常",H67))),"-"))</f>
        <v/>
      </c>
      <c r="U67" s="101" t="str">
        <f>IF($B67="","",IF(OR('②-1職員名簿'!AF67="○",'②-1職員名簿'!AF67="●"),IF($E67="正規職員","正",IF($E67="契約上の就業時間を記載","",IF($E67&gt;=I$5,"常",I67))),"-"))</f>
        <v/>
      </c>
      <c r="V67" s="101" t="str">
        <f>IF($B67="","",IF(OR('②-1職員名簿'!AG67="○",'②-1職員名簿'!AG67="●"),IF($E67="正規職員","正",IF($E67="契約上の就業時間を記載","",IF($E67&gt;=J$5,"常",J67))),"-"))</f>
        <v/>
      </c>
      <c r="W67" s="101" t="str">
        <f>IF($B67="","",IF(OR('②-1職員名簿'!AH67="○",'②-1職員名簿'!AH67="●"),IF($E67="正規職員","正",IF($E67="契約上の就業時間を記載","",IF($E67&gt;=K$5,"常",K67))),"-"))</f>
        <v/>
      </c>
      <c r="X67" s="101" t="str">
        <f>IF($B67="","",IF(OR('②-1職員名簿'!AI67="○",'②-1職員名簿'!AI67="●"),IF($E67="正規職員","正",IF($E67="契約上の就業時間を記載","",IF($E67&gt;=L$5,"常",L67))),"-"))</f>
        <v/>
      </c>
      <c r="Y67" s="101" t="str">
        <f>IF($B67="","",IF(OR('②-1職員名簿'!AJ67="○",'②-1職員名簿'!AJ67="●"),IF($E67="正規職員","正",IF($E67="契約上の就業時間を記載","",IF($E67&gt;=M$5,"常",M67))),"-"))</f>
        <v/>
      </c>
      <c r="Z67" s="101" t="str">
        <f>IF($B67="","",IF(OR('②-1職員名簿'!AK67="○",'②-1職員名簿'!AK67="●"),IF($E67="正規職員","正",IF($E67="契約上の就業時間を記載","",IF($E67&gt;=N$5,"常",N67))),"-"))</f>
        <v/>
      </c>
      <c r="AA67" s="101" t="str">
        <f>IF($B67="","",IF(OR('②-1職員名簿'!AL67="○",'②-1職員名簿'!AL67="●"),IF($E67="正規職員","正",IF($E67="契約上の就業時間を記載","",IF($E67&gt;=O$5,"常",O67))),"-"))</f>
        <v/>
      </c>
      <c r="AB67" s="101" t="str">
        <f>IF($B67="","",IF(OR('②-1職員名簿'!AM67="○",'②-1職員名簿'!AM67="●"),IF($E67="正規職員","正",IF($E67="契約上の就業時間を記載","",IF($E67&gt;=P$5,"常",P67))),"-"))</f>
        <v/>
      </c>
      <c r="AC67" s="101" t="str">
        <f>IF($B67="","",IF(OR('②-1職員名簿'!AN67="○",'②-1職員名簿'!AN67="●"),IF($E67="正規職員","正",IF($E67="契約上の就業時間を記載","",IF($E67&gt;=Q$5,"常",Q67))),"-"))</f>
        <v/>
      </c>
      <c r="AE67" s="98" t="str">
        <f>IF('②-1職員名簿'!W67="","",'②-1職員名簿'!W67)</f>
        <v/>
      </c>
      <c r="AJ67" s="18" t="str">
        <f t="shared" si="12"/>
        <v>○</v>
      </c>
      <c r="AK67" s="18" t="str">
        <f t="shared" si="13"/>
        <v>○</v>
      </c>
      <c r="AL67" s="18" t="str">
        <f t="shared" si="14"/>
        <v>○</v>
      </c>
      <c r="AM67" s="18" t="str">
        <f t="shared" si="15"/>
        <v>○</v>
      </c>
      <c r="AN67" s="18" t="str">
        <f t="shared" si="16"/>
        <v>○</v>
      </c>
      <c r="AO67" s="18" t="str">
        <f t="shared" si="17"/>
        <v>○</v>
      </c>
      <c r="AP67" s="18" t="str">
        <f t="shared" si="18"/>
        <v>○</v>
      </c>
      <c r="AQ67" s="18" t="str">
        <f t="shared" si="19"/>
        <v>○</v>
      </c>
      <c r="AR67" s="18" t="str">
        <f t="shared" si="20"/>
        <v>○</v>
      </c>
      <c r="AS67" s="18" t="str">
        <f t="shared" si="21"/>
        <v>○</v>
      </c>
      <c r="AT67" s="18" t="str">
        <f t="shared" si="22"/>
        <v>○</v>
      </c>
      <c r="AU67" s="18" t="str">
        <f t="shared" si="23"/>
        <v>○</v>
      </c>
    </row>
    <row r="68" spans="1:47" s="103" customFormat="1" ht="23.15" customHeight="1">
      <c r="A68" s="99">
        <v>62</v>
      </c>
      <c r="B68" s="98" t="str">
        <f>IF('②-1職員名簿'!E68="","",'②-1職員名簿'!Y68)</f>
        <v/>
      </c>
      <c r="C68" s="101" t="str">
        <f>'②-1職員名簿'!BE68</f>
        <v/>
      </c>
      <c r="D68" s="132" t="str">
        <f t="shared" si="9"/>
        <v/>
      </c>
      <c r="E68" s="19" t="str">
        <f>IF($B68="","",IF(AND('②-1職員名簿'!C68="正",'②-1職員名簿'!D68="常"),"正規職員","契約上の就業時間を記載"))</f>
        <v/>
      </c>
      <c r="F68" s="10" t="str">
        <f>IF($B68="","",IF(OR('②-1職員名簿'!AC68="○",'②-1職員名簿'!AC68="●"),IF($E68="正規職員","正",IF($E68="契約上の就業時間を記載","","見込を入力")),"-"))</f>
        <v/>
      </c>
      <c r="G68" s="10" t="str">
        <f>IF($B68="","",IF(OR('②-1職員名簿'!AD68="○",'②-1職員名簿'!AD68="●"),IF($E68="正規職員","正",IF($E68="契約上の就業時間を記載","","実績を入力")),"-"))</f>
        <v/>
      </c>
      <c r="H68" s="10" t="str">
        <f>IF($B68="","",IF(OR('②-1職員名簿'!AE68="○",'②-1職員名簿'!AE68="●"),IF($E68="正規職員","正",IF($E68="契約上の就業時間を記載","","実績を入力")),"-"))</f>
        <v/>
      </c>
      <c r="I68" s="10" t="str">
        <f>IF($B68="","",IF(OR('②-1職員名簿'!AF68="○",'②-1職員名簿'!AF68="●"),IF($E68="正規職員","正",IF($E68="契約上の就業時間を記載","","実績を入力")),"-"))</f>
        <v/>
      </c>
      <c r="J68" s="10" t="str">
        <f>IF($B68="","",IF(OR('②-1職員名簿'!AG68="○",'②-1職員名簿'!AG68="●"),IF($E68="正規職員","正",IF($E68="契約上の就業時間を記載","","実績を入力")),"-"))</f>
        <v/>
      </c>
      <c r="K68" s="10" t="str">
        <f>IF($B68="","",IF(OR('②-1職員名簿'!AH68="○",'②-1職員名簿'!AH68="●"),IF($E68="正規職員","正",IF($E68="契約上の就業時間を記載","","実績を入力")),"-"))</f>
        <v/>
      </c>
      <c r="L68" s="10" t="str">
        <f>IF($B68="","",IF(OR('②-1職員名簿'!AI68="○",'②-1職員名簿'!AI68="●"),IF($E68="正規職員","正",IF($E68="契約上の就業時間を記載","","実績を入力")),"-"))</f>
        <v/>
      </c>
      <c r="M68" s="10" t="str">
        <f>IF($B68="","",IF(OR('②-1職員名簿'!AJ68="○",'②-1職員名簿'!AJ68="●"),IF($E68="正規職員","正",IF($E68="契約上の就業時間を記載","","実績を入力")),"-"))</f>
        <v/>
      </c>
      <c r="N68" s="10" t="str">
        <f>IF($B68="","",IF(OR('②-1職員名簿'!AK68="○",'②-1職員名簿'!AK68="●"),IF($E68="正規職員","正",IF($E68="契約上の就業時間を記載","","実績を入力")),"-"))</f>
        <v/>
      </c>
      <c r="O68" s="10" t="str">
        <f>IF($B68="","",IF(OR('②-1職員名簿'!AL68="○",'②-1職員名簿'!AL68="●"),IF($E68="正規職員","正",IF($E68="契約上の就業時間を記載","","実績を入力")),"-"))</f>
        <v/>
      </c>
      <c r="P68" s="10" t="str">
        <f>IF($B68="","",IF(OR('②-1職員名簿'!AM68="○",'②-1職員名簿'!AM68="●"),IF($E68="正規職員","正",IF($E68="契約上の就業時間を記載","","実績を入力")),"-"))</f>
        <v/>
      </c>
      <c r="Q68" s="10" t="str">
        <f>IF($B68="","",IF(OR('②-1職員名簿'!AN68="○",'②-1職員名簿'!AN68="●"),IF($E68="正規職員","正",IF($E68="契約上の就業時間を記載","","実績を入力")),"-"))</f>
        <v/>
      </c>
      <c r="R68" s="101" t="str">
        <f>IF($B68="","",IF(OR('②-1職員名簿'!AC68="○",'②-1職員名簿'!AC68="●"),IF($E68="正規職員","正",IF($E68="契約上の就業時間を記載","",IF($E68&gt;=F$5,"常",F68))),"-"))</f>
        <v/>
      </c>
      <c r="S68" s="101" t="str">
        <f>IF($B68="","",IF(OR('②-1職員名簿'!AD68="○",'②-1職員名簿'!AD68="●"),IF($E68="正規職員","正",IF($E68="契約上の就業時間を記載","",IF($E68&gt;=G$5,"常",G68))),"-"))</f>
        <v/>
      </c>
      <c r="T68" s="101" t="str">
        <f>IF($B68="","",IF(OR('②-1職員名簿'!AE68="○",'②-1職員名簿'!AE68="●"),IF($E68="正規職員","正",IF($E68="契約上の就業時間を記載","",IF($E68&gt;=H$5,"常",H68))),"-"))</f>
        <v/>
      </c>
      <c r="U68" s="101" t="str">
        <f>IF($B68="","",IF(OR('②-1職員名簿'!AF68="○",'②-1職員名簿'!AF68="●"),IF($E68="正規職員","正",IF($E68="契約上の就業時間を記載","",IF($E68&gt;=I$5,"常",I68))),"-"))</f>
        <v/>
      </c>
      <c r="V68" s="101" t="str">
        <f>IF($B68="","",IF(OR('②-1職員名簿'!AG68="○",'②-1職員名簿'!AG68="●"),IF($E68="正規職員","正",IF($E68="契約上の就業時間を記載","",IF($E68&gt;=J$5,"常",J68))),"-"))</f>
        <v/>
      </c>
      <c r="W68" s="101" t="str">
        <f>IF($B68="","",IF(OR('②-1職員名簿'!AH68="○",'②-1職員名簿'!AH68="●"),IF($E68="正規職員","正",IF($E68="契約上の就業時間を記載","",IF($E68&gt;=K$5,"常",K68))),"-"))</f>
        <v/>
      </c>
      <c r="X68" s="101" t="str">
        <f>IF($B68="","",IF(OR('②-1職員名簿'!AI68="○",'②-1職員名簿'!AI68="●"),IF($E68="正規職員","正",IF($E68="契約上の就業時間を記載","",IF($E68&gt;=L$5,"常",L68))),"-"))</f>
        <v/>
      </c>
      <c r="Y68" s="101" t="str">
        <f>IF($B68="","",IF(OR('②-1職員名簿'!AJ68="○",'②-1職員名簿'!AJ68="●"),IF($E68="正規職員","正",IF($E68="契約上の就業時間を記載","",IF($E68&gt;=M$5,"常",M68))),"-"))</f>
        <v/>
      </c>
      <c r="Z68" s="101" t="str">
        <f>IF($B68="","",IF(OR('②-1職員名簿'!AK68="○",'②-1職員名簿'!AK68="●"),IF($E68="正規職員","正",IF($E68="契約上の就業時間を記載","",IF($E68&gt;=N$5,"常",N68))),"-"))</f>
        <v/>
      </c>
      <c r="AA68" s="101" t="str">
        <f>IF($B68="","",IF(OR('②-1職員名簿'!AL68="○",'②-1職員名簿'!AL68="●"),IF($E68="正規職員","正",IF($E68="契約上の就業時間を記載","",IF($E68&gt;=O$5,"常",O68))),"-"))</f>
        <v/>
      </c>
      <c r="AB68" s="101" t="str">
        <f>IF($B68="","",IF(OR('②-1職員名簿'!AM68="○",'②-1職員名簿'!AM68="●"),IF($E68="正規職員","正",IF($E68="契約上の就業時間を記載","",IF($E68&gt;=P$5,"常",P68))),"-"))</f>
        <v/>
      </c>
      <c r="AC68" s="101" t="str">
        <f>IF($B68="","",IF(OR('②-1職員名簿'!AN68="○",'②-1職員名簿'!AN68="●"),IF($E68="正規職員","正",IF($E68="契約上の就業時間を記載","",IF($E68&gt;=Q$5,"常",Q68))),"-"))</f>
        <v/>
      </c>
      <c r="AE68" s="98" t="str">
        <f>IF('②-1職員名簿'!W68="","",'②-1職員名簿'!W68)</f>
        <v/>
      </c>
      <c r="AJ68" s="18" t="str">
        <f t="shared" si="12"/>
        <v>○</v>
      </c>
      <c r="AK68" s="18" t="str">
        <f t="shared" si="13"/>
        <v>○</v>
      </c>
      <c r="AL68" s="18" t="str">
        <f t="shared" si="14"/>
        <v>○</v>
      </c>
      <c r="AM68" s="18" t="str">
        <f t="shared" si="15"/>
        <v>○</v>
      </c>
      <c r="AN68" s="18" t="str">
        <f t="shared" si="16"/>
        <v>○</v>
      </c>
      <c r="AO68" s="18" t="str">
        <f t="shared" si="17"/>
        <v>○</v>
      </c>
      <c r="AP68" s="18" t="str">
        <f t="shared" si="18"/>
        <v>○</v>
      </c>
      <c r="AQ68" s="18" t="str">
        <f t="shared" si="19"/>
        <v>○</v>
      </c>
      <c r="AR68" s="18" t="str">
        <f t="shared" si="20"/>
        <v>○</v>
      </c>
      <c r="AS68" s="18" t="str">
        <f t="shared" si="21"/>
        <v>○</v>
      </c>
      <c r="AT68" s="18" t="str">
        <f t="shared" si="22"/>
        <v>○</v>
      </c>
      <c r="AU68" s="18" t="str">
        <f t="shared" si="23"/>
        <v>○</v>
      </c>
    </row>
    <row r="69" spans="1:47" s="103" customFormat="1" ht="23.15" customHeight="1">
      <c r="A69" s="99">
        <v>63</v>
      </c>
      <c r="B69" s="98" t="str">
        <f>IF('②-1職員名簿'!E69="","",'②-1職員名簿'!Y69)</f>
        <v/>
      </c>
      <c r="C69" s="101" t="str">
        <f>'②-1職員名簿'!BE69</f>
        <v/>
      </c>
      <c r="D69" s="132" t="str">
        <f t="shared" si="9"/>
        <v/>
      </c>
      <c r="E69" s="19" t="str">
        <f>IF($B69="","",IF(AND('②-1職員名簿'!C69="正",'②-1職員名簿'!D69="常"),"正規職員","契約上の就業時間を記載"))</f>
        <v/>
      </c>
      <c r="F69" s="10" t="str">
        <f>IF($B69="","",IF(OR('②-1職員名簿'!AC69="○",'②-1職員名簿'!AC69="●"),IF($E69="正規職員","正",IF($E69="契約上の就業時間を記載","","見込を入力")),"-"))</f>
        <v/>
      </c>
      <c r="G69" s="10" t="str">
        <f>IF($B69="","",IF(OR('②-1職員名簿'!AD69="○",'②-1職員名簿'!AD69="●"),IF($E69="正規職員","正",IF($E69="契約上の就業時間を記載","","実績を入力")),"-"))</f>
        <v/>
      </c>
      <c r="H69" s="10" t="str">
        <f>IF($B69="","",IF(OR('②-1職員名簿'!AE69="○",'②-1職員名簿'!AE69="●"),IF($E69="正規職員","正",IF($E69="契約上の就業時間を記載","","実績を入力")),"-"))</f>
        <v/>
      </c>
      <c r="I69" s="10" t="str">
        <f>IF($B69="","",IF(OR('②-1職員名簿'!AF69="○",'②-1職員名簿'!AF69="●"),IF($E69="正規職員","正",IF($E69="契約上の就業時間を記載","","実績を入力")),"-"))</f>
        <v/>
      </c>
      <c r="J69" s="10" t="str">
        <f>IF($B69="","",IF(OR('②-1職員名簿'!AG69="○",'②-1職員名簿'!AG69="●"),IF($E69="正規職員","正",IF($E69="契約上の就業時間を記載","","実績を入力")),"-"))</f>
        <v/>
      </c>
      <c r="K69" s="10" t="str">
        <f>IF($B69="","",IF(OR('②-1職員名簿'!AH69="○",'②-1職員名簿'!AH69="●"),IF($E69="正規職員","正",IF($E69="契約上の就業時間を記載","","実績を入力")),"-"))</f>
        <v/>
      </c>
      <c r="L69" s="10" t="str">
        <f>IF($B69="","",IF(OR('②-1職員名簿'!AI69="○",'②-1職員名簿'!AI69="●"),IF($E69="正規職員","正",IF($E69="契約上の就業時間を記載","","実績を入力")),"-"))</f>
        <v/>
      </c>
      <c r="M69" s="10" t="str">
        <f>IF($B69="","",IF(OR('②-1職員名簿'!AJ69="○",'②-1職員名簿'!AJ69="●"),IF($E69="正規職員","正",IF($E69="契約上の就業時間を記載","","実績を入力")),"-"))</f>
        <v/>
      </c>
      <c r="N69" s="10" t="str">
        <f>IF($B69="","",IF(OR('②-1職員名簿'!AK69="○",'②-1職員名簿'!AK69="●"),IF($E69="正規職員","正",IF($E69="契約上の就業時間を記載","","実績を入力")),"-"))</f>
        <v/>
      </c>
      <c r="O69" s="10" t="str">
        <f>IF($B69="","",IF(OR('②-1職員名簿'!AL69="○",'②-1職員名簿'!AL69="●"),IF($E69="正規職員","正",IF($E69="契約上の就業時間を記載","","実績を入力")),"-"))</f>
        <v/>
      </c>
      <c r="P69" s="10" t="str">
        <f>IF($B69="","",IF(OR('②-1職員名簿'!AM69="○",'②-1職員名簿'!AM69="●"),IF($E69="正規職員","正",IF($E69="契約上の就業時間を記載","","実績を入力")),"-"))</f>
        <v/>
      </c>
      <c r="Q69" s="10" t="str">
        <f>IF($B69="","",IF(OR('②-1職員名簿'!AN69="○",'②-1職員名簿'!AN69="●"),IF($E69="正規職員","正",IF($E69="契約上の就業時間を記載","","実績を入力")),"-"))</f>
        <v/>
      </c>
      <c r="R69" s="101" t="str">
        <f>IF($B69="","",IF(OR('②-1職員名簿'!AC69="○",'②-1職員名簿'!AC69="●"),IF($E69="正規職員","正",IF($E69="契約上の就業時間を記載","",IF($E69&gt;=F$5,"常",F69))),"-"))</f>
        <v/>
      </c>
      <c r="S69" s="101" t="str">
        <f>IF($B69="","",IF(OR('②-1職員名簿'!AD69="○",'②-1職員名簿'!AD69="●"),IF($E69="正規職員","正",IF($E69="契約上の就業時間を記載","",IF($E69&gt;=G$5,"常",G69))),"-"))</f>
        <v/>
      </c>
      <c r="T69" s="101" t="str">
        <f>IF($B69="","",IF(OR('②-1職員名簿'!AE69="○",'②-1職員名簿'!AE69="●"),IF($E69="正規職員","正",IF($E69="契約上の就業時間を記載","",IF($E69&gt;=H$5,"常",H69))),"-"))</f>
        <v/>
      </c>
      <c r="U69" s="101" t="str">
        <f>IF($B69="","",IF(OR('②-1職員名簿'!AF69="○",'②-1職員名簿'!AF69="●"),IF($E69="正規職員","正",IF($E69="契約上の就業時間を記載","",IF($E69&gt;=I$5,"常",I69))),"-"))</f>
        <v/>
      </c>
      <c r="V69" s="101" t="str">
        <f>IF($B69="","",IF(OR('②-1職員名簿'!AG69="○",'②-1職員名簿'!AG69="●"),IF($E69="正規職員","正",IF($E69="契約上の就業時間を記載","",IF($E69&gt;=J$5,"常",J69))),"-"))</f>
        <v/>
      </c>
      <c r="W69" s="101" t="str">
        <f>IF($B69="","",IF(OR('②-1職員名簿'!AH69="○",'②-1職員名簿'!AH69="●"),IF($E69="正規職員","正",IF($E69="契約上の就業時間を記載","",IF($E69&gt;=K$5,"常",K69))),"-"))</f>
        <v/>
      </c>
      <c r="X69" s="101" t="str">
        <f>IF($B69="","",IF(OR('②-1職員名簿'!AI69="○",'②-1職員名簿'!AI69="●"),IF($E69="正規職員","正",IF($E69="契約上の就業時間を記載","",IF($E69&gt;=L$5,"常",L69))),"-"))</f>
        <v/>
      </c>
      <c r="Y69" s="101" t="str">
        <f>IF($B69="","",IF(OR('②-1職員名簿'!AJ69="○",'②-1職員名簿'!AJ69="●"),IF($E69="正規職員","正",IF($E69="契約上の就業時間を記載","",IF($E69&gt;=M$5,"常",M69))),"-"))</f>
        <v/>
      </c>
      <c r="Z69" s="101" t="str">
        <f>IF($B69="","",IF(OR('②-1職員名簿'!AK69="○",'②-1職員名簿'!AK69="●"),IF($E69="正規職員","正",IF($E69="契約上の就業時間を記載","",IF($E69&gt;=N$5,"常",N69))),"-"))</f>
        <v/>
      </c>
      <c r="AA69" s="101" t="str">
        <f>IF($B69="","",IF(OR('②-1職員名簿'!AL69="○",'②-1職員名簿'!AL69="●"),IF($E69="正規職員","正",IF($E69="契約上の就業時間を記載","",IF($E69&gt;=O$5,"常",O69))),"-"))</f>
        <v/>
      </c>
      <c r="AB69" s="101" t="str">
        <f>IF($B69="","",IF(OR('②-1職員名簿'!AM69="○",'②-1職員名簿'!AM69="●"),IF($E69="正規職員","正",IF($E69="契約上の就業時間を記載","",IF($E69&gt;=P$5,"常",P69))),"-"))</f>
        <v/>
      </c>
      <c r="AC69" s="101" t="str">
        <f>IF($B69="","",IF(OR('②-1職員名簿'!AN69="○",'②-1職員名簿'!AN69="●"),IF($E69="正規職員","正",IF($E69="契約上の就業時間を記載","",IF($E69&gt;=Q$5,"常",Q69))),"-"))</f>
        <v/>
      </c>
      <c r="AE69" s="98" t="str">
        <f>IF('②-1職員名簿'!W69="","",'②-1職員名簿'!W69)</f>
        <v/>
      </c>
      <c r="AJ69" s="18" t="str">
        <f t="shared" si="12"/>
        <v>○</v>
      </c>
      <c r="AK69" s="18" t="str">
        <f t="shared" si="13"/>
        <v>○</v>
      </c>
      <c r="AL69" s="18" t="str">
        <f t="shared" si="14"/>
        <v>○</v>
      </c>
      <c r="AM69" s="18" t="str">
        <f t="shared" si="15"/>
        <v>○</v>
      </c>
      <c r="AN69" s="18" t="str">
        <f t="shared" si="16"/>
        <v>○</v>
      </c>
      <c r="AO69" s="18" t="str">
        <f t="shared" si="17"/>
        <v>○</v>
      </c>
      <c r="AP69" s="18" t="str">
        <f t="shared" si="18"/>
        <v>○</v>
      </c>
      <c r="AQ69" s="18" t="str">
        <f t="shared" si="19"/>
        <v>○</v>
      </c>
      <c r="AR69" s="18" t="str">
        <f t="shared" si="20"/>
        <v>○</v>
      </c>
      <c r="AS69" s="18" t="str">
        <f t="shared" si="21"/>
        <v>○</v>
      </c>
      <c r="AT69" s="18" t="str">
        <f t="shared" si="22"/>
        <v>○</v>
      </c>
      <c r="AU69" s="18" t="str">
        <f t="shared" si="23"/>
        <v>○</v>
      </c>
    </row>
    <row r="70" spans="1:47" s="103" customFormat="1" ht="23.15" customHeight="1">
      <c r="A70" s="99">
        <v>64</v>
      </c>
      <c r="B70" s="98" t="str">
        <f>IF('②-1職員名簿'!E70="","",'②-1職員名簿'!Y70)</f>
        <v/>
      </c>
      <c r="C70" s="101" t="str">
        <f>'②-1職員名簿'!BE70</f>
        <v/>
      </c>
      <c r="D70" s="132" t="str">
        <f t="shared" si="9"/>
        <v/>
      </c>
      <c r="E70" s="19" t="str">
        <f>IF($B70="","",IF(AND('②-1職員名簿'!C70="正",'②-1職員名簿'!D70="常"),"正規職員","契約上の就業時間を記載"))</f>
        <v/>
      </c>
      <c r="F70" s="10" t="str">
        <f>IF($B70="","",IF(OR('②-1職員名簿'!AC70="○",'②-1職員名簿'!AC70="●"),IF($E70="正規職員","正",IF($E70="契約上の就業時間を記載","","見込を入力")),"-"))</f>
        <v/>
      </c>
      <c r="G70" s="10" t="str">
        <f>IF($B70="","",IF(OR('②-1職員名簿'!AD70="○",'②-1職員名簿'!AD70="●"),IF($E70="正規職員","正",IF($E70="契約上の就業時間を記載","","実績を入力")),"-"))</f>
        <v/>
      </c>
      <c r="H70" s="10" t="str">
        <f>IF($B70="","",IF(OR('②-1職員名簿'!AE70="○",'②-1職員名簿'!AE70="●"),IF($E70="正規職員","正",IF($E70="契約上の就業時間を記載","","実績を入力")),"-"))</f>
        <v/>
      </c>
      <c r="I70" s="10" t="str">
        <f>IF($B70="","",IF(OR('②-1職員名簿'!AF70="○",'②-1職員名簿'!AF70="●"),IF($E70="正規職員","正",IF($E70="契約上の就業時間を記載","","実績を入力")),"-"))</f>
        <v/>
      </c>
      <c r="J70" s="10" t="str">
        <f>IF($B70="","",IF(OR('②-1職員名簿'!AG70="○",'②-1職員名簿'!AG70="●"),IF($E70="正規職員","正",IF($E70="契約上の就業時間を記載","","実績を入力")),"-"))</f>
        <v/>
      </c>
      <c r="K70" s="10" t="str">
        <f>IF($B70="","",IF(OR('②-1職員名簿'!AH70="○",'②-1職員名簿'!AH70="●"),IF($E70="正規職員","正",IF($E70="契約上の就業時間を記載","","実績を入力")),"-"))</f>
        <v/>
      </c>
      <c r="L70" s="10" t="str">
        <f>IF($B70="","",IF(OR('②-1職員名簿'!AI70="○",'②-1職員名簿'!AI70="●"),IF($E70="正規職員","正",IF($E70="契約上の就業時間を記載","","実績を入力")),"-"))</f>
        <v/>
      </c>
      <c r="M70" s="10" t="str">
        <f>IF($B70="","",IF(OR('②-1職員名簿'!AJ70="○",'②-1職員名簿'!AJ70="●"),IF($E70="正規職員","正",IF($E70="契約上の就業時間を記載","","実績を入力")),"-"))</f>
        <v/>
      </c>
      <c r="N70" s="10" t="str">
        <f>IF($B70="","",IF(OR('②-1職員名簿'!AK70="○",'②-1職員名簿'!AK70="●"),IF($E70="正規職員","正",IF($E70="契約上の就業時間を記載","","実績を入力")),"-"))</f>
        <v/>
      </c>
      <c r="O70" s="10" t="str">
        <f>IF($B70="","",IF(OR('②-1職員名簿'!AL70="○",'②-1職員名簿'!AL70="●"),IF($E70="正規職員","正",IF($E70="契約上の就業時間を記載","","実績を入力")),"-"))</f>
        <v/>
      </c>
      <c r="P70" s="10" t="str">
        <f>IF($B70="","",IF(OR('②-1職員名簿'!AM70="○",'②-1職員名簿'!AM70="●"),IF($E70="正規職員","正",IF($E70="契約上の就業時間を記載","","実績を入力")),"-"))</f>
        <v/>
      </c>
      <c r="Q70" s="10" t="str">
        <f>IF($B70="","",IF(OR('②-1職員名簿'!AN70="○",'②-1職員名簿'!AN70="●"),IF($E70="正規職員","正",IF($E70="契約上の就業時間を記載","","実績を入力")),"-"))</f>
        <v/>
      </c>
      <c r="R70" s="101" t="str">
        <f>IF($B70="","",IF(OR('②-1職員名簿'!AC70="○",'②-1職員名簿'!AC70="●"),IF($E70="正規職員","正",IF($E70="契約上の就業時間を記載","",IF($E70&gt;=F$5,"常",F70))),"-"))</f>
        <v/>
      </c>
      <c r="S70" s="101" t="str">
        <f>IF($B70="","",IF(OR('②-1職員名簿'!AD70="○",'②-1職員名簿'!AD70="●"),IF($E70="正規職員","正",IF($E70="契約上の就業時間を記載","",IF($E70&gt;=G$5,"常",G70))),"-"))</f>
        <v/>
      </c>
      <c r="T70" s="101" t="str">
        <f>IF($B70="","",IF(OR('②-1職員名簿'!AE70="○",'②-1職員名簿'!AE70="●"),IF($E70="正規職員","正",IF($E70="契約上の就業時間を記載","",IF($E70&gt;=H$5,"常",H70))),"-"))</f>
        <v/>
      </c>
      <c r="U70" s="101" t="str">
        <f>IF($B70="","",IF(OR('②-1職員名簿'!AF70="○",'②-1職員名簿'!AF70="●"),IF($E70="正規職員","正",IF($E70="契約上の就業時間を記載","",IF($E70&gt;=I$5,"常",I70))),"-"))</f>
        <v/>
      </c>
      <c r="V70" s="101" t="str">
        <f>IF($B70="","",IF(OR('②-1職員名簿'!AG70="○",'②-1職員名簿'!AG70="●"),IF($E70="正規職員","正",IF($E70="契約上の就業時間を記載","",IF($E70&gt;=J$5,"常",J70))),"-"))</f>
        <v/>
      </c>
      <c r="W70" s="101" t="str">
        <f>IF($B70="","",IF(OR('②-1職員名簿'!AH70="○",'②-1職員名簿'!AH70="●"),IF($E70="正規職員","正",IF($E70="契約上の就業時間を記載","",IF($E70&gt;=K$5,"常",K70))),"-"))</f>
        <v/>
      </c>
      <c r="X70" s="101" t="str">
        <f>IF($B70="","",IF(OR('②-1職員名簿'!AI70="○",'②-1職員名簿'!AI70="●"),IF($E70="正規職員","正",IF($E70="契約上の就業時間を記載","",IF($E70&gt;=L$5,"常",L70))),"-"))</f>
        <v/>
      </c>
      <c r="Y70" s="101" t="str">
        <f>IF($B70="","",IF(OR('②-1職員名簿'!AJ70="○",'②-1職員名簿'!AJ70="●"),IF($E70="正規職員","正",IF($E70="契約上の就業時間を記載","",IF($E70&gt;=M$5,"常",M70))),"-"))</f>
        <v/>
      </c>
      <c r="Z70" s="101" t="str">
        <f>IF($B70="","",IF(OR('②-1職員名簿'!AK70="○",'②-1職員名簿'!AK70="●"),IF($E70="正規職員","正",IF($E70="契約上の就業時間を記載","",IF($E70&gt;=N$5,"常",N70))),"-"))</f>
        <v/>
      </c>
      <c r="AA70" s="101" t="str">
        <f>IF($B70="","",IF(OR('②-1職員名簿'!AL70="○",'②-1職員名簿'!AL70="●"),IF($E70="正規職員","正",IF($E70="契約上の就業時間を記載","",IF($E70&gt;=O$5,"常",O70))),"-"))</f>
        <v/>
      </c>
      <c r="AB70" s="101" t="str">
        <f>IF($B70="","",IF(OR('②-1職員名簿'!AM70="○",'②-1職員名簿'!AM70="●"),IF($E70="正規職員","正",IF($E70="契約上の就業時間を記載","",IF($E70&gt;=P$5,"常",P70))),"-"))</f>
        <v/>
      </c>
      <c r="AC70" s="101" t="str">
        <f>IF($B70="","",IF(OR('②-1職員名簿'!AN70="○",'②-1職員名簿'!AN70="●"),IF($E70="正規職員","正",IF($E70="契約上の就業時間を記載","",IF($E70&gt;=Q$5,"常",Q70))),"-"))</f>
        <v/>
      </c>
      <c r="AE70" s="98" t="str">
        <f>IF('②-1職員名簿'!W70="","",'②-1職員名簿'!W70)</f>
        <v/>
      </c>
      <c r="AJ70" s="18" t="str">
        <f t="shared" si="12"/>
        <v>○</v>
      </c>
      <c r="AK70" s="18" t="str">
        <f t="shared" si="13"/>
        <v>○</v>
      </c>
      <c r="AL70" s="18" t="str">
        <f t="shared" si="14"/>
        <v>○</v>
      </c>
      <c r="AM70" s="18" t="str">
        <f t="shared" si="15"/>
        <v>○</v>
      </c>
      <c r="AN70" s="18" t="str">
        <f t="shared" si="16"/>
        <v>○</v>
      </c>
      <c r="AO70" s="18" t="str">
        <f t="shared" si="17"/>
        <v>○</v>
      </c>
      <c r="AP70" s="18" t="str">
        <f t="shared" si="18"/>
        <v>○</v>
      </c>
      <c r="AQ70" s="18" t="str">
        <f t="shared" si="19"/>
        <v>○</v>
      </c>
      <c r="AR70" s="18" t="str">
        <f t="shared" si="20"/>
        <v>○</v>
      </c>
      <c r="AS70" s="18" t="str">
        <f t="shared" si="21"/>
        <v>○</v>
      </c>
      <c r="AT70" s="18" t="str">
        <f t="shared" si="22"/>
        <v>○</v>
      </c>
      <c r="AU70" s="18" t="str">
        <f t="shared" si="23"/>
        <v>○</v>
      </c>
    </row>
    <row r="71" spans="1:47" s="103" customFormat="1" ht="23.15" customHeight="1">
      <c r="A71" s="99">
        <v>65</v>
      </c>
      <c r="B71" s="98" t="str">
        <f>IF('②-1職員名簿'!E71="","",'②-1職員名簿'!Y71)</f>
        <v/>
      </c>
      <c r="C71" s="101" t="str">
        <f>'②-1職員名簿'!BE71</f>
        <v/>
      </c>
      <c r="D71" s="132" t="str">
        <f t="shared" ref="D71:D106" si="24">B71&amp;C71</f>
        <v/>
      </c>
      <c r="E71" s="19" t="str">
        <f>IF($B71="","",IF(AND('②-1職員名簿'!C71="正",'②-1職員名簿'!D71="常"),"正規職員","契約上の就業時間を記載"))</f>
        <v/>
      </c>
      <c r="F71" s="10" t="str">
        <f>IF($B71="","",IF(OR('②-1職員名簿'!AC71="○",'②-1職員名簿'!AC71="●"),IF($E71="正規職員","正",IF($E71="契約上の就業時間を記載","","見込を入力")),"-"))</f>
        <v/>
      </c>
      <c r="G71" s="10" t="str">
        <f>IF($B71="","",IF(OR('②-1職員名簿'!AD71="○",'②-1職員名簿'!AD71="●"),IF($E71="正規職員","正",IF($E71="契約上の就業時間を記載","","実績を入力")),"-"))</f>
        <v/>
      </c>
      <c r="H71" s="10" t="str">
        <f>IF($B71="","",IF(OR('②-1職員名簿'!AE71="○",'②-1職員名簿'!AE71="●"),IF($E71="正規職員","正",IF($E71="契約上の就業時間を記載","","実績を入力")),"-"))</f>
        <v/>
      </c>
      <c r="I71" s="10" t="str">
        <f>IF($B71="","",IF(OR('②-1職員名簿'!AF71="○",'②-1職員名簿'!AF71="●"),IF($E71="正規職員","正",IF($E71="契約上の就業時間を記載","","実績を入力")),"-"))</f>
        <v/>
      </c>
      <c r="J71" s="10" t="str">
        <f>IF($B71="","",IF(OR('②-1職員名簿'!AG71="○",'②-1職員名簿'!AG71="●"),IF($E71="正規職員","正",IF($E71="契約上の就業時間を記載","","実績を入力")),"-"))</f>
        <v/>
      </c>
      <c r="K71" s="10" t="str">
        <f>IF($B71="","",IF(OR('②-1職員名簿'!AH71="○",'②-1職員名簿'!AH71="●"),IF($E71="正規職員","正",IF($E71="契約上の就業時間を記載","","実績を入力")),"-"))</f>
        <v/>
      </c>
      <c r="L71" s="10" t="str">
        <f>IF($B71="","",IF(OR('②-1職員名簿'!AI71="○",'②-1職員名簿'!AI71="●"),IF($E71="正規職員","正",IF($E71="契約上の就業時間を記載","","実績を入力")),"-"))</f>
        <v/>
      </c>
      <c r="M71" s="10" t="str">
        <f>IF($B71="","",IF(OR('②-1職員名簿'!AJ71="○",'②-1職員名簿'!AJ71="●"),IF($E71="正規職員","正",IF($E71="契約上の就業時間を記載","","実績を入力")),"-"))</f>
        <v/>
      </c>
      <c r="N71" s="10" t="str">
        <f>IF($B71="","",IF(OR('②-1職員名簿'!AK71="○",'②-1職員名簿'!AK71="●"),IF($E71="正規職員","正",IF($E71="契約上の就業時間を記載","","実績を入力")),"-"))</f>
        <v/>
      </c>
      <c r="O71" s="10" t="str">
        <f>IF($B71="","",IF(OR('②-1職員名簿'!AL71="○",'②-1職員名簿'!AL71="●"),IF($E71="正規職員","正",IF($E71="契約上の就業時間を記載","","実績を入力")),"-"))</f>
        <v/>
      </c>
      <c r="P71" s="10" t="str">
        <f>IF($B71="","",IF(OR('②-1職員名簿'!AM71="○",'②-1職員名簿'!AM71="●"),IF($E71="正規職員","正",IF($E71="契約上の就業時間を記載","","実績を入力")),"-"))</f>
        <v/>
      </c>
      <c r="Q71" s="10" t="str">
        <f>IF($B71="","",IF(OR('②-1職員名簿'!AN71="○",'②-1職員名簿'!AN71="●"),IF($E71="正規職員","正",IF($E71="契約上の就業時間を記載","","実績を入力")),"-"))</f>
        <v/>
      </c>
      <c r="R71" s="101" t="str">
        <f>IF($B71="","",IF(OR('②-1職員名簿'!AC71="○",'②-1職員名簿'!AC71="●"),IF($E71="正規職員","正",IF($E71="契約上の就業時間を記載","",IF($E71&gt;=F$5,"常",F71))),"-"))</f>
        <v/>
      </c>
      <c r="S71" s="101" t="str">
        <f>IF($B71="","",IF(OR('②-1職員名簿'!AD71="○",'②-1職員名簿'!AD71="●"),IF($E71="正規職員","正",IF($E71="契約上の就業時間を記載","",IF($E71&gt;=G$5,"常",G71))),"-"))</f>
        <v/>
      </c>
      <c r="T71" s="101" t="str">
        <f>IF($B71="","",IF(OR('②-1職員名簿'!AE71="○",'②-1職員名簿'!AE71="●"),IF($E71="正規職員","正",IF($E71="契約上の就業時間を記載","",IF($E71&gt;=H$5,"常",H71))),"-"))</f>
        <v/>
      </c>
      <c r="U71" s="101" t="str">
        <f>IF($B71="","",IF(OR('②-1職員名簿'!AF71="○",'②-1職員名簿'!AF71="●"),IF($E71="正規職員","正",IF($E71="契約上の就業時間を記載","",IF($E71&gt;=I$5,"常",I71))),"-"))</f>
        <v/>
      </c>
      <c r="V71" s="101" t="str">
        <f>IF($B71="","",IF(OR('②-1職員名簿'!AG71="○",'②-1職員名簿'!AG71="●"),IF($E71="正規職員","正",IF($E71="契約上の就業時間を記載","",IF($E71&gt;=J$5,"常",J71))),"-"))</f>
        <v/>
      </c>
      <c r="W71" s="101" t="str">
        <f>IF($B71="","",IF(OR('②-1職員名簿'!AH71="○",'②-1職員名簿'!AH71="●"),IF($E71="正規職員","正",IF($E71="契約上の就業時間を記載","",IF($E71&gt;=K$5,"常",K71))),"-"))</f>
        <v/>
      </c>
      <c r="X71" s="101" t="str">
        <f>IF($B71="","",IF(OR('②-1職員名簿'!AI71="○",'②-1職員名簿'!AI71="●"),IF($E71="正規職員","正",IF($E71="契約上の就業時間を記載","",IF($E71&gt;=L$5,"常",L71))),"-"))</f>
        <v/>
      </c>
      <c r="Y71" s="101" t="str">
        <f>IF($B71="","",IF(OR('②-1職員名簿'!AJ71="○",'②-1職員名簿'!AJ71="●"),IF($E71="正規職員","正",IF($E71="契約上の就業時間を記載","",IF($E71&gt;=M$5,"常",M71))),"-"))</f>
        <v/>
      </c>
      <c r="Z71" s="101" t="str">
        <f>IF($B71="","",IF(OR('②-1職員名簿'!AK71="○",'②-1職員名簿'!AK71="●"),IF($E71="正規職員","正",IF($E71="契約上の就業時間を記載","",IF($E71&gt;=N$5,"常",N71))),"-"))</f>
        <v/>
      </c>
      <c r="AA71" s="101" t="str">
        <f>IF($B71="","",IF(OR('②-1職員名簿'!AL71="○",'②-1職員名簿'!AL71="●"),IF($E71="正規職員","正",IF($E71="契約上の就業時間を記載","",IF($E71&gt;=O$5,"常",O71))),"-"))</f>
        <v/>
      </c>
      <c r="AB71" s="101" t="str">
        <f>IF($B71="","",IF(OR('②-1職員名簿'!AM71="○",'②-1職員名簿'!AM71="●"),IF($E71="正規職員","正",IF($E71="契約上の就業時間を記載","",IF($E71&gt;=P$5,"常",P71))),"-"))</f>
        <v/>
      </c>
      <c r="AC71" s="101" t="str">
        <f>IF($B71="","",IF(OR('②-1職員名簿'!AN71="○",'②-1職員名簿'!AN71="●"),IF($E71="正規職員","正",IF($E71="契約上の就業時間を記載","",IF($E71&gt;=Q$5,"常",Q71))),"-"))</f>
        <v/>
      </c>
      <c r="AE71" s="98" t="str">
        <f>IF('②-1職員名簿'!W71="","",'②-1職員名簿'!W71)</f>
        <v/>
      </c>
      <c r="AJ71" s="18" t="str">
        <f t="shared" si="12"/>
        <v>○</v>
      </c>
      <c r="AK71" s="18" t="str">
        <f t="shared" si="13"/>
        <v>○</v>
      </c>
      <c r="AL71" s="18" t="str">
        <f t="shared" si="14"/>
        <v>○</v>
      </c>
      <c r="AM71" s="18" t="str">
        <f t="shared" si="15"/>
        <v>○</v>
      </c>
      <c r="AN71" s="18" t="str">
        <f t="shared" si="16"/>
        <v>○</v>
      </c>
      <c r="AO71" s="18" t="str">
        <f t="shared" si="17"/>
        <v>○</v>
      </c>
      <c r="AP71" s="18" t="str">
        <f t="shared" si="18"/>
        <v>○</v>
      </c>
      <c r="AQ71" s="18" t="str">
        <f t="shared" si="19"/>
        <v>○</v>
      </c>
      <c r="AR71" s="18" t="str">
        <f t="shared" si="20"/>
        <v>○</v>
      </c>
      <c r="AS71" s="18" t="str">
        <f t="shared" si="21"/>
        <v>○</v>
      </c>
      <c r="AT71" s="18" t="str">
        <f t="shared" si="22"/>
        <v>○</v>
      </c>
      <c r="AU71" s="18" t="str">
        <f t="shared" si="23"/>
        <v>○</v>
      </c>
    </row>
    <row r="72" spans="1:47" s="103" customFormat="1" ht="23.15" customHeight="1">
      <c r="A72" s="99">
        <v>66</v>
      </c>
      <c r="B72" s="98" t="str">
        <f>IF('②-1職員名簿'!E72="","",'②-1職員名簿'!Y72)</f>
        <v/>
      </c>
      <c r="C72" s="101" t="str">
        <f>'②-1職員名簿'!BE72</f>
        <v/>
      </c>
      <c r="D72" s="132" t="str">
        <f t="shared" si="24"/>
        <v/>
      </c>
      <c r="E72" s="19" t="str">
        <f>IF($B72="","",IF(AND('②-1職員名簿'!C72="正",'②-1職員名簿'!D72="常"),"正規職員","契約上の就業時間を記載"))</f>
        <v/>
      </c>
      <c r="F72" s="10" t="str">
        <f>IF($B72="","",IF(OR('②-1職員名簿'!AC72="○",'②-1職員名簿'!AC72="●"),IF($E72="正規職員","正",IF($E72="契約上の就業時間を記載","","見込を入力")),"-"))</f>
        <v/>
      </c>
      <c r="G72" s="10" t="str">
        <f>IF($B72="","",IF(OR('②-1職員名簿'!AD72="○",'②-1職員名簿'!AD72="●"),IF($E72="正規職員","正",IF($E72="契約上の就業時間を記載","","実績を入力")),"-"))</f>
        <v/>
      </c>
      <c r="H72" s="10" t="str">
        <f>IF($B72="","",IF(OR('②-1職員名簿'!AE72="○",'②-1職員名簿'!AE72="●"),IF($E72="正規職員","正",IF($E72="契約上の就業時間を記載","","実績を入力")),"-"))</f>
        <v/>
      </c>
      <c r="I72" s="10" t="str">
        <f>IF($B72="","",IF(OR('②-1職員名簿'!AF72="○",'②-1職員名簿'!AF72="●"),IF($E72="正規職員","正",IF($E72="契約上の就業時間を記載","","実績を入力")),"-"))</f>
        <v/>
      </c>
      <c r="J72" s="10" t="str">
        <f>IF($B72="","",IF(OR('②-1職員名簿'!AG72="○",'②-1職員名簿'!AG72="●"),IF($E72="正規職員","正",IF($E72="契約上の就業時間を記載","","実績を入力")),"-"))</f>
        <v/>
      </c>
      <c r="K72" s="10" t="str">
        <f>IF($B72="","",IF(OR('②-1職員名簿'!AH72="○",'②-1職員名簿'!AH72="●"),IF($E72="正規職員","正",IF($E72="契約上の就業時間を記載","","実績を入力")),"-"))</f>
        <v/>
      </c>
      <c r="L72" s="10" t="str">
        <f>IF($B72="","",IF(OR('②-1職員名簿'!AI72="○",'②-1職員名簿'!AI72="●"),IF($E72="正規職員","正",IF($E72="契約上の就業時間を記載","","実績を入力")),"-"))</f>
        <v/>
      </c>
      <c r="M72" s="10" t="str">
        <f>IF($B72="","",IF(OR('②-1職員名簿'!AJ72="○",'②-1職員名簿'!AJ72="●"),IF($E72="正規職員","正",IF($E72="契約上の就業時間を記載","","実績を入力")),"-"))</f>
        <v/>
      </c>
      <c r="N72" s="10" t="str">
        <f>IF($B72="","",IF(OR('②-1職員名簿'!AK72="○",'②-1職員名簿'!AK72="●"),IF($E72="正規職員","正",IF($E72="契約上の就業時間を記載","","実績を入力")),"-"))</f>
        <v/>
      </c>
      <c r="O72" s="10" t="str">
        <f>IF($B72="","",IF(OR('②-1職員名簿'!AL72="○",'②-1職員名簿'!AL72="●"),IF($E72="正規職員","正",IF($E72="契約上の就業時間を記載","","実績を入力")),"-"))</f>
        <v/>
      </c>
      <c r="P72" s="10" t="str">
        <f>IF($B72="","",IF(OR('②-1職員名簿'!AM72="○",'②-1職員名簿'!AM72="●"),IF($E72="正規職員","正",IF($E72="契約上の就業時間を記載","","実績を入力")),"-"))</f>
        <v/>
      </c>
      <c r="Q72" s="10" t="str">
        <f>IF($B72="","",IF(OR('②-1職員名簿'!AN72="○",'②-1職員名簿'!AN72="●"),IF($E72="正規職員","正",IF($E72="契約上の就業時間を記載","","実績を入力")),"-"))</f>
        <v/>
      </c>
      <c r="R72" s="101" t="str">
        <f>IF($B72="","",IF(OR('②-1職員名簿'!AC72="○",'②-1職員名簿'!AC72="●"),IF($E72="正規職員","正",IF($E72="契約上の就業時間を記載","",IF($E72&gt;=F$5,"常",F72))),"-"))</f>
        <v/>
      </c>
      <c r="S72" s="101" t="str">
        <f>IF($B72="","",IF(OR('②-1職員名簿'!AD72="○",'②-1職員名簿'!AD72="●"),IF($E72="正規職員","正",IF($E72="契約上の就業時間を記載","",IF($E72&gt;=G$5,"常",G72))),"-"))</f>
        <v/>
      </c>
      <c r="T72" s="101" t="str">
        <f>IF($B72="","",IF(OR('②-1職員名簿'!AE72="○",'②-1職員名簿'!AE72="●"),IF($E72="正規職員","正",IF($E72="契約上の就業時間を記載","",IF($E72&gt;=H$5,"常",H72))),"-"))</f>
        <v/>
      </c>
      <c r="U72" s="101" t="str">
        <f>IF($B72="","",IF(OR('②-1職員名簿'!AF72="○",'②-1職員名簿'!AF72="●"),IF($E72="正規職員","正",IF($E72="契約上の就業時間を記載","",IF($E72&gt;=I$5,"常",I72))),"-"))</f>
        <v/>
      </c>
      <c r="V72" s="101" t="str">
        <f>IF($B72="","",IF(OR('②-1職員名簿'!AG72="○",'②-1職員名簿'!AG72="●"),IF($E72="正規職員","正",IF($E72="契約上の就業時間を記載","",IF($E72&gt;=J$5,"常",J72))),"-"))</f>
        <v/>
      </c>
      <c r="W72" s="101" t="str">
        <f>IF($B72="","",IF(OR('②-1職員名簿'!AH72="○",'②-1職員名簿'!AH72="●"),IF($E72="正規職員","正",IF($E72="契約上の就業時間を記載","",IF($E72&gt;=K$5,"常",K72))),"-"))</f>
        <v/>
      </c>
      <c r="X72" s="101" t="str">
        <f>IF($B72="","",IF(OR('②-1職員名簿'!AI72="○",'②-1職員名簿'!AI72="●"),IF($E72="正規職員","正",IF($E72="契約上の就業時間を記載","",IF($E72&gt;=L$5,"常",L72))),"-"))</f>
        <v/>
      </c>
      <c r="Y72" s="101" t="str">
        <f>IF($B72="","",IF(OR('②-1職員名簿'!AJ72="○",'②-1職員名簿'!AJ72="●"),IF($E72="正規職員","正",IF($E72="契約上の就業時間を記載","",IF($E72&gt;=M$5,"常",M72))),"-"))</f>
        <v/>
      </c>
      <c r="Z72" s="101" t="str">
        <f>IF($B72="","",IF(OR('②-1職員名簿'!AK72="○",'②-1職員名簿'!AK72="●"),IF($E72="正規職員","正",IF($E72="契約上の就業時間を記載","",IF($E72&gt;=N$5,"常",N72))),"-"))</f>
        <v/>
      </c>
      <c r="AA72" s="101" t="str">
        <f>IF($B72="","",IF(OR('②-1職員名簿'!AL72="○",'②-1職員名簿'!AL72="●"),IF($E72="正規職員","正",IF($E72="契約上の就業時間を記載","",IF($E72&gt;=O$5,"常",O72))),"-"))</f>
        <v/>
      </c>
      <c r="AB72" s="101" t="str">
        <f>IF($B72="","",IF(OR('②-1職員名簿'!AM72="○",'②-1職員名簿'!AM72="●"),IF($E72="正規職員","正",IF($E72="契約上の就業時間を記載","",IF($E72&gt;=P$5,"常",P72))),"-"))</f>
        <v/>
      </c>
      <c r="AC72" s="101" t="str">
        <f>IF($B72="","",IF(OR('②-1職員名簿'!AN72="○",'②-1職員名簿'!AN72="●"),IF($E72="正規職員","正",IF($E72="契約上の就業時間を記載","",IF($E72&gt;=Q$5,"常",Q72))),"-"))</f>
        <v/>
      </c>
      <c r="AE72" s="98" t="str">
        <f>IF('②-1職員名簿'!W72="","",'②-1職員名簿'!W72)</f>
        <v/>
      </c>
      <c r="AJ72" s="18" t="str">
        <f t="shared" ref="AJ72:AJ106" si="25">IF(AND($C72="常勤的非常勤",$E72&lt;F$5),"×",IF(AND($C72="短時間非常勤",F$5&lt;=$E72),"×",IF(AND($C72="嘱託常勤",$E72&lt;F$5),"×",IF(AND($C72="嘱託非常勤",F$5&lt;=$E72),"×","○"))))</f>
        <v>○</v>
      </c>
      <c r="AK72" s="18" t="str">
        <f t="shared" si="13"/>
        <v>○</v>
      </c>
      <c r="AL72" s="18" t="str">
        <f t="shared" si="14"/>
        <v>○</v>
      </c>
      <c r="AM72" s="18" t="str">
        <f t="shared" si="15"/>
        <v>○</v>
      </c>
      <c r="AN72" s="18" t="str">
        <f t="shared" si="16"/>
        <v>○</v>
      </c>
      <c r="AO72" s="18" t="str">
        <f t="shared" si="17"/>
        <v>○</v>
      </c>
      <c r="AP72" s="18" t="str">
        <f t="shared" si="18"/>
        <v>○</v>
      </c>
      <c r="AQ72" s="18" t="str">
        <f t="shared" si="19"/>
        <v>○</v>
      </c>
      <c r="AR72" s="18" t="str">
        <f t="shared" si="20"/>
        <v>○</v>
      </c>
      <c r="AS72" s="18" t="str">
        <f t="shared" si="21"/>
        <v>○</v>
      </c>
      <c r="AT72" s="18" t="str">
        <f t="shared" si="22"/>
        <v>○</v>
      </c>
      <c r="AU72" s="18" t="str">
        <f t="shared" si="23"/>
        <v>○</v>
      </c>
    </row>
    <row r="73" spans="1:47" s="103" customFormat="1" ht="23.15" customHeight="1">
      <c r="A73" s="99">
        <v>67</v>
      </c>
      <c r="B73" s="98" t="str">
        <f>IF('②-1職員名簿'!E73="","",'②-1職員名簿'!Y73)</f>
        <v/>
      </c>
      <c r="C73" s="101" t="str">
        <f>'②-1職員名簿'!BE73</f>
        <v/>
      </c>
      <c r="D73" s="132" t="str">
        <f t="shared" si="24"/>
        <v/>
      </c>
      <c r="E73" s="19" t="str">
        <f>IF($B73="","",IF(AND('②-1職員名簿'!C73="正",'②-1職員名簿'!D73="常"),"正規職員","契約上の就業時間を記載"))</f>
        <v/>
      </c>
      <c r="F73" s="10" t="str">
        <f>IF($B73="","",IF(OR('②-1職員名簿'!AC73="○",'②-1職員名簿'!AC73="●"),IF($E73="正規職員","正",IF($E73="契約上の就業時間を記載","","見込を入力")),"-"))</f>
        <v/>
      </c>
      <c r="G73" s="10" t="str">
        <f>IF($B73="","",IF(OR('②-1職員名簿'!AD73="○",'②-1職員名簿'!AD73="●"),IF($E73="正規職員","正",IF($E73="契約上の就業時間を記載","","実績を入力")),"-"))</f>
        <v/>
      </c>
      <c r="H73" s="10" t="str">
        <f>IF($B73="","",IF(OR('②-1職員名簿'!AE73="○",'②-1職員名簿'!AE73="●"),IF($E73="正規職員","正",IF($E73="契約上の就業時間を記載","","実績を入力")),"-"))</f>
        <v/>
      </c>
      <c r="I73" s="10" t="str">
        <f>IF($B73="","",IF(OR('②-1職員名簿'!AF73="○",'②-1職員名簿'!AF73="●"),IF($E73="正規職員","正",IF($E73="契約上の就業時間を記載","","実績を入力")),"-"))</f>
        <v/>
      </c>
      <c r="J73" s="10" t="str">
        <f>IF($B73="","",IF(OR('②-1職員名簿'!AG73="○",'②-1職員名簿'!AG73="●"),IF($E73="正規職員","正",IF($E73="契約上の就業時間を記載","","実績を入力")),"-"))</f>
        <v/>
      </c>
      <c r="K73" s="10" t="str">
        <f>IF($B73="","",IF(OR('②-1職員名簿'!AH73="○",'②-1職員名簿'!AH73="●"),IF($E73="正規職員","正",IF($E73="契約上の就業時間を記載","","実績を入力")),"-"))</f>
        <v/>
      </c>
      <c r="L73" s="10" t="str">
        <f>IF($B73="","",IF(OR('②-1職員名簿'!AI73="○",'②-1職員名簿'!AI73="●"),IF($E73="正規職員","正",IF($E73="契約上の就業時間を記載","","実績を入力")),"-"))</f>
        <v/>
      </c>
      <c r="M73" s="10" t="str">
        <f>IF($B73="","",IF(OR('②-1職員名簿'!AJ73="○",'②-1職員名簿'!AJ73="●"),IF($E73="正規職員","正",IF($E73="契約上の就業時間を記載","","実績を入力")),"-"))</f>
        <v/>
      </c>
      <c r="N73" s="10" t="str">
        <f>IF($B73="","",IF(OR('②-1職員名簿'!AK73="○",'②-1職員名簿'!AK73="●"),IF($E73="正規職員","正",IF($E73="契約上の就業時間を記載","","実績を入力")),"-"))</f>
        <v/>
      </c>
      <c r="O73" s="10" t="str">
        <f>IF($B73="","",IF(OR('②-1職員名簿'!AL73="○",'②-1職員名簿'!AL73="●"),IF($E73="正規職員","正",IF($E73="契約上の就業時間を記載","","実績を入力")),"-"))</f>
        <v/>
      </c>
      <c r="P73" s="10" t="str">
        <f>IF($B73="","",IF(OR('②-1職員名簿'!AM73="○",'②-1職員名簿'!AM73="●"),IF($E73="正規職員","正",IF($E73="契約上の就業時間を記載","","実績を入力")),"-"))</f>
        <v/>
      </c>
      <c r="Q73" s="10" t="str">
        <f>IF($B73="","",IF(OR('②-1職員名簿'!AN73="○",'②-1職員名簿'!AN73="●"),IF($E73="正規職員","正",IF($E73="契約上の就業時間を記載","","実績を入力")),"-"))</f>
        <v/>
      </c>
      <c r="R73" s="101" t="str">
        <f>IF($B73="","",IF(OR('②-1職員名簿'!AC73="○",'②-1職員名簿'!AC73="●"),IF($E73="正規職員","正",IF($E73="契約上の就業時間を記載","",IF($E73&gt;=F$5,"常",F73))),"-"))</f>
        <v/>
      </c>
      <c r="S73" s="101" t="str">
        <f>IF($B73="","",IF(OR('②-1職員名簿'!AD73="○",'②-1職員名簿'!AD73="●"),IF($E73="正規職員","正",IF($E73="契約上の就業時間を記載","",IF($E73&gt;=G$5,"常",G73))),"-"))</f>
        <v/>
      </c>
      <c r="T73" s="101" t="str">
        <f>IF($B73="","",IF(OR('②-1職員名簿'!AE73="○",'②-1職員名簿'!AE73="●"),IF($E73="正規職員","正",IF($E73="契約上の就業時間を記載","",IF($E73&gt;=H$5,"常",H73))),"-"))</f>
        <v/>
      </c>
      <c r="U73" s="101" t="str">
        <f>IF($B73="","",IF(OR('②-1職員名簿'!AF73="○",'②-1職員名簿'!AF73="●"),IF($E73="正規職員","正",IF($E73="契約上の就業時間を記載","",IF($E73&gt;=I$5,"常",I73))),"-"))</f>
        <v/>
      </c>
      <c r="V73" s="101" t="str">
        <f>IF($B73="","",IF(OR('②-1職員名簿'!AG73="○",'②-1職員名簿'!AG73="●"),IF($E73="正規職員","正",IF($E73="契約上の就業時間を記載","",IF($E73&gt;=J$5,"常",J73))),"-"))</f>
        <v/>
      </c>
      <c r="W73" s="101" t="str">
        <f>IF($B73="","",IF(OR('②-1職員名簿'!AH73="○",'②-1職員名簿'!AH73="●"),IF($E73="正規職員","正",IF($E73="契約上の就業時間を記載","",IF($E73&gt;=K$5,"常",K73))),"-"))</f>
        <v/>
      </c>
      <c r="X73" s="101" t="str">
        <f>IF($B73="","",IF(OR('②-1職員名簿'!AI73="○",'②-1職員名簿'!AI73="●"),IF($E73="正規職員","正",IF($E73="契約上の就業時間を記載","",IF($E73&gt;=L$5,"常",L73))),"-"))</f>
        <v/>
      </c>
      <c r="Y73" s="101" t="str">
        <f>IF($B73="","",IF(OR('②-1職員名簿'!AJ73="○",'②-1職員名簿'!AJ73="●"),IF($E73="正規職員","正",IF($E73="契約上の就業時間を記載","",IF($E73&gt;=M$5,"常",M73))),"-"))</f>
        <v/>
      </c>
      <c r="Z73" s="101" t="str">
        <f>IF($B73="","",IF(OR('②-1職員名簿'!AK73="○",'②-1職員名簿'!AK73="●"),IF($E73="正規職員","正",IF($E73="契約上の就業時間を記載","",IF($E73&gt;=N$5,"常",N73))),"-"))</f>
        <v/>
      </c>
      <c r="AA73" s="101" t="str">
        <f>IF($B73="","",IF(OR('②-1職員名簿'!AL73="○",'②-1職員名簿'!AL73="●"),IF($E73="正規職員","正",IF($E73="契約上の就業時間を記載","",IF($E73&gt;=O$5,"常",O73))),"-"))</f>
        <v/>
      </c>
      <c r="AB73" s="101" t="str">
        <f>IF($B73="","",IF(OR('②-1職員名簿'!AM73="○",'②-1職員名簿'!AM73="●"),IF($E73="正規職員","正",IF($E73="契約上の就業時間を記載","",IF($E73&gt;=P$5,"常",P73))),"-"))</f>
        <v/>
      </c>
      <c r="AC73" s="101" t="str">
        <f>IF($B73="","",IF(OR('②-1職員名簿'!AN73="○",'②-1職員名簿'!AN73="●"),IF($E73="正規職員","正",IF($E73="契約上の就業時間を記載","",IF($E73&gt;=Q$5,"常",Q73))),"-"))</f>
        <v/>
      </c>
      <c r="AE73" s="98" t="str">
        <f>IF('②-1職員名簿'!W73="","",'②-1職員名簿'!W73)</f>
        <v/>
      </c>
      <c r="AJ73" s="18" t="str">
        <f t="shared" si="25"/>
        <v>○</v>
      </c>
      <c r="AK73" s="18" t="str">
        <f t="shared" si="13"/>
        <v>○</v>
      </c>
      <c r="AL73" s="18" t="str">
        <f t="shared" si="14"/>
        <v>○</v>
      </c>
      <c r="AM73" s="18" t="str">
        <f t="shared" si="15"/>
        <v>○</v>
      </c>
      <c r="AN73" s="18" t="str">
        <f t="shared" si="16"/>
        <v>○</v>
      </c>
      <c r="AO73" s="18" t="str">
        <f t="shared" si="17"/>
        <v>○</v>
      </c>
      <c r="AP73" s="18" t="str">
        <f t="shared" si="18"/>
        <v>○</v>
      </c>
      <c r="AQ73" s="18" t="str">
        <f t="shared" si="19"/>
        <v>○</v>
      </c>
      <c r="AR73" s="18" t="str">
        <f t="shared" si="20"/>
        <v>○</v>
      </c>
      <c r="AS73" s="18" t="str">
        <f t="shared" si="21"/>
        <v>○</v>
      </c>
      <c r="AT73" s="18" t="str">
        <f t="shared" si="22"/>
        <v>○</v>
      </c>
      <c r="AU73" s="18" t="str">
        <f t="shared" si="23"/>
        <v>○</v>
      </c>
    </row>
    <row r="74" spans="1:47" s="103" customFormat="1" ht="23.15" customHeight="1">
      <c r="A74" s="99">
        <v>68</v>
      </c>
      <c r="B74" s="98" t="str">
        <f>IF('②-1職員名簿'!E74="","",'②-1職員名簿'!Y74)</f>
        <v/>
      </c>
      <c r="C74" s="101" t="str">
        <f>'②-1職員名簿'!BE74</f>
        <v/>
      </c>
      <c r="D74" s="132" t="str">
        <f t="shared" si="24"/>
        <v/>
      </c>
      <c r="E74" s="19" t="str">
        <f>IF($B74="","",IF(AND('②-1職員名簿'!C74="正",'②-1職員名簿'!D74="常"),"正規職員","契約上の就業時間を記載"))</f>
        <v/>
      </c>
      <c r="F74" s="10" t="str">
        <f>IF($B74="","",IF(OR('②-1職員名簿'!AC74="○",'②-1職員名簿'!AC74="●"),IF($E74="正規職員","正",IF($E74="契約上の就業時間を記載","","見込を入力")),"-"))</f>
        <v/>
      </c>
      <c r="G74" s="10" t="str">
        <f>IF($B74="","",IF(OR('②-1職員名簿'!AD74="○",'②-1職員名簿'!AD74="●"),IF($E74="正規職員","正",IF($E74="契約上の就業時間を記載","","実績を入力")),"-"))</f>
        <v/>
      </c>
      <c r="H74" s="10" t="str">
        <f>IF($B74="","",IF(OR('②-1職員名簿'!AE74="○",'②-1職員名簿'!AE74="●"),IF($E74="正規職員","正",IF($E74="契約上の就業時間を記載","","実績を入力")),"-"))</f>
        <v/>
      </c>
      <c r="I74" s="10" t="str">
        <f>IF($B74="","",IF(OR('②-1職員名簿'!AF74="○",'②-1職員名簿'!AF74="●"),IF($E74="正規職員","正",IF($E74="契約上の就業時間を記載","","実績を入力")),"-"))</f>
        <v/>
      </c>
      <c r="J74" s="10" t="str">
        <f>IF($B74="","",IF(OR('②-1職員名簿'!AG74="○",'②-1職員名簿'!AG74="●"),IF($E74="正規職員","正",IF($E74="契約上の就業時間を記載","","実績を入力")),"-"))</f>
        <v/>
      </c>
      <c r="K74" s="10" t="str">
        <f>IF($B74="","",IF(OR('②-1職員名簿'!AH74="○",'②-1職員名簿'!AH74="●"),IF($E74="正規職員","正",IF($E74="契約上の就業時間を記載","","実績を入力")),"-"))</f>
        <v/>
      </c>
      <c r="L74" s="10" t="str">
        <f>IF($B74="","",IF(OR('②-1職員名簿'!AI74="○",'②-1職員名簿'!AI74="●"),IF($E74="正規職員","正",IF($E74="契約上の就業時間を記載","","実績を入力")),"-"))</f>
        <v/>
      </c>
      <c r="M74" s="10" t="str">
        <f>IF($B74="","",IF(OR('②-1職員名簿'!AJ74="○",'②-1職員名簿'!AJ74="●"),IF($E74="正規職員","正",IF($E74="契約上の就業時間を記載","","実績を入力")),"-"))</f>
        <v/>
      </c>
      <c r="N74" s="10" t="str">
        <f>IF($B74="","",IF(OR('②-1職員名簿'!AK74="○",'②-1職員名簿'!AK74="●"),IF($E74="正規職員","正",IF($E74="契約上の就業時間を記載","","実績を入力")),"-"))</f>
        <v/>
      </c>
      <c r="O74" s="10" t="str">
        <f>IF($B74="","",IF(OR('②-1職員名簿'!AL74="○",'②-1職員名簿'!AL74="●"),IF($E74="正規職員","正",IF($E74="契約上の就業時間を記載","","実績を入力")),"-"))</f>
        <v/>
      </c>
      <c r="P74" s="10" t="str">
        <f>IF($B74="","",IF(OR('②-1職員名簿'!AM74="○",'②-1職員名簿'!AM74="●"),IF($E74="正規職員","正",IF($E74="契約上の就業時間を記載","","実績を入力")),"-"))</f>
        <v/>
      </c>
      <c r="Q74" s="10" t="str">
        <f>IF($B74="","",IF(OR('②-1職員名簿'!AN74="○",'②-1職員名簿'!AN74="●"),IF($E74="正規職員","正",IF($E74="契約上の就業時間を記載","","実績を入力")),"-"))</f>
        <v/>
      </c>
      <c r="R74" s="101" t="str">
        <f>IF($B74="","",IF(OR('②-1職員名簿'!AC74="○",'②-1職員名簿'!AC74="●"),IF($E74="正規職員","正",IF($E74="契約上の就業時間を記載","",IF($E74&gt;=F$5,"常",F74))),"-"))</f>
        <v/>
      </c>
      <c r="S74" s="101" t="str">
        <f>IF($B74="","",IF(OR('②-1職員名簿'!AD74="○",'②-1職員名簿'!AD74="●"),IF($E74="正規職員","正",IF($E74="契約上の就業時間を記載","",IF($E74&gt;=G$5,"常",G74))),"-"))</f>
        <v/>
      </c>
      <c r="T74" s="101" t="str">
        <f>IF($B74="","",IF(OR('②-1職員名簿'!AE74="○",'②-1職員名簿'!AE74="●"),IF($E74="正規職員","正",IF($E74="契約上の就業時間を記載","",IF($E74&gt;=H$5,"常",H74))),"-"))</f>
        <v/>
      </c>
      <c r="U74" s="101" t="str">
        <f>IF($B74="","",IF(OR('②-1職員名簿'!AF74="○",'②-1職員名簿'!AF74="●"),IF($E74="正規職員","正",IF($E74="契約上の就業時間を記載","",IF($E74&gt;=I$5,"常",I74))),"-"))</f>
        <v/>
      </c>
      <c r="V74" s="101" t="str">
        <f>IF($B74="","",IF(OR('②-1職員名簿'!AG74="○",'②-1職員名簿'!AG74="●"),IF($E74="正規職員","正",IF($E74="契約上の就業時間を記載","",IF($E74&gt;=J$5,"常",J74))),"-"))</f>
        <v/>
      </c>
      <c r="W74" s="101" t="str">
        <f>IF($B74="","",IF(OR('②-1職員名簿'!AH74="○",'②-1職員名簿'!AH74="●"),IF($E74="正規職員","正",IF($E74="契約上の就業時間を記載","",IF($E74&gt;=K$5,"常",K74))),"-"))</f>
        <v/>
      </c>
      <c r="X74" s="101" t="str">
        <f>IF($B74="","",IF(OR('②-1職員名簿'!AI74="○",'②-1職員名簿'!AI74="●"),IF($E74="正規職員","正",IF($E74="契約上の就業時間を記載","",IF($E74&gt;=L$5,"常",L74))),"-"))</f>
        <v/>
      </c>
      <c r="Y74" s="101" t="str">
        <f>IF($B74="","",IF(OR('②-1職員名簿'!AJ74="○",'②-1職員名簿'!AJ74="●"),IF($E74="正規職員","正",IF($E74="契約上の就業時間を記載","",IF($E74&gt;=M$5,"常",M74))),"-"))</f>
        <v/>
      </c>
      <c r="Z74" s="101" t="str">
        <f>IF($B74="","",IF(OR('②-1職員名簿'!AK74="○",'②-1職員名簿'!AK74="●"),IF($E74="正規職員","正",IF($E74="契約上の就業時間を記載","",IF($E74&gt;=N$5,"常",N74))),"-"))</f>
        <v/>
      </c>
      <c r="AA74" s="101" t="str">
        <f>IF($B74="","",IF(OR('②-1職員名簿'!AL74="○",'②-1職員名簿'!AL74="●"),IF($E74="正規職員","正",IF($E74="契約上の就業時間を記載","",IF($E74&gt;=O$5,"常",O74))),"-"))</f>
        <v/>
      </c>
      <c r="AB74" s="101" t="str">
        <f>IF($B74="","",IF(OR('②-1職員名簿'!AM74="○",'②-1職員名簿'!AM74="●"),IF($E74="正規職員","正",IF($E74="契約上の就業時間を記載","",IF($E74&gt;=P$5,"常",P74))),"-"))</f>
        <v/>
      </c>
      <c r="AC74" s="101" t="str">
        <f>IF($B74="","",IF(OR('②-1職員名簿'!AN74="○",'②-1職員名簿'!AN74="●"),IF($E74="正規職員","正",IF($E74="契約上の就業時間を記載","",IF($E74&gt;=Q$5,"常",Q74))),"-"))</f>
        <v/>
      </c>
      <c r="AE74" s="98" t="str">
        <f>IF('②-1職員名簿'!W74="","",'②-1職員名簿'!W74)</f>
        <v/>
      </c>
      <c r="AJ74" s="18" t="str">
        <f t="shared" si="25"/>
        <v>○</v>
      </c>
      <c r="AK74" s="18" t="str">
        <f t="shared" si="13"/>
        <v>○</v>
      </c>
      <c r="AL74" s="18" t="str">
        <f t="shared" si="14"/>
        <v>○</v>
      </c>
      <c r="AM74" s="18" t="str">
        <f t="shared" si="15"/>
        <v>○</v>
      </c>
      <c r="AN74" s="18" t="str">
        <f t="shared" si="16"/>
        <v>○</v>
      </c>
      <c r="AO74" s="18" t="str">
        <f t="shared" si="17"/>
        <v>○</v>
      </c>
      <c r="AP74" s="18" t="str">
        <f t="shared" si="18"/>
        <v>○</v>
      </c>
      <c r="AQ74" s="18" t="str">
        <f t="shared" si="19"/>
        <v>○</v>
      </c>
      <c r="AR74" s="18" t="str">
        <f t="shared" si="20"/>
        <v>○</v>
      </c>
      <c r="AS74" s="18" t="str">
        <f t="shared" si="21"/>
        <v>○</v>
      </c>
      <c r="AT74" s="18" t="str">
        <f t="shared" si="22"/>
        <v>○</v>
      </c>
      <c r="AU74" s="18" t="str">
        <f t="shared" si="23"/>
        <v>○</v>
      </c>
    </row>
    <row r="75" spans="1:47" s="103" customFormat="1" ht="23.15" customHeight="1">
      <c r="A75" s="99">
        <v>69</v>
      </c>
      <c r="B75" s="98" t="str">
        <f>IF('②-1職員名簿'!E75="","",'②-1職員名簿'!Y75)</f>
        <v/>
      </c>
      <c r="C75" s="101" t="str">
        <f>'②-1職員名簿'!BE75</f>
        <v/>
      </c>
      <c r="D75" s="132" t="str">
        <f t="shared" si="24"/>
        <v/>
      </c>
      <c r="E75" s="19" t="str">
        <f>IF($B75="","",IF(AND('②-1職員名簿'!C75="正",'②-1職員名簿'!D75="常"),"正規職員","契約上の就業時間を記載"))</f>
        <v/>
      </c>
      <c r="F75" s="10" t="str">
        <f>IF($B75="","",IF(OR('②-1職員名簿'!AC75="○",'②-1職員名簿'!AC75="●"),IF($E75="正規職員","正",IF($E75="契約上の就業時間を記載","","見込を入力")),"-"))</f>
        <v/>
      </c>
      <c r="G75" s="10" t="str">
        <f>IF($B75="","",IF(OR('②-1職員名簿'!AD75="○",'②-1職員名簿'!AD75="●"),IF($E75="正規職員","正",IF($E75="契約上の就業時間を記載","","実績を入力")),"-"))</f>
        <v/>
      </c>
      <c r="H75" s="10" t="str">
        <f>IF($B75="","",IF(OR('②-1職員名簿'!AE75="○",'②-1職員名簿'!AE75="●"),IF($E75="正規職員","正",IF($E75="契約上の就業時間を記載","","実績を入力")),"-"))</f>
        <v/>
      </c>
      <c r="I75" s="10" t="str">
        <f>IF($B75="","",IF(OR('②-1職員名簿'!AF75="○",'②-1職員名簿'!AF75="●"),IF($E75="正規職員","正",IF($E75="契約上の就業時間を記載","","実績を入力")),"-"))</f>
        <v/>
      </c>
      <c r="J75" s="10" t="str">
        <f>IF($B75="","",IF(OR('②-1職員名簿'!AG75="○",'②-1職員名簿'!AG75="●"),IF($E75="正規職員","正",IF($E75="契約上の就業時間を記載","","実績を入力")),"-"))</f>
        <v/>
      </c>
      <c r="K75" s="10" t="str">
        <f>IF($B75="","",IF(OR('②-1職員名簿'!AH75="○",'②-1職員名簿'!AH75="●"),IF($E75="正規職員","正",IF($E75="契約上の就業時間を記載","","実績を入力")),"-"))</f>
        <v/>
      </c>
      <c r="L75" s="10" t="str">
        <f>IF($B75="","",IF(OR('②-1職員名簿'!AI75="○",'②-1職員名簿'!AI75="●"),IF($E75="正規職員","正",IF($E75="契約上の就業時間を記載","","実績を入力")),"-"))</f>
        <v/>
      </c>
      <c r="M75" s="10" t="str">
        <f>IF($B75="","",IF(OR('②-1職員名簿'!AJ75="○",'②-1職員名簿'!AJ75="●"),IF($E75="正規職員","正",IF($E75="契約上の就業時間を記載","","実績を入力")),"-"))</f>
        <v/>
      </c>
      <c r="N75" s="10" t="str">
        <f>IF($B75="","",IF(OR('②-1職員名簿'!AK75="○",'②-1職員名簿'!AK75="●"),IF($E75="正規職員","正",IF($E75="契約上の就業時間を記載","","実績を入力")),"-"))</f>
        <v/>
      </c>
      <c r="O75" s="10" t="str">
        <f>IF($B75="","",IF(OR('②-1職員名簿'!AL75="○",'②-1職員名簿'!AL75="●"),IF($E75="正規職員","正",IF($E75="契約上の就業時間を記載","","実績を入力")),"-"))</f>
        <v/>
      </c>
      <c r="P75" s="10" t="str">
        <f>IF($B75="","",IF(OR('②-1職員名簿'!AM75="○",'②-1職員名簿'!AM75="●"),IF($E75="正規職員","正",IF($E75="契約上の就業時間を記載","","実績を入力")),"-"))</f>
        <v/>
      </c>
      <c r="Q75" s="10" t="str">
        <f>IF($B75="","",IF(OR('②-1職員名簿'!AN75="○",'②-1職員名簿'!AN75="●"),IF($E75="正規職員","正",IF($E75="契約上の就業時間を記載","","実績を入力")),"-"))</f>
        <v/>
      </c>
      <c r="R75" s="101" t="str">
        <f>IF($B75="","",IF(OR('②-1職員名簿'!AC75="○",'②-1職員名簿'!AC75="●"),IF($E75="正規職員","正",IF($E75="契約上の就業時間を記載","",IF($E75&gt;=F$5,"常",F75))),"-"))</f>
        <v/>
      </c>
      <c r="S75" s="101" t="str">
        <f>IF($B75="","",IF(OR('②-1職員名簿'!AD75="○",'②-1職員名簿'!AD75="●"),IF($E75="正規職員","正",IF($E75="契約上の就業時間を記載","",IF($E75&gt;=G$5,"常",G75))),"-"))</f>
        <v/>
      </c>
      <c r="T75" s="101" t="str">
        <f>IF($B75="","",IF(OR('②-1職員名簿'!AE75="○",'②-1職員名簿'!AE75="●"),IF($E75="正規職員","正",IF($E75="契約上の就業時間を記載","",IF($E75&gt;=H$5,"常",H75))),"-"))</f>
        <v/>
      </c>
      <c r="U75" s="101" t="str">
        <f>IF($B75="","",IF(OR('②-1職員名簿'!AF75="○",'②-1職員名簿'!AF75="●"),IF($E75="正規職員","正",IF($E75="契約上の就業時間を記載","",IF($E75&gt;=I$5,"常",I75))),"-"))</f>
        <v/>
      </c>
      <c r="V75" s="101" t="str">
        <f>IF($B75="","",IF(OR('②-1職員名簿'!AG75="○",'②-1職員名簿'!AG75="●"),IF($E75="正規職員","正",IF($E75="契約上の就業時間を記載","",IF($E75&gt;=J$5,"常",J75))),"-"))</f>
        <v/>
      </c>
      <c r="W75" s="101" t="str">
        <f>IF($B75="","",IF(OR('②-1職員名簿'!AH75="○",'②-1職員名簿'!AH75="●"),IF($E75="正規職員","正",IF($E75="契約上の就業時間を記載","",IF($E75&gt;=K$5,"常",K75))),"-"))</f>
        <v/>
      </c>
      <c r="X75" s="101" t="str">
        <f>IF($B75="","",IF(OR('②-1職員名簿'!AI75="○",'②-1職員名簿'!AI75="●"),IF($E75="正規職員","正",IF($E75="契約上の就業時間を記載","",IF($E75&gt;=L$5,"常",L75))),"-"))</f>
        <v/>
      </c>
      <c r="Y75" s="101" t="str">
        <f>IF($B75="","",IF(OR('②-1職員名簿'!AJ75="○",'②-1職員名簿'!AJ75="●"),IF($E75="正規職員","正",IF($E75="契約上の就業時間を記載","",IF($E75&gt;=M$5,"常",M75))),"-"))</f>
        <v/>
      </c>
      <c r="Z75" s="101" t="str">
        <f>IF($B75="","",IF(OR('②-1職員名簿'!AK75="○",'②-1職員名簿'!AK75="●"),IF($E75="正規職員","正",IF($E75="契約上の就業時間を記載","",IF($E75&gt;=N$5,"常",N75))),"-"))</f>
        <v/>
      </c>
      <c r="AA75" s="101" t="str">
        <f>IF($B75="","",IF(OR('②-1職員名簿'!AL75="○",'②-1職員名簿'!AL75="●"),IF($E75="正規職員","正",IF($E75="契約上の就業時間を記載","",IF($E75&gt;=O$5,"常",O75))),"-"))</f>
        <v/>
      </c>
      <c r="AB75" s="101" t="str">
        <f>IF($B75="","",IF(OR('②-1職員名簿'!AM75="○",'②-1職員名簿'!AM75="●"),IF($E75="正規職員","正",IF($E75="契約上の就業時間を記載","",IF($E75&gt;=P$5,"常",P75))),"-"))</f>
        <v/>
      </c>
      <c r="AC75" s="101" t="str">
        <f>IF($B75="","",IF(OR('②-1職員名簿'!AN75="○",'②-1職員名簿'!AN75="●"),IF($E75="正規職員","正",IF($E75="契約上の就業時間を記載","",IF($E75&gt;=Q$5,"常",Q75))),"-"))</f>
        <v/>
      </c>
      <c r="AE75" s="98" t="str">
        <f>IF('②-1職員名簿'!W75="","",'②-1職員名簿'!W75)</f>
        <v/>
      </c>
      <c r="AJ75" s="18" t="str">
        <f t="shared" si="25"/>
        <v>○</v>
      </c>
      <c r="AK75" s="18" t="str">
        <f t="shared" si="13"/>
        <v>○</v>
      </c>
      <c r="AL75" s="18" t="str">
        <f t="shared" si="14"/>
        <v>○</v>
      </c>
      <c r="AM75" s="18" t="str">
        <f t="shared" si="15"/>
        <v>○</v>
      </c>
      <c r="AN75" s="18" t="str">
        <f t="shared" si="16"/>
        <v>○</v>
      </c>
      <c r="AO75" s="18" t="str">
        <f t="shared" si="17"/>
        <v>○</v>
      </c>
      <c r="AP75" s="18" t="str">
        <f t="shared" si="18"/>
        <v>○</v>
      </c>
      <c r="AQ75" s="18" t="str">
        <f t="shared" si="19"/>
        <v>○</v>
      </c>
      <c r="AR75" s="18" t="str">
        <f t="shared" si="20"/>
        <v>○</v>
      </c>
      <c r="AS75" s="18" t="str">
        <f t="shared" si="21"/>
        <v>○</v>
      </c>
      <c r="AT75" s="18" t="str">
        <f t="shared" si="22"/>
        <v>○</v>
      </c>
      <c r="AU75" s="18" t="str">
        <f t="shared" si="23"/>
        <v>○</v>
      </c>
    </row>
    <row r="76" spans="1:47" s="103" customFormat="1" ht="23.15" customHeight="1">
      <c r="A76" s="99">
        <v>70</v>
      </c>
      <c r="B76" s="98" t="str">
        <f>IF('②-1職員名簿'!E76="","",'②-1職員名簿'!Y76)</f>
        <v/>
      </c>
      <c r="C76" s="101" t="str">
        <f>'②-1職員名簿'!BE76</f>
        <v/>
      </c>
      <c r="D76" s="132" t="str">
        <f t="shared" si="24"/>
        <v/>
      </c>
      <c r="E76" s="19" t="str">
        <f>IF($B76="","",IF(AND('②-1職員名簿'!C76="正",'②-1職員名簿'!D76="常"),"正規職員","契約上の就業時間を記載"))</f>
        <v/>
      </c>
      <c r="F76" s="10" t="str">
        <f>IF($B76="","",IF(OR('②-1職員名簿'!AC76="○",'②-1職員名簿'!AC76="●"),IF($E76="正規職員","正",IF($E76="契約上の就業時間を記載","","見込を入力")),"-"))</f>
        <v/>
      </c>
      <c r="G76" s="10" t="str">
        <f>IF($B76="","",IF(OR('②-1職員名簿'!AD76="○",'②-1職員名簿'!AD76="●"),IF($E76="正規職員","正",IF($E76="契約上の就業時間を記載","","実績を入力")),"-"))</f>
        <v/>
      </c>
      <c r="H76" s="10" t="str">
        <f>IF($B76="","",IF(OR('②-1職員名簿'!AE76="○",'②-1職員名簿'!AE76="●"),IF($E76="正規職員","正",IF($E76="契約上の就業時間を記載","","実績を入力")),"-"))</f>
        <v/>
      </c>
      <c r="I76" s="10" t="str">
        <f>IF($B76="","",IF(OR('②-1職員名簿'!AF76="○",'②-1職員名簿'!AF76="●"),IF($E76="正規職員","正",IF($E76="契約上の就業時間を記載","","実績を入力")),"-"))</f>
        <v/>
      </c>
      <c r="J76" s="10" t="str">
        <f>IF($B76="","",IF(OR('②-1職員名簿'!AG76="○",'②-1職員名簿'!AG76="●"),IF($E76="正規職員","正",IF($E76="契約上の就業時間を記載","","実績を入力")),"-"))</f>
        <v/>
      </c>
      <c r="K76" s="10" t="str">
        <f>IF($B76="","",IF(OR('②-1職員名簿'!AH76="○",'②-1職員名簿'!AH76="●"),IF($E76="正規職員","正",IF($E76="契約上の就業時間を記載","","実績を入力")),"-"))</f>
        <v/>
      </c>
      <c r="L76" s="10" t="str">
        <f>IF($B76="","",IF(OR('②-1職員名簿'!AI76="○",'②-1職員名簿'!AI76="●"),IF($E76="正規職員","正",IF($E76="契約上の就業時間を記載","","実績を入力")),"-"))</f>
        <v/>
      </c>
      <c r="M76" s="10" t="str">
        <f>IF($B76="","",IF(OR('②-1職員名簿'!AJ76="○",'②-1職員名簿'!AJ76="●"),IF($E76="正規職員","正",IF($E76="契約上の就業時間を記載","","実績を入力")),"-"))</f>
        <v/>
      </c>
      <c r="N76" s="10" t="str">
        <f>IF($B76="","",IF(OR('②-1職員名簿'!AK76="○",'②-1職員名簿'!AK76="●"),IF($E76="正規職員","正",IF($E76="契約上の就業時間を記載","","実績を入力")),"-"))</f>
        <v/>
      </c>
      <c r="O76" s="10" t="str">
        <f>IF($B76="","",IF(OR('②-1職員名簿'!AL76="○",'②-1職員名簿'!AL76="●"),IF($E76="正規職員","正",IF($E76="契約上の就業時間を記載","","実績を入力")),"-"))</f>
        <v/>
      </c>
      <c r="P76" s="10" t="str">
        <f>IF($B76="","",IF(OR('②-1職員名簿'!AM76="○",'②-1職員名簿'!AM76="●"),IF($E76="正規職員","正",IF($E76="契約上の就業時間を記載","","実績を入力")),"-"))</f>
        <v/>
      </c>
      <c r="Q76" s="10" t="str">
        <f>IF($B76="","",IF(OR('②-1職員名簿'!AN76="○",'②-1職員名簿'!AN76="●"),IF($E76="正規職員","正",IF($E76="契約上の就業時間を記載","","実績を入力")),"-"))</f>
        <v/>
      </c>
      <c r="R76" s="101" t="str">
        <f>IF($B76="","",IF(OR('②-1職員名簿'!AC76="○",'②-1職員名簿'!AC76="●"),IF($E76="正規職員","正",IF($E76="契約上の就業時間を記載","",IF($E76&gt;=F$5,"常",F76))),"-"))</f>
        <v/>
      </c>
      <c r="S76" s="101" t="str">
        <f>IF($B76="","",IF(OR('②-1職員名簿'!AD76="○",'②-1職員名簿'!AD76="●"),IF($E76="正規職員","正",IF($E76="契約上の就業時間を記載","",IF($E76&gt;=G$5,"常",G76))),"-"))</f>
        <v/>
      </c>
      <c r="T76" s="101" t="str">
        <f>IF($B76="","",IF(OR('②-1職員名簿'!AE76="○",'②-1職員名簿'!AE76="●"),IF($E76="正規職員","正",IF($E76="契約上の就業時間を記載","",IF($E76&gt;=H$5,"常",H76))),"-"))</f>
        <v/>
      </c>
      <c r="U76" s="101" t="str">
        <f>IF($B76="","",IF(OR('②-1職員名簿'!AF76="○",'②-1職員名簿'!AF76="●"),IF($E76="正規職員","正",IF($E76="契約上の就業時間を記載","",IF($E76&gt;=I$5,"常",I76))),"-"))</f>
        <v/>
      </c>
      <c r="V76" s="101" t="str">
        <f>IF($B76="","",IF(OR('②-1職員名簿'!AG76="○",'②-1職員名簿'!AG76="●"),IF($E76="正規職員","正",IF($E76="契約上の就業時間を記載","",IF($E76&gt;=J$5,"常",J76))),"-"))</f>
        <v/>
      </c>
      <c r="W76" s="101" t="str">
        <f>IF($B76="","",IF(OR('②-1職員名簿'!AH76="○",'②-1職員名簿'!AH76="●"),IF($E76="正規職員","正",IF($E76="契約上の就業時間を記載","",IF($E76&gt;=K$5,"常",K76))),"-"))</f>
        <v/>
      </c>
      <c r="X76" s="101" t="str">
        <f>IF($B76="","",IF(OR('②-1職員名簿'!AI76="○",'②-1職員名簿'!AI76="●"),IF($E76="正規職員","正",IF($E76="契約上の就業時間を記載","",IF($E76&gt;=L$5,"常",L76))),"-"))</f>
        <v/>
      </c>
      <c r="Y76" s="101" t="str">
        <f>IF($B76="","",IF(OR('②-1職員名簿'!AJ76="○",'②-1職員名簿'!AJ76="●"),IF($E76="正規職員","正",IF($E76="契約上の就業時間を記載","",IF($E76&gt;=M$5,"常",M76))),"-"))</f>
        <v/>
      </c>
      <c r="Z76" s="101" t="str">
        <f>IF($B76="","",IF(OR('②-1職員名簿'!AK76="○",'②-1職員名簿'!AK76="●"),IF($E76="正規職員","正",IF($E76="契約上の就業時間を記載","",IF($E76&gt;=N$5,"常",N76))),"-"))</f>
        <v/>
      </c>
      <c r="AA76" s="101" t="str">
        <f>IF($B76="","",IF(OR('②-1職員名簿'!AL76="○",'②-1職員名簿'!AL76="●"),IF($E76="正規職員","正",IF($E76="契約上の就業時間を記載","",IF($E76&gt;=O$5,"常",O76))),"-"))</f>
        <v/>
      </c>
      <c r="AB76" s="101" t="str">
        <f>IF($B76="","",IF(OR('②-1職員名簿'!AM76="○",'②-1職員名簿'!AM76="●"),IF($E76="正規職員","正",IF($E76="契約上の就業時間を記載","",IF($E76&gt;=P$5,"常",P76))),"-"))</f>
        <v/>
      </c>
      <c r="AC76" s="101" t="str">
        <f>IF($B76="","",IF(OR('②-1職員名簿'!AN76="○",'②-1職員名簿'!AN76="●"),IF($E76="正規職員","正",IF($E76="契約上の就業時間を記載","",IF($E76&gt;=Q$5,"常",Q76))),"-"))</f>
        <v/>
      </c>
      <c r="AE76" s="98" t="str">
        <f>IF('②-1職員名簿'!W76="","",'②-1職員名簿'!W76)</f>
        <v/>
      </c>
      <c r="AJ76" s="18" t="str">
        <f t="shared" si="25"/>
        <v>○</v>
      </c>
      <c r="AK76" s="18" t="str">
        <f t="shared" si="13"/>
        <v>○</v>
      </c>
      <c r="AL76" s="18" t="str">
        <f t="shared" si="14"/>
        <v>○</v>
      </c>
      <c r="AM76" s="18" t="str">
        <f t="shared" si="15"/>
        <v>○</v>
      </c>
      <c r="AN76" s="18" t="str">
        <f t="shared" si="16"/>
        <v>○</v>
      </c>
      <c r="AO76" s="18" t="str">
        <f t="shared" si="17"/>
        <v>○</v>
      </c>
      <c r="AP76" s="18" t="str">
        <f t="shared" si="18"/>
        <v>○</v>
      </c>
      <c r="AQ76" s="18" t="str">
        <f t="shared" si="19"/>
        <v>○</v>
      </c>
      <c r="AR76" s="18" t="str">
        <f t="shared" si="20"/>
        <v>○</v>
      </c>
      <c r="AS76" s="18" t="str">
        <f t="shared" si="21"/>
        <v>○</v>
      </c>
      <c r="AT76" s="18" t="str">
        <f t="shared" si="22"/>
        <v>○</v>
      </c>
      <c r="AU76" s="18" t="str">
        <f t="shared" si="23"/>
        <v>○</v>
      </c>
    </row>
    <row r="77" spans="1:47" s="103" customFormat="1" ht="23.15" customHeight="1">
      <c r="A77" s="99">
        <v>71</v>
      </c>
      <c r="B77" s="98" t="str">
        <f>IF('②-1職員名簿'!E77="","",'②-1職員名簿'!Y77)</f>
        <v/>
      </c>
      <c r="C77" s="101" t="str">
        <f>'②-1職員名簿'!BE77</f>
        <v/>
      </c>
      <c r="D77" s="132" t="str">
        <f t="shared" si="24"/>
        <v/>
      </c>
      <c r="E77" s="19" t="str">
        <f>IF($B77="","",IF(AND('②-1職員名簿'!C77="正",'②-1職員名簿'!D77="常"),"正規職員","契約上の就業時間を記載"))</f>
        <v/>
      </c>
      <c r="F77" s="10" t="str">
        <f>IF($B77="","",IF(OR('②-1職員名簿'!AC77="○",'②-1職員名簿'!AC77="●"),IF($E77="正規職員","正",IF($E77="契約上の就業時間を記載","","見込を入力")),"-"))</f>
        <v/>
      </c>
      <c r="G77" s="10" t="str">
        <f>IF($B77="","",IF(OR('②-1職員名簿'!AD77="○",'②-1職員名簿'!AD77="●"),IF($E77="正規職員","正",IF($E77="契約上の就業時間を記載","","実績を入力")),"-"))</f>
        <v/>
      </c>
      <c r="H77" s="10" t="str">
        <f>IF($B77="","",IF(OR('②-1職員名簿'!AE77="○",'②-1職員名簿'!AE77="●"),IF($E77="正規職員","正",IF($E77="契約上の就業時間を記載","","実績を入力")),"-"))</f>
        <v/>
      </c>
      <c r="I77" s="10" t="str">
        <f>IF($B77="","",IF(OR('②-1職員名簿'!AF77="○",'②-1職員名簿'!AF77="●"),IF($E77="正規職員","正",IF($E77="契約上の就業時間を記載","","実績を入力")),"-"))</f>
        <v/>
      </c>
      <c r="J77" s="10" t="str">
        <f>IF($B77="","",IF(OR('②-1職員名簿'!AG77="○",'②-1職員名簿'!AG77="●"),IF($E77="正規職員","正",IF($E77="契約上の就業時間を記載","","実績を入力")),"-"))</f>
        <v/>
      </c>
      <c r="K77" s="10" t="str">
        <f>IF($B77="","",IF(OR('②-1職員名簿'!AH77="○",'②-1職員名簿'!AH77="●"),IF($E77="正規職員","正",IF($E77="契約上の就業時間を記載","","実績を入力")),"-"))</f>
        <v/>
      </c>
      <c r="L77" s="10" t="str">
        <f>IF($B77="","",IF(OR('②-1職員名簿'!AI77="○",'②-1職員名簿'!AI77="●"),IF($E77="正規職員","正",IF($E77="契約上の就業時間を記載","","実績を入力")),"-"))</f>
        <v/>
      </c>
      <c r="M77" s="10" t="str">
        <f>IF($B77="","",IF(OR('②-1職員名簿'!AJ77="○",'②-1職員名簿'!AJ77="●"),IF($E77="正規職員","正",IF($E77="契約上の就業時間を記載","","実績を入力")),"-"))</f>
        <v/>
      </c>
      <c r="N77" s="10" t="str">
        <f>IF($B77="","",IF(OR('②-1職員名簿'!AK77="○",'②-1職員名簿'!AK77="●"),IF($E77="正規職員","正",IF($E77="契約上の就業時間を記載","","実績を入力")),"-"))</f>
        <v/>
      </c>
      <c r="O77" s="10" t="str">
        <f>IF($B77="","",IF(OR('②-1職員名簿'!AL77="○",'②-1職員名簿'!AL77="●"),IF($E77="正規職員","正",IF($E77="契約上の就業時間を記載","","実績を入力")),"-"))</f>
        <v/>
      </c>
      <c r="P77" s="10" t="str">
        <f>IF($B77="","",IF(OR('②-1職員名簿'!AM77="○",'②-1職員名簿'!AM77="●"),IF($E77="正規職員","正",IF($E77="契約上の就業時間を記載","","実績を入力")),"-"))</f>
        <v/>
      </c>
      <c r="Q77" s="10" t="str">
        <f>IF($B77="","",IF(OR('②-1職員名簿'!AN77="○",'②-1職員名簿'!AN77="●"),IF($E77="正規職員","正",IF($E77="契約上の就業時間を記載","","実績を入力")),"-"))</f>
        <v/>
      </c>
      <c r="R77" s="101" t="str">
        <f>IF($B77="","",IF(OR('②-1職員名簿'!AC77="○",'②-1職員名簿'!AC77="●"),IF($E77="正規職員","正",IF($E77="契約上の就業時間を記載","",IF($E77&gt;=F$5,"常",F77))),"-"))</f>
        <v/>
      </c>
      <c r="S77" s="101" t="str">
        <f>IF($B77="","",IF(OR('②-1職員名簿'!AD77="○",'②-1職員名簿'!AD77="●"),IF($E77="正規職員","正",IF($E77="契約上の就業時間を記載","",IF($E77&gt;=G$5,"常",G77))),"-"))</f>
        <v/>
      </c>
      <c r="T77" s="101" t="str">
        <f>IF($B77="","",IF(OR('②-1職員名簿'!AE77="○",'②-1職員名簿'!AE77="●"),IF($E77="正規職員","正",IF($E77="契約上の就業時間を記載","",IF($E77&gt;=H$5,"常",H77))),"-"))</f>
        <v/>
      </c>
      <c r="U77" s="101" t="str">
        <f>IF($B77="","",IF(OR('②-1職員名簿'!AF77="○",'②-1職員名簿'!AF77="●"),IF($E77="正規職員","正",IF($E77="契約上の就業時間を記載","",IF($E77&gt;=I$5,"常",I77))),"-"))</f>
        <v/>
      </c>
      <c r="V77" s="101" t="str">
        <f>IF($B77="","",IF(OR('②-1職員名簿'!AG77="○",'②-1職員名簿'!AG77="●"),IF($E77="正規職員","正",IF($E77="契約上の就業時間を記載","",IF($E77&gt;=J$5,"常",J77))),"-"))</f>
        <v/>
      </c>
      <c r="W77" s="101" t="str">
        <f>IF($B77="","",IF(OR('②-1職員名簿'!AH77="○",'②-1職員名簿'!AH77="●"),IF($E77="正規職員","正",IF($E77="契約上の就業時間を記載","",IF($E77&gt;=K$5,"常",K77))),"-"))</f>
        <v/>
      </c>
      <c r="X77" s="101" t="str">
        <f>IF($B77="","",IF(OR('②-1職員名簿'!AI77="○",'②-1職員名簿'!AI77="●"),IF($E77="正規職員","正",IF($E77="契約上の就業時間を記載","",IF($E77&gt;=L$5,"常",L77))),"-"))</f>
        <v/>
      </c>
      <c r="Y77" s="101" t="str">
        <f>IF($B77="","",IF(OR('②-1職員名簿'!AJ77="○",'②-1職員名簿'!AJ77="●"),IF($E77="正規職員","正",IF($E77="契約上の就業時間を記載","",IF($E77&gt;=M$5,"常",M77))),"-"))</f>
        <v/>
      </c>
      <c r="Z77" s="101" t="str">
        <f>IF($B77="","",IF(OR('②-1職員名簿'!AK77="○",'②-1職員名簿'!AK77="●"),IF($E77="正規職員","正",IF($E77="契約上の就業時間を記載","",IF($E77&gt;=N$5,"常",N77))),"-"))</f>
        <v/>
      </c>
      <c r="AA77" s="101" t="str">
        <f>IF($B77="","",IF(OR('②-1職員名簿'!AL77="○",'②-1職員名簿'!AL77="●"),IF($E77="正規職員","正",IF($E77="契約上の就業時間を記載","",IF($E77&gt;=O$5,"常",O77))),"-"))</f>
        <v/>
      </c>
      <c r="AB77" s="101" t="str">
        <f>IF($B77="","",IF(OR('②-1職員名簿'!AM77="○",'②-1職員名簿'!AM77="●"),IF($E77="正規職員","正",IF($E77="契約上の就業時間を記載","",IF($E77&gt;=P$5,"常",P77))),"-"))</f>
        <v/>
      </c>
      <c r="AC77" s="101" t="str">
        <f>IF($B77="","",IF(OR('②-1職員名簿'!AN77="○",'②-1職員名簿'!AN77="●"),IF($E77="正規職員","正",IF($E77="契約上の就業時間を記載","",IF($E77&gt;=Q$5,"常",Q77))),"-"))</f>
        <v/>
      </c>
      <c r="AE77" s="98" t="str">
        <f>IF('②-1職員名簿'!W77="","",'②-1職員名簿'!W77)</f>
        <v/>
      </c>
      <c r="AJ77" s="18" t="str">
        <f t="shared" si="25"/>
        <v>○</v>
      </c>
      <c r="AK77" s="18" t="str">
        <f t="shared" si="13"/>
        <v>○</v>
      </c>
      <c r="AL77" s="18" t="str">
        <f t="shared" si="14"/>
        <v>○</v>
      </c>
      <c r="AM77" s="18" t="str">
        <f t="shared" si="15"/>
        <v>○</v>
      </c>
      <c r="AN77" s="18" t="str">
        <f t="shared" si="16"/>
        <v>○</v>
      </c>
      <c r="AO77" s="18" t="str">
        <f t="shared" si="17"/>
        <v>○</v>
      </c>
      <c r="AP77" s="18" t="str">
        <f t="shared" si="18"/>
        <v>○</v>
      </c>
      <c r="AQ77" s="18" t="str">
        <f t="shared" si="19"/>
        <v>○</v>
      </c>
      <c r="AR77" s="18" t="str">
        <f t="shared" si="20"/>
        <v>○</v>
      </c>
      <c r="AS77" s="18" t="str">
        <f t="shared" si="21"/>
        <v>○</v>
      </c>
      <c r="AT77" s="18" t="str">
        <f t="shared" si="22"/>
        <v>○</v>
      </c>
      <c r="AU77" s="18" t="str">
        <f t="shared" si="23"/>
        <v>○</v>
      </c>
    </row>
    <row r="78" spans="1:47" s="103" customFormat="1" ht="23.15" customHeight="1">
      <c r="A78" s="99">
        <v>72</v>
      </c>
      <c r="B78" s="98" t="str">
        <f>IF('②-1職員名簿'!E78="","",'②-1職員名簿'!Y78)</f>
        <v/>
      </c>
      <c r="C78" s="101" t="str">
        <f>'②-1職員名簿'!BE78</f>
        <v/>
      </c>
      <c r="D78" s="132" t="str">
        <f t="shared" si="24"/>
        <v/>
      </c>
      <c r="E78" s="19" t="str">
        <f>IF($B78="","",IF(AND('②-1職員名簿'!C78="正",'②-1職員名簿'!D78="常"),"正規職員","契約上の就業時間を記載"))</f>
        <v/>
      </c>
      <c r="F78" s="10" t="str">
        <f>IF($B78="","",IF(OR('②-1職員名簿'!AC78="○",'②-1職員名簿'!AC78="●"),IF($E78="正規職員","正",IF($E78="契約上の就業時間を記載","","見込を入力")),"-"))</f>
        <v/>
      </c>
      <c r="G78" s="10" t="str">
        <f>IF($B78="","",IF(OR('②-1職員名簿'!AD78="○",'②-1職員名簿'!AD78="●"),IF($E78="正規職員","正",IF($E78="契約上の就業時間を記載","","実績を入力")),"-"))</f>
        <v/>
      </c>
      <c r="H78" s="10" t="str">
        <f>IF($B78="","",IF(OR('②-1職員名簿'!AE78="○",'②-1職員名簿'!AE78="●"),IF($E78="正規職員","正",IF($E78="契約上の就業時間を記載","","実績を入力")),"-"))</f>
        <v/>
      </c>
      <c r="I78" s="10" t="str">
        <f>IF($B78="","",IF(OR('②-1職員名簿'!AF78="○",'②-1職員名簿'!AF78="●"),IF($E78="正規職員","正",IF($E78="契約上の就業時間を記載","","実績を入力")),"-"))</f>
        <v/>
      </c>
      <c r="J78" s="10" t="str">
        <f>IF($B78="","",IF(OR('②-1職員名簿'!AG78="○",'②-1職員名簿'!AG78="●"),IF($E78="正規職員","正",IF($E78="契約上の就業時間を記載","","実績を入力")),"-"))</f>
        <v/>
      </c>
      <c r="K78" s="10" t="str">
        <f>IF($B78="","",IF(OR('②-1職員名簿'!AH78="○",'②-1職員名簿'!AH78="●"),IF($E78="正規職員","正",IF($E78="契約上の就業時間を記載","","実績を入力")),"-"))</f>
        <v/>
      </c>
      <c r="L78" s="10" t="str">
        <f>IF($B78="","",IF(OR('②-1職員名簿'!AI78="○",'②-1職員名簿'!AI78="●"),IF($E78="正規職員","正",IF($E78="契約上の就業時間を記載","","実績を入力")),"-"))</f>
        <v/>
      </c>
      <c r="M78" s="10" t="str">
        <f>IF($B78="","",IF(OR('②-1職員名簿'!AJ78="○",'②-1職員名簿'!AJ78="●"),IF($E78="正規職員","正",IF($E78="契約上の就業時間を記載","","実績を入力")),"-"))</f>
        <v/>
      </c>
      <c r="N78" s="10" t="str">
        <f>IF($B78="","",IF(OR('②-1職員名簿'!AK78="○",'②-1職員名簿'!AK78="●"),IF($E78="正規職員","正",IF($E78="契約上の就業時間を記載","","実績を入力")),"-"))</f>
        <v/>
      </c>
      <c r="O78" s="10" t="str">
        <f>IF($B78="","",IF(OR('②-1職員名簿'!AL78="○",'②-1職員名簿'!AL78="●"),IF($E78="正規職員","正",IF($E78="契約上の就業時間を記載","","実績を入力")),"-"))</f>
        <v/>
      </c>
      <c r="P78" s="10" t="str">
        <f>IF($B78="","",IF(OR('②-1職員名簿'!AM78="○",'②-1職員名簿'!AM78="●"),IF($E78="正規職員","正",IF($E78="契約上の就業時間を記載","","実績を入力")),"-"))</f>
        <v/>
      </c>
      <c r="Q78" s="10" t="str">
        <f>IF($B78="","",IF(OR('②-1職員名簿'!AN78="○",'②-1職員名簿'!AN78="●"),IF($E78="正規職員","正",IF($E78="契約上の就業時間を記載","","実績を入力")),"-"))</f>
        <v/>
      </c>
      <c r="R78" s="101" t="str">
        <f>IF($B78="","",IF(OR('②-1職員名簿'!AC78="○",'②-1職員名簿'!AC78="●"),IF($E78="正規職員","正",IF($E78="契約上の就業時間を記載","",IF($E78&gt;=F$5,"常",F78))),"-"))</f>
        <v/>
      </c>
      <c r="S78" s="101" t="str">
        <f>IF($B78="","",IF(OR('②-1職員名簿'!AD78="○",'②-1職員名簿'!AD78="●"),IF($E78="正規職員","正",IF($E78="契約上の就業時間を記載","",IF($E78&gt;=G$5,"常",G78))),"-"))</f>
        <v/>
      </c>
      <c r="T78" s="101" t="str">
        <f>IF($B78="","",IF(OR('②-1職員名簿'!AE78="○",'②-1職員名簿'!AE78="●"),IF($E78="正規職員","正",IF($E78="契約上の就業時間を記載","",IF($E78&gt;=H$5,"常",H78))),"-"))</f>
        <v/>
      </c>
      <c r="U78" s="101" t="str">
        <f>IF($B78="","",IF(OR('②-1職員名簿'!AF78="○",'②-1職員名簿'!AF78="●"),IF($E78="正規職員","正",IF($E78="契約上の就業時間を記載","",IF($E78&gt;=I$5,"常",I78))),"-"))</f>
        <v/>
      </c>
      <c r="V78" s="101" t="str">
        <f>IF($B78="","",IF(OR('②-1職員名簿'!AG78="○",'②-1職員名簿'!AG78="●"),IF($E78="正規職員","正",IF($E78="契約上の就業時間を記載","",IF($E78&gt;=J$5,"常",J78))),"-"))</f>
        <v/>
      </c>
      <c r="W78" s="101" t="str">
        <f>IF($B78="","",IF(OR('②-1職員名簿'!AH78="○",'②-1職員名簿'!AH78="●"),IF($E78="正規職員","正",IF($E78="契約上の就業時間を記載","",IF($E78&gt;=K$5,"常",K78))),"-"))</f>
        <v/>
      </c>
      <c r="X78" s="101" t="str">
        <f>IF($B78="","",IF(OR('②-1職員名簿'!AI78="○",'②-1職員名簿'!AI78="●"),IF($E78="正規職員","正",IF($E78="契約上の就業時間を記載","",IF($E78&gt;=L$5,"常",L78))),"-"))</f>
        <v/>
      </c>
      <c r="Y78" s="101" t="str">
        <f>IF($B78="","",IF(OR('②-1職員名簿'!AJ78="○",'②-1職員名簿'!AJ78="●"),IF($E78="正規職員","正",IF($E78="契約上の就業時間を記載","",IF($E78&gt;=M$5,"常",M78))),"-"))</f>
        <v/>
      </c>
      <c r="Z78" s="101" t="str">
        <f>IF($B78="","",IF(OR('②-1職員名簿'!AK78="○",'②-1職員名簿'!AK78="●"),IF($E78="正規職員","正",IF($E78="契約上の就業時間を記載","",IF($E78&gt;=N$5,"常",N78))),"-"))</f>
        <v/>
      </c>
      <c r="AA78" s="101" t="str">
        <f>IF($B78="","",IF(OR('②-1職員名簿'!AL78="○",'②-1職員名簿'!AL78="●"),IF($E78="正規職員","正",IF($E78="契約上の就業時間を記載","",IF($E78&gt;=O$5,"常",O78))),"-"))</f>
        <v/>
      </c>
      <c r="AB78" s="101" t="str">
        <f>IF($B78="","",IF(OR('②-1職員名簿'!AM78="○",'②-1職員名簿'!AM78="●"),IF($E78="正規職員","正",IF($E78="契約上の就業時間を記載","",IF($E78&gt;=P$5,"常",P78))),"-"))</f>
        <v/>
      </c>
      <c r="AC78" s="101" t="str">
        <f>IF($B78="","",IF(OR('②-1職員名簿'!AN78="○",'②-1職員名簿'!AN78="●"),IF($E78="正規職員","正",IF($E78="契約上の就業時間を記載","",IF($E78&gt;=Q$5,"常",Q78))),"-"))</f>
        <v/>
      </c>
      <c r="AE78" s="98" t="str">
        <f>IF('②-1職員名簿'!W78="","",'②-1職員名簿'!W78)</f>
        <v/>
      </c>
      <c r="AJ78" s="18" t="str">
        <f t="shared" si="25"/>
        <v>○</v>
      </c>
      <c r="AK78" s="18" t="str">
        <f t="shared" si="13"/>
        <v>○</v>
      </c>
      <c r="AL78" s="18" t="str">
        <f t="shared" si="14"/>
        <v>○</v>
      </c>
      <c r="AM78" s="18" t="str">
        <f t="shared" si="15"/>
        <v>○</v>
      </c>
      <c r="AN78" s="18" t="str">
        <f t="shared" si="16"/>
        <v>○</v>
      </c>
      <c r="AO78" s="18" t="str">
        <f t="shared" si="17"/>
        <v>○</v>
      </c>
      <c r="AP78" s="18" t="str">
        <f t="shared" si="18"/>
        <v>○</v>
      </c>
      <c r="AQ78" s="18" t="str">
        <f t="shared" si="19"/>
        <v>○</v>
      </c>
      <c r="AR78" s="18" t="str">
        <f t="shared" si="20"/>
        <v>○</v>
      </c>
      <c r="AS78" s="18" t="str">
        <f t="shared" si="21"/>
        <v>○</v>
      </c>
      <c r="AT78" s="18" t="str">
        <f t="shared" si="22"/>
        <v>○</v>
      </c>
      <c r="AU78" s="18" t="str">
        <f t="shared" si="23"/>
        <v>○</v>
      </c>
    </row>
    <row r="79" spans="1:47" s="103" customFormat="1" ht="23.15" customHeight="1">
      <c r="A79" s="99">
        <v>73</v>
      </c>
      <c r="B79" s="98" t="str">
        <f>IF('②-1職員名簿'!E79="","",'②-1職員名簿'!Y79)</f>
        <v/>
      </c>
      <c r="C79" s="101" t="str">
        <f>'②-1職員名簿'!BE79</f>
        <v/>
      </c>
      <c r="D79" s="132" t="str">
        <f t="shared" si="24"/>
        <v/>
      </c>
      <c r="E79" s="19" t="str">
        <f>IF($B79="","",IF(AND('②-1職員名簿'!C79="正",'②-1職員名簿'!D79="常"),"正規職員","契約上の就業時間を記載"))</f>
        <v/>
      </c>
      <c r="F79" s="10" t="str">
        <f>IF($B79="","",IF(OR('②-1職員名簿'!AC79="○",'②-1職員名簿'!AC79="●"),IF($E79="正規職員","正",IF($E79="契約上の就業時間を記載","","見込を入力")),"-"))</f>
        <v/>
      </c>
      <c r="G79" s="10" t="str">
        <f>IF($B79="","",IF(OR('②-1職員名簿'!AD79="○",'②-1職員名簿'!AD79="●"),IF($E79="正規職員","正",IF($E79="契約上の就業時間を記載","","実績を入力")),"-"))</f>
        <v/>
      </c>
      <c r="H79" s="10" t="str">
        <f>IF($B79="","",IF(OR('②-1職員名簿'!AE79="○",'②-1職員名簿'!AE79="●"),IF($E79="正規職員","正",IF($E79="契約上の就業時間を記載","","実績を入力")),"-"))</f>
        <v/>
      </c>
      <c r="I79" s="10" t="str">
        <f>IF($B79="","",IF(OR('②-1職員名簿'!AF79="○",'②-1職員名簿'!AF79="●"),IF($E79="正規職員","正",IF($E79="契約上の就業時間を記載","","実績を入力")),"-"))</f>
        <v/>
      </c>
      <c r="J79" s="10" t="str">
        <f>IF($B79="","",IF(OR('②-1職員名簿'!AG79="○",'②-1職員名簿'!AG79="●"),IF($E79="正規職員","正",IF($E79="契約上の就業時間を記載","","実績を入力")),"-"))</f>
        <v/>
      </c>
      <c r="K79" s="10" t="str">
        <f>IF($B79="","",IF(OR('②-1職員名簿'!AH79="○",'②-1職員名簿'!AH79="●"),IF($E79="正規職員","正",IF($E79="契約上の就業時間を記載","","実績を入力")),"-"))</f>
        <v/>
      </c>
      <c r="L79" s="10" t="str">
        <f>IF($B79="","",IF(OR('②-1職員名簿'!AI79="○",'②-1職員名簿'!AI79="●"),IF($E79="正規職員","正",IF($E79="契約上の就業時間を記載","","実績を入力")),"-"))</f>
        <v/>
      </c>
      <c r="M79" s="10" t="str">
        <f>IF($B79="","",IF(OR('②-1職員名簿'!AJ79="○",'②-1職員名簿'!AJ79="●"),IF($E79="正規職員","正",IF($E79="契約上の就業時間を記載","","実績を入力")),"-"))</f>
        <v/>
      </c>
      <c r="N79" s="10" t="str">
        <f>IF($B79="","",IF(OR('②-1職員名簿'!AK79="○",'②-1職員名簿'!AK79="●"),IF($E79="正規職員","正",IF($E79="契約上の就業時間を記載","","実績を入力")),"-"))</f>
        <v/>
      </c>
      <c r="O79" s="10" t="str">
        <f>IF($B79="","",IF(OR('②-1職員名簿'!AL79="○",'②-1職員名簿'!AL79="●"),IF($E79="正規職員","正",IF($E79="契約上の就業時間を記載","","実績を入力")),"-"))</f>
        <v/>
      </c>
      <c r="P79" s="10" t="str">
        <f>IF($B79="","",IF(OR('②-1職員名簿'!AM79="○",'②-1職員名簿'!AM79="●"),IF($E79="正規職員","正",IF($E79="契約上の就業時間を記載","","実績を入力")),"-"))</f>
        <v/>
      </c>
      <c r="Q79" s="10" t="str">
        <f>IF($B79="","",IF(OR('②-1職員名簿'!AN79="○",'②-1職員名簿'!AN79="●"),IF($E79="正規職員","正",IF($E79="契約上の就業時間を記載","","実績を入力")),"-"))</f>
        <v/>
      </c>
      <c r="R79" s="101" t="str">
        <f>IF($B79="","",IF(OR('②-1職員名簿'!AC79="○",'②-1職員名簿'!AC79="●"),IF($E79="正規職員","正",IF($E79="契約上の就業時間を記載","",IF($E79&gt;=F$5,"常",F79))),"-"))</f>
        <v/>
      </c>
      <c r="S79" s="101" t="str">
        <f>IF($B79="","",IF(OR('②-1職員名簿'!AD79="○",'②-1職員名簿'!AD79="●"),IF($E79="正規職員","正",IF($E79="契約上の就業時間を記載","",IF($E79&gt;=G$5,"常",G79))),"-"))</f>
        <v/>
      </c>
      <c r="T79" s="101" t="str">
        <f>IF($B79="","",IF(OR('②-1職員名簿'!AE79="○",'②-1職員名簿'!AE79="●"),IF($E79="正規職員","正",IF($E79="契約上の就業時間を記載","",IF($E79&gt;=H$5,"常",H79))),"-"))</f>
        <v/>
      </c>
      <c r="U79" s="101" t="str">
        <f>IF($B79="","",IF(OR('②-1職員名簿'!AF79="○",'②-1職員名簿'!AF79="●"),IF($E79="正規職員","正",IF($E79="契約上の就業時間を記載","",IF($E79&gt;=I$5,"常",I79))),"-"))</f>
        <v/>
      </c>
      <c r="V79" s="101" t="str">
        <f>IF($B79="","",IF(OR('②-1職員名簿'!AG79="○",'②-1職員名簿'!AG79="●"),IF($E79="正規職員","正",IF($E79="契約上の就業時間を記載","",IF($E79&gt;=J$5,"常",J79))),"-"))</f>
        <v/>
      </c>
      <c r="W79" s="101" t="str">
        <f>IF($B79="","",IF(OR('②-1職員名簿'!AH79="○",'②-1職員名簿'!AH79="●"),IF($E79="正規職員","正",IF($E79="契約上の就業時間を記載","",IF($E79&gt;=K$5,"常",K79))),"-"))</f>
        <v/>
      </c>
      <c r="X79" s="101" t="str">
        <f>IF($B79="","",IF(OR('②-1職員名簿'!AI79="○",'②-1職員名簿'!AI79="●"),IF($E79="正規職員","正",IF($E79="契約上の就業時間を記載","",IF($E79&gt;=L$5,"常",L79))),"-"))</f>
        <v/>
      </c>
      <c r="Y79" s="101" t="str">
        <f>IF($B79="","",IF(OR('②-1職員名簿'!AJ79="○",'②-1職員名簿'!AJ79="●"),IF($E79="正規職員","正",IF($E79="契約上の就業時間を記載","",IF($E79&gt;=M$5,"常",M79))),"-"))</f>
        <v/>
      </c>
      <c r="Z79" s="101" t="str">
        <f>IF($B79="","",IF(OR('②-1職員名簿'!AK79="○",'②-1職員名簿'!AK79="●"),IF($E79="正規職員","正",IF($E79="契約上の就業時間を記載","",IF($E79&gt;=N$5,"常",N79))),"-"))</f>
        <v/>
      </c>
      <c r="AA79" s="101" t="str">
        <f>IF($B79="","",IF(OR('②-1職員名簿'!AL79="○",'②-1職員名簿'!AL79="●"),IF($E79="正規職員","正",IF($E79="契約上の就業時間を記載","",IF($E79&gt;=O$5,"常",O79))),"-"))</f>
        <v/>
      </c>
      <c r="AB79" s="101" t="str">
        <f>IF($B79="","",IF(OR('②-1職員名簿'!AM79="○",'②-1職員名簿'!AM79="●"),IF($E79="正規職員","正",IF($E79="契約上の就業時間を記載","",IF($E79&gt;=P$5,"常",P79))),"-"))</f>
        <v/>
      </c>
      <c r="AC79" s="101" t="str">
        <f>IF($B79="","",IF(OR('②-1職員名簿'!AN79="○",'②-1職員名簿'!AN79="●"),IF($E79="正規職員","正",IF($E79="契約上の就業時間を記載","",IF($E79&gt;=Q$5,"常",Q79))),"-"))</f>
        <v/>
      </c>
      <c r="AE79" s="98" t="str">
        <f>IF('②-1職員名簿'!W79="","",'②-1職員名簿'!W79)</f>
        <v/>
      </c>
      <c r="AJ79" s="18" t="str">
        <f t="shared" si="25"/>
        <v>○</v>
      </c>
      <c r="AK79" s="18" t="str">
        <f t="shared" si="13"/>
        <v>○</v>
      </c>
      <c r="AL79" s="18" t="str">
        <f t="shared" si="14"/>
        <v>○</v>
      </c>
      <c r="AM79" s="18" t="str">
        <f t="shared" si="15"/>
        <v>○</v>
      </c>
      <c r="AN79" s="18" t="str">
        <f t="shared" si="16"/>
        <v>○</v>
      </c>
      <c r="AO79" s="18" t="str">
        <f t="shared" si="17"/>
        <v>○</v>
      </c>
      <c r="AP79" s="18" t="str">
        <f t="shared" si="18"/>
        <v>○</v>
      </c>
      <c r="AQ79" s="18" t="str">
        <f t="shared" si="19"/>
        <v>○</v>
      </c>
      <c r="AR79" s="18" t="str">
        <f t="shared" si="20"/>
        <v>○</v>
      </c>
      <c r="AS79" s="18" t="str">
        <f t="shared" si="21"/>
        <v>○</v>
      </c>
      <c r="AT79" s="18" t="str">
        <f t="shared" si="22"/>
        <v>○</v>
      </c>
      <c r="AU79" s="18" t="str">
        <f t="shared" si="23"/>
        <v>○</v>
      </c>
    </row>
    <row r="80" spans="1:47" s="103" customFormat="1" ht="23.15" customHeight="1">
      <c r="A80" s="99">
        <v>74</v>
      </c>
      <c r="B80" s="98" t="str">
        <f>IF('②-1職員名簿'!E80="","",'②-1職員名簿'!Y80)</f>
        <v/>
      </c>
      <c r="C80" s="101" t="str">
        <f>'②-1職員名簿'!BE80</f>
        <v/>
      </c>
      <c r="D80" s="132" t="str">
        <f t="shared" si="24"/>
        <v/>
      </c>
      <c r="E80" s="19" t="str">
        <f>IF($B80="","",IF(AND('②-1職員名簿'!C80="正",'②-1職員名簿'!D80="常"),"正規職員","契約上の就業時間を記載"))</f>
        <v/>
      </c>
      <c r="F80" s="10" t="str">
        <f>IF($B80="","",IF(OR('②-1職員名簿'!AC80="○",'②-1職員名簿'!AC80="●"),IF($E80="正規職員","正",IF($E80="契約上の就業時間を記載","","見込を入力")),"-"))</f>
        <v/>
      </c>
      <c r="G80" s="10" t="str">
        <f>IF($B80="","",IF(OR('②-1職員名簿'!AD80="○",'②-1職員名簿'!AD80="●"),IF($E80="正規職員","正",IF($E80="契約上の就業時間を記載","","実績を入力")),"-"))</f>
        <v/>
      </c>
      <c r="H80" s="10" t="str">
        <f>IF($B80="","",IF(OR('②-1職員名簿'!AE80="○",'②-1職員名簿'!AE80="●"),IF($E80="正規職員","正",IF($E80="契約上の就業時間を記載","","実績を入力")),"-"))</f>
        <v/>
      </c>
      <c r="I80" s="10" t="str">
        <f>IF($B80="","",IF(OR('②-1職員名簿'!AF80="○",'②-1職員名簿'!AF80="●"),IF($E80="正規職員","正",IF($E80="契約上の就業時間を記載","","実績を入力")),"-"))</f>
        <v/>
      </c>
      <c r="J80" s="10" t="str">
        <f>IF($B80="","",IF(OR('②-1職員名簿'!AG80="○",'②-1職員名簿'!AG80="●"),IF($E80="正規職員","正",IF($E80="契約上の就業時間を記載","","実績を入力")),"-"))</f>
        <v/>
      </c>
      <c r="K80" s="10" t="str">
        <f>IF($B80="","",IF(OR('②-1職員名簿'!AH80="○",'②-1職員名簿'!AH80="●"),IF($E80="正規職員","正",IF($E80="契約上の就業時間を記載","","実績を入力")),"-"))</f>
        <v/>
      </c>
      <c r="L80" s="10" t="str">
        <f>IF($B80="","",IF(OR('②-1職員名簿'!AI80="○",'②-1職員名簿'!AI80="●"),IF($E80="正規職員","正",IF($E80="契約上の就業時間を記載","","実績を入力")),"-"))</f>
        <v/>
      </c>
      <c r="M80" s="10" t="str">
        <f>IF($B80="","",IF(OR('②-1職員名簿'!AJ80="○",'②-1職員名簿'!AJ80="●"),IF($E80="正規職員","正",IF($E80="契約上の就業時間を記載","","実績を入力")),"-"))</f>
        <v/>
      </c>
      <c r="N80" s="10" t="str">
        <f>IF($B80="","",IF(OR('②-1職員名簿'!AK80="○",'②-1職員名簿'!AK80="●"),IF($E80="正規職員","正",IF($E80="契約上の就業時間を記載","","実績を入力")),"-"))</f>
        <v/>
      </c>
      <c r="O80" s="10" t="str">
        <f>IF($B80="","",IF(OR('②-1職員名簿'!AL80="○",'②-1職員名簿'!AL80="●"),IF($E80="正規職員","正",IF($E80="契約上の就業時間を記載","","実績を入力")),"-"))</f>
        <v/>
      </c>
      <c r="P80" s="10" t="str">
        <f>IF($B80="","",IF(OR('②-1職員名簿'!AM80="○",'②-1職員名簿'!AM80="●"),IF($E80="正規職員","正",IF($E80="契約上の就業時間を記載","","実績を入力")),"-"))</f>
        <v/>
      </c>
      <c r="Q80" s="10" t="str">
        <f>IF($B80="","",IF(OR('②-1職員名簿'!AN80="○",'②-1職員名簿'!AN80="●"),IF($E80="正規職員","正",IF($E80="契約上の就業時間を記載","","実績を入力")),"-"))</f>
        <v/>
      </c>
      <c r="R80" s="101" t="str">
        <f>IF($B80="","",IF(OR('②-1職員名簿'!AC80="○",'②-1職員名簿'!AC80="●"),IF($E80="正規職員","正",IF($E80="契約上の就業時間を記載","",IF($E80&gt;=F$5,"常",F80))),"-"))</f>
        <v/>
      </c>
      <c r="S80" s="101" t="str">
        <f>IF($B80="","",IF(OR('②-1職員名簿'!AD80="○",'②-1職員名簿'!AD80="●"),IF($E80="正規職員","正",IF($E80="契約上の就業時間を記載","",IF($E80&gt;=G$5,"常",G80))),"-"))</f>
        <v/>
      </c>
      <c r="T80" s="101" t="str">
        <f>IF($B80="","",IF(OR('②-1職員名簿'!AE80="○",'②-1職員名簿'!AE80="●"),IF($E80="正規職員","正",IF($E80="契約上の就業時間を記載","",IF($E80&gt;=H$5,"常",H80))),"-"))</f>
        <v/>
      </c>
      <c r="U80" s="101" t="str">
        <f>IF($B80="","",IF(OR('②-1職員名簿'!AF80="○",'②-1職員名簿'!AF80="●"),IF($E80="正規職員","正",IF($E80="契約上の就業時間を記載","",IF($E80&gt;=I$5,"常",I80))),"-"))</f>
        <v/>
      </c>
      <c r="V80" s="101" t="str">
        <f>IF($B80="","",IF(OR('②-1職員名簿'!AG80="○",'②-1職員名簿'!AG80="●"),IF($E80="正規職員","正",IF($E80="契約上の就業時間を記載","",IF($E80&gt;=J$5,"常",J80))),"-"))</f>
        <v/>
      </c>
      <c r="W80" s="101" t="str">
        <f>IF($B80="","",IF(OR('②-1職員名簿'!AH80="○",'②-1職員名簿'!AH80="●"),IF($E80="正規職員","正",IF($E80="契約上の就業時間を記載","",IF($E80&gt;=K$5,"常",K80))),"-"))</f>
        <v/>
      </c>
      <c r="X80" s="101" t="str">
        <f>IF($B80="","",IF(OR('②-1職員名簿'!AI80="○",'②-1職員名簿'!AI80="●"),IF($E80="正規職員","正",IF($E80="契約上の就業時間を記載","",IF($E80&gt;=L$5,"常",L80))),"-"))</f>
        <v/>
      </c>
      <c r="Y80" s="101" t="str">
        <f>IF($B80="","",IF(OR('②-1職員名簿'!AJ80="○",'②-1職員名簿'!AJ80="●"),IF($E80="正規職員","正",IF($E80="契約上の就業時間を記載","",IF($E80&gt;=M$5,"常",M80))),"-"))</f>
        <v/>
      </c>
      <c r="Z80" s="101" t="str">
        <f>IF($B80="","",IF(OR('②-1職員名簿'!AK80="○",'②-1職員名簿'!AK80="●"),IF($E80="正規職員","正",IF($E80="契約上の就業時間を記載","",IF($E80&gt;=N$5,"常",N80))),"-"))</f>
        <v/>
      </c>
      <c r="AA80" s="101" t="str">
        <f>IF($B80="","",IF(OR('②-1職員名簿'!AL80="○",'②-1職員名簿'!AL80="●"),IF($E80="正規職員","正",IF($E80="契約上の就業時間を記載","",IF($E80&gt;=O$5,"常",O80))),"-"))</f>
        <v/>
      </c>
      <c r="AB80" s="101" t="str">
        <f>IF($B80="","",IF(OR('②-1職員名簿'!AM80="○",'②-1職員名簿'!AM80="●"),IF($E80="正規職員","正",IF($E80="契約上の就業時間を記載","",IF($E80&gt;=P$5,"常",P80))),"-"))</f>
        <v/>
      </c>
      <c r="AC80" s="101" t="str">
        <f>IF($B80="","",IF(OR('②-1職員名簿'!AN80="○",'②-1職員名簿'!AN80="●"),IF($E80="正規職員","正",IF($E80="契約上の就業時間を記載","",IF($E80&gt;=Q$5,"常",Q80))),"-"))</f>
        <v/>
      </c>
      <c r="AE80" s="98" t="str">
        <f>IF('②-1職員名簿'!W80="","",'②-1職員名簿'!W80)</f>
        <v/>
      </c>
      <c r="AJ80" s="18" t="str">
        <f t="shared" si="25"/>
        <v>○</v>
      </c>
      <c r="AK80" s="18" t="str">
        <f t="shared" si="13"/>
        <v>○</v>
      </c>
      <c r="AL80" s="18" t="str">
        <f t="shared" si="14"/>
        <v>○</v>
      </c>
      <c r="AM80" s="18" t="str">
        <f t="shared" si="15"/>
        <v>○</v>
      </c>
      <c r="AN80" s="18" t="str">
        <f t="shared" si="16"/>
        <v>○</v>
      </c>
      <c r="AO80" s="18" t="str">
        <f t="shared" si="17"/>
        <v>○</v>
      </c>
      <c r="AP80" s="18" t="str">
        <f t="shared" si="18"/>
        <v>○</v>
      </c>
      <c r="AQ80" s="18" t="str">
        <f t="shared" si="19"/>
        <v>○</v>
      </c>
      <c r="AR80" s="18" t="str">
        <f t="shared" si="20"/>
        <v>○</v>
      </c>
      <c r="AS80" s="18" t="str">
        <f t="shared" si="21"/>
        <v>○</v>
      </c>
      <c r="AT80" s="18" t="str">
        <f t="shared" si="22"/>
        <v>○</v>
      </c>
      <c r="AU80" s="18" t="str">
        <f t="shared" si="23"/>
        <v>○</v>
      </c>
    </row>
    <row r="81" spans="1:47" s="103" customFormat="1" ht="23.15" customHeight="1">
      <c r="A81" s="99">
        <v>75</v>
      </c>
      <c r="B81" s="98" t="str">
        <f>IF('②-1職員名簿'!E81="","",'②-1職員名簿'!Y81)</f>
        <v/>
      </c>
      <c r="C81" s="101" t="str">
        <f>'②-1職員名簿'!BE81</f>
        <v/>
      </c>
      <c r="D81" s="132" t="str">
        <f t="shared" si="24"/>
        <v/>
      </c>
      <c r="E81" s="19" t="str">
        <f>IF($B81="","",IF(AND('②-1職員名簿'!C81="正",'②-1職員名簿'!D81="常"),"正規職員","契約上の就業時間を記載"))</f>
        <v/>
      </c>
      <c r="F81" s="10" t="str">
        <f>IF($B81="","",IF(OR('②-1職員名簿'!AC81="○",'②-1職員名簿'!AC81="●"),IF($E81="正規職員","正",IF($E81="契約上の就業時間を記載","","見込を入力")),"-"))</f>
        <v/>
      </c>
      <c r="G81" s="10" t="str">
        <f>IF($B81="","",IF(OR('②-1職員名簿'!AD81="○",'②-1職員名簿'!AD81="●"),IF($E81="正規職員","正",IF($E81="契約上の就業時間を記載","","実績を入力")),"-"))</f>
        <v/>
      </c>
      <c r="H81" s="10" t="str">
        <f>IF($B81="","",IF(OR('②-1職員名簿'!AE81="○",'②-1職員名簿'!AE81="●"),IF($E81="正規職員","正",IF($E81="契約上の就業時間を記載","","実績を入力")),"-"))</f>
        <v/>
      </c>
      <c r="I81" s="10" t="str">
        <f>IF($B81="","",IF(OR('②-1職員名簿'!AF81="○",'②-1職員名簿'!AF81="●"),IF($E81="正規職員","正",IF($E81="契約上の就業時間を記載","","実績を入力")),"-"))</f>
        <v/>
      </c>
      <c r="J81" s="10" t="str">
        <f>IF($B81="","",IF(OR('②-1職員名簿'!AG81="○",'②-1職員名簿'!AG81="●"),IF($E81="正規職員","正",IF($E81="契約上の就業時間を記載","","実績を入力")),"-"))</f>
        <v/>
      </c>
      <c r="K81" s="10" t="str">
        <f>IF($B81="","",IF(OR('②-1職員名簿'!AH81="○",'②-1職員名簿'!AH81="●"),IF($E81="正規職員","正",IF($E81="契約上の就業時間を記載","","実績を入力")),"-"))</f>
        <v/>
      </c>
      <c r="L81" s="10" t="str">
        <f>IF($B81="","",IF(OR('②-1職員名簿'!AI81="○",'②-1職員名簿'!AI81="●"),IF($E81="正規職員","正",IF($E81="契約上の就業時間を記載","","実績を入力")),"-"))</f>
        <v/>
      </c>
      <c r="M81" s="10" t="str">
        <f>IF($B81="","",IF(OR('②-1職員名簿'!AJ81="○",'②-1職員名簿'!AJ81="●"),IF($E81="正規職員","正",IF($E81="契約上の就業時間を記載","","実績を入力")),"-"))</f>
        <v/>
      </c>
      <c r="N81" s="10" t="str">
        <f>IF($B81="","",IF(OR('②-1職員名簿'!AK81="○",'②-1職員名簿'!AK81="●"),IF($E81="正規職員","正",IF($E81="契約上の就業時間を記載","","実績を入力")),"-"))</f>
        <v/>
      </c>
      <c r="O81" s="10" t="str">
        <f>IF($B81="","",IF(OR('②-1職員名簿'!AL81="○",'②-1職員名簿'!AL81="●"),IF($E81="正規職員","正",IF($E81="契約上の就業時間を記載","","実績を入力")),"-"))</f>
        <v/>
      </c>
      <c r="P81" s="10" t="str">
        <f>IF($B81="","",IF(OR('②-1職員名簿'!AM81="○",'②-1職員名簿'!AM81="●"),IF($E81="正規職員","正",IF($E81="契約上の就業時間を記載","","実績を入力")),"-"))</f>
        <v/>
      </c>
      <c r="Q81" s="10" t="str">
        <f>IF($B81="","",IF(OR('②-1職員名簿'!AN81="○",'②-1職員名簿'!AN81="●"),IF($E81="正規職員","正",IF($E81="契約上の就業時間を記載","","実績を入力")),"-"))</f>
        <v/>
      </c>
      <c r="R81" s="101" t="str">
        <f>IF($B81="","",IF(OR('②-1職員名簿'!AC81="○",'②-1職員名簿'!AC81="●"),IF($E81="正規職員","正",IF($E81="契約上の就業時間を記載","",IF($E81&gt;=F$5,"常",F81))),"-"))</f>
        <v/>
      </c>
      <c r="S81" s="101" t="str">
        <f>IF($B81="","",IF(OR('②-1職員名簿'!AD81="○",'②-1職員名簿'!AD81="●"),IF($E81="正規職員","正",IF($E81="契約上の就業時間を記載","",IF($E81&gt;=G$5,"常",G81))),"-"))</f>
        <v/>
      </c>
      <c r="T81" s="101" t="str">
        <f>IF($B81="","",IF(OR('②-1職員名簿'!AE81="○",'②-1職員名簿'!AE81="●"),IF($E81="正規職員","正",IF($E81="契約上の就業時間を記載","",IF($E81&gt;=H$5,"常",H81))),"-"))</f>
        <v/>
      </c>
      <c r="U81" s="101" t="str">
        <f>IF($B81="","",IF(OR('②-1職員名簿'!AF81="○",'②-1職員名簿'!AF81="●"),IF($E81="正規職員","正",IF($E81="契約上の就業時間を記載","",IF($E81&gt;=I$5,"常",I81))),"-"))</f>
        <v/>
      </c>
      <c r="V81" s="101" t="str">
        <f>IF($B81="","",IF(OR('②-1職員名簿'!AG81="○",'②-1職員名簿'!AG81="●"),IF($E81="正規職員","正",IF($E81="契約上の就業時間を記載","",IF($E81&gt;=J$5,"常",J81))),"-"))</f>
        <v/>
      </c>
      <c r="W81" s="101" t="str">
        <f>IF($B81="","",IF(OR('②-1職員名簿'!AH81="○",'②-1職員名簿'!AH81="●"),IF($E81="正規職員","正",IF($E81="契約上の就業時間を記載","",IF($E81&gt;=K$5,"常",K81))),"-"))</f>
        <v/>
      </c>
      <c r="X81" s="101" t="str">
        <f>IF($B81="","",IF(OR('②-1職員名簿'!AI81="○",'②-1職員名簿'!AI81="●"),IF($E81="正規職員","正",IF($E81="契約上の就業時間を記載","",IF($E81&gt;=L$5,"常",L81))),"-"))</f>
        <v/>
      </c>
      <c r="Y81" s="101" t="str">
        <f>IF($B81="","",IF(OR('②-1職員名簿'!AJ81="○",'②-1職員名簿'!AJ81="●"),IF($E81="正規職員","正",IF($E81="契約上の就業時間を記載","",IF($E81&gt;=M$5,"常",M81))),"-"))</f>
        <v/>
      </c>
      <c r="Z81" s="101" t="str">
        <f>IF($B81="","",IF(OR('②-1職員名簿'!AK81="○",'②-1職員名簿'!AK81="●"),IF($E81="正規職員","正",IF($E81="契約上の就業時間を記載","",IF($E81&gt;=N$5,"常",N81))),"-"))</f>
        <v/>
      </c>
      <c r="AA81" s="101" t="str">
        <f>IF($B81="","",IF(OR('②-1職員名簿'!AL81="○",'②-1職員名簿'!AL81="●"),IF($E81="正規職員","正",IF($E81="契約上の就業時間を記載","",IF($E81&gt;=O$5,"常",O81))),"-"))</f>
        <v/>
      </c>
      <c r="AB81" s="101" t="str">
        <f>IF($B81="","",IF(OR('②-1職員名簿'!AM81="○",'②-1職員名簿'!AM81="●"),IF($E81="正規職員","正",IF($E81="契約上の就業時間を記載","",IF($E81&gt;=P$5,"常",P81))),"-"))</f>
        <v/>
      </c>
      <c r="AC81" s="101" t="str">
        <f>IF($B81="","",IF(OR('②-1職員名簿'!AN81="○",'②-1職員名簿'!AN81="●"),IF($E81="正規職員","正",IF($E81="契約上の就業時間を記載","",IF($E81&gt;=Q$5,"常",Q81))),"-"))</f>
        <v/>
      </c>
      <c r="AE81" s="98" t="str">
        <f>IF('②-1職員名簿'!W81="","",'②-1職員名簿'!W81)</f>
        <v/>
      </c>
      <c r="AJ81" s="18" t="str">
        <f t="shared" si="25"/>
        <v>○</v>
      </c>
      <c r="AK81" s="18" t="str">
        <f t="shared" si="13"/>
        <v>○</v>
      </c>
      <c r="AL81" s="18" t="str">
        <f t="shared" si="14"/>
        <v>○</v>
      </c>
      <c r="AM81" s="18" t="str">
        <f t="shared" si="15"/>
        <v>○</v>
      </c>
      <c r="AN81" s="18" t="str">
        <f t="shared" si="16"/>
        <v>○</v>
      </c>
      <c r="AO81" s="18" t="str">
        <f t="shared" si="17"/>
        <v>○</v>
      </c>
      <c r="AP81" s="18" t="str">
        <f t="shared" si="18"/>
        <v>○</v>
      </c>
      <c r="AQ81" s="18" t="str">
        <f t="shared" si="19"/>
        <v>○</v>
      </c>
      <c r="AR81" s="18" t="str">
        <f t="shared" si="20"/>
        <v>○</v>
      </c>
      <c r="AS81" s="18" t="str">
        <f t="shared" si="21"/>
        <v>○</v>
      </c>
      <c r="AT81" s="18" t="str">
        <f t="shared" si="22"/>
        <v>○</v>
      </c>
      <c r="AU81" s="18" t="str">
        <f t="shared" si="23"/>
        <v>○</v>
      </c>
    </row>
    <row r="82" spans="1:47" s="103" customFormat="1" ht="23.15" customHeight="1">
      <c r="A82" s="99">
        <v>76</v>
      </c>
      <c r="B82" s="98" t="str">
        <f>IF('②-1職員名簿'!E82="","",'②-1職員名簿'!Y82)</f>
        <v/>
      </c>
      <c r="C82" s="101" t="str">
        <f>'②-1職員名簿'!BE82</f>
        <v/>
      </c>
      <c r="D82" s="132" t="str">
        <f t="shared" si="24"/>
        <v/>
      </c>
      <c r="E82" s="19" t="str">
        <f>IF($B82="","",IF(AND('②-1職員名簿'!C82="正",'②-1職員名簿'!D82="常"),"正規職員","契約上の就業時間を記載"))</f>
        <v/>
      </c>
      <c r="F82" s="10" t="str">
        <f>IF($B82="","",IF(OR('②-1職員名簿'!AC82="○",'②-1職員名簿'!AC82="●"),IF($E82="正規職員","正",IF($E82="契約上の就業時間を記載","","見込を入力")),"-"))</f>
        <v/>
      </c>
      <c r="G82" s="10" t="str">
        <f>IF($B82="","",IF(OR('②-1職員名簿'!AD82="○",'②-1職員名簿'!AD82="●"),IF($E82="正規職員","正",IF($E82="契約上の就業時間を記載","","実績を入力")),"-"))</f>
        <v/>
      </c>
      <c r="H82" s="10" t="str">
        <f>IF($B82="","",IF(OR('②-1職員名簿'!AE82="○",'②-1職員名簿'!AE82="●"),IF($E82="正規職員","正",IF($E82="契約上の就業時間を記載","","実績を入力")),"-"))</f>
        <v/>
      </c>
      <c r="I82" s="10" t="str">
        <f>IF($B82="","",IF(OR('②-1職員名簿'!AF82="○",'②-1職員名簿'!AF82="●"),IF($E82="正規職員","正",IF($E82="契約上の就業時間を記載","","実績を入力")),"-"))</f>
        <v/>
      </c>
      <c r="J82" s="10" t="str">
        <f>IF($B82="","",IF(OR('②-1職員名簿'!AG82="○",'②-1職員名簿'!AG82="●"),IF($E82="正規職員","正",IF($E82="契約上の就業時間を記載","","実績を入力")),"-"))</f>
        <v/>
      </c>
      <c r="K82" s="10" t="str">
        <f>IF($B82="","",IF(OR('②-1職員名簿'!AH82="○",'②-1職員名簿'!AH82="●"),IF($E82="正規職員","正",IF($E82="契約上の就業時間を記載","","実績を入力")),"-"))</f>
        <v/>
      </c>
      <c r="L82" s="10" t="str">
        <f>IF($B82="","",IF(OR('②-1職員名簿'!AI82="○",'②-1職員名簿'!AI82="●"),IF($E82="正規職員","正",IF($E82="契約上の就業時間を記載","","実績を入力")),"-"))</f>
        <v/>
      </c>
      <c r="M82" s="10" t="str">
        <f>IF($B82="","",IF(OR('②-1職員名簿'!AJ82="○",'②-1職員名簿'!AJ82="●"),IF($E82="正規職員","正",IF($E82="契約上の就業時間を記載","","実績を入力")),"-"))</f>
        <v/>
      </c>
      <c r="N82" s="10" t="str">
        <f>IF($B82="","",IF(OR('②-1職員名簿'!AK82="○",'②-1職員名簿'!AK82="●"),IF($E82="正規職員","正",IF($E82="契約上の就業時間を記載","","実績を入力")),"-"))</f>
        <v/>
      </c>
      <c r="O82" s="10" t="str">
        <f>IF($B82="","",IF(OR('②-1職員名簿'!AL82="○",'②-1職員名簿'!AL82="●"),IF($E82="正規職員","正",IF($E82="契約上の就業時間を記載","","実績を入力")),"-"))</f>
        <v/>
      </c>
      <c r="P82" s="10" t="str">
        <f>IF($B82="","",IF(OR('②-1職員名簿'!AM82="○",'②-1職員名簿'!AM82="●"),IF($E82="正規職員","正",IF($E82="契約上の就業時間を記載","","実績を入力")),"-"))</f>
        <v/>
      </c>
      <c r="Q82" s="10" t="str">
        <f>IF($B82="","",IF(OR('②-1職員名簿'!AN82="○",'②-1職員名簿'!AN82="●"),IF($E82="正規職員","正",IF($E82="契約上の就業時間を記載","","実績を入力")),"-"))</f>
        <v/>
      </c>
      <c r="R82" s="101" t="str">
        <f>IF($B82="","",IF(OR('②-1職員名簿'!AC82="○",'②-1職員名簿'!AC82="●"),IF($E82="正規職員","正",IF($E82="契約上の就業時間を記載","",IF($E82&gt;=F$5,"常",F82))),"-"))</f>
        <v/>
      </c>
      <c r="S82" s="101" t="str">
        <f>IF($B82="","",IF(OR('②-1職員名簿'!AD82="○",'②-1職員名簿'!AD82="●"),IF($E82="正規職員","正",IF($E82="契約上の就業時間を記載","",IF($E82&gt;=G$5,"常",G82))),"-"))</f>
        <v/>
      </c>
      <c r="T82" s="101" t="str">
        <f>IF($B82="","",IF(OR('②-1職員名簿'!AE82="○",'②-1職員名簿'!AE82="●"),IF($E82="正規職員","正",IF($E82="契約上の就業時間を記載","",IF($E82&gt;=H$5,"常",H82))),"-"))</f>
        <v/>
      </c>
      <c r="U82" s="101" t="str">
        <f>IF($B82="","",IF(OR('②-1職員名簿'!AF82="○",'②-1職員名簿'!AF82="●"),IF($E82="正規職員","正",IF($E82="契約上の就業時間を記載","",IF($E82&gt;=I$5,"常",I82))),"-"))</f>
        <v/>
      </c>
      <c r="V82" s="101" t="str">
        <f>IF($B82="","",IF(OR('②-1職員名簿'!AG82="○",'②-1職員名簿'!AG82="●"),IF($E82="正規職員","正",IF($E82="契約上の就業時間を記載","",IF($E82&gt;=J$5,"常",J82))),"-"))</f>
        <v/>
      </c>
      <c r="W82" s="101" t="str">
        <f>IF($B82="","",IF(OR('②-1職員名簿'!AH82="○",'②-1職員名簿'!AH82="●"),IF($E82="正規職員","正",IF($E82="契約上の就業時間を記載","",IF($E82&gt;=K$5,"常",K82))),"-"))</f>
        <v/>
      </c>
      <c r="X82" s="101" t="str">
        <f>IF($B82="","",IF(OR('②-1職員名簿'!AI82="○",'②-1職員名簿'!AI82="●"),IF($E82="正規職員","正",IF($E82="契約上の就業時間を記載","",IF($E82&gt;=L$5,"常",L82))),"-"))</f>
        <v/>
      </c>
      <c r="Y82" s="101" t="str">
        <f>IF($B82="","",IF(OR('②-1職員名簿'!AJ82="○",'②-1職員名簿'!AJ82="●"),IF($E82="正規職員","正",IF($E82="契約上の就業時間を記載","",IF($E82&gt;=M$5,"常",M82))),"-"))</f>
        <v/>
      </c>
      <c r="Z82" s="101" t="str">
        <f>IF($B82="","",IF(OR('②-1職員名簿'!AK82="○",'②-1職員名簿'!AK82="●"),IF($E82="正規職員","正",IF($E82="契約上の就業時間を記載","",IF($E82&gt;=N$5,"常",N82))),"-"))</f>
        <v/>
      </c>
      <c r="AA82" s="101" t="str">
        <f>IF($B82="","",IF(OR('②-1職員名簿'!AL82="○",'②-1職員名簿'!AL82="●"),IF($E82="正規職員","正",IF($E82="契約上の就業時間を記載","",IF($E82&gt;=O$5,"常",O82))),"-"))</f>
        <v/>
      </c>
      <c r="AB82" s="101" t="str">
        <f>IF($B82="","",IF(OR('②-1職員名簿'!AM82="○",'②-1職員名簿'!AM82="●"),IF($E82="正規職員","正",IF($E82="契約上の就業時間を記載","",IF($E82&gt;=P$5,"常",P82))),"-"))</f>
        <v/>
      </c>
      <c r="AC82" s="101" t="str">
        <f>IF($B82="","",IF(OR('②-1職員名簿'!AN82="○",'②-1職員名簿'!AN82="●"),IF($E82="正規職員","正",IF($E82="契約上の就業時間を記載","",IF($E82&gt;=Q$5,"常",Q82))),"-"))</f>
        <v/>
      </c>
      <c r="AE82" s="98" t="str">
        <f>IF('②-1職員名簿'!W82="","",'②-1職員名簿'!W82)</f>
        <v/>
      </c>
      <c r="AJ82" s="18" t="str">
        <f t="shared" si="25"/>
        <v>○</v>
      </c>
      <c r="AK82" s="18" t="str">
        <f t="shared" si="13"/>
        <v>○</v>
      </c>
      <c r="AL82" s="18" t="str">
        <f t="shared" si="14"/>
        <v>○</v>
      </c>
      <c r="AM82" s="18" t="str">
        <f t="shared" si="15"/>
        <v>○</v>
      </c>
      <c r="AN82" s="18" t="str">
        <f t="shared" si="16"/>
        <v>○</v>
      </c>
      <c r="AO82" s="18" t="str">
        <f t="shared" si="17"/>
        <v>○</v>
      </c>
      <c r="AP82" s="18" t="str">
        <f t="shared" si="18"/>
        <v>○</v>
      </c>
      <c r="AQ82" s="18" t="str">
        <f t="shared" si="19"/>
        <v>○</v>
      </c>
      <c r="AR82" s="18" t="str">
        <f t="shared" si="20"/>
        <v>○</v>
      </c>
      <c r="AS82" s="18" t="str">
        <f t="shared" si="21"/>
        <v>○</v>
      </c>
      <c r="AT82" s="18" t="str">
        <f t="shared" si="22"/>
        <v>○</v>
      </c>
      <c r="AU82" s="18" t="str">
        <f t="shared" si="23"/>
        <v>○</v>
      </c>
    </row>
    <row r="83" spans="1:47" s="103" customFormat="1" ht="23.15" customHeight="1">
      <c r="A83" s="99">
        <v>77</v>
      </c>
      <c r="B83" s="98" t="str">
        <f>IF('②-1職員名簿'!E83="","",'②-1職員名簿'!Y83)</f>
        <v/>
      </c>
      <c r="C83" s="101" t="str">
        <f>'②-1職員名簿'!BE83</f>
        <v/>
      </c>
      <c r="D83" s="132" t="str">
        <f t="shared" si="24"/>
        <v/>
      </c>
      <c r="E83" s="19" t="str">
        <f>IF($B83="","",IF(AND('②-1職員名簿'!C83="正",'②-1職員名簿'!D83="常"),"正規職員","契約上の就業時間を記載"))</f>
        <v/>
      </c>
      <c r="F83" s="10" t="str">
        <f>IF($B83="","",IF(OR('②-1職員名簿'!AC83="○",'②-1職員名簿'!AC83="●"),IF($E83="正規職員","正",IF($E83="契約上の就業時間を記載","","見込を入力")),"-"))</f>
        <v/>
      </c>
      <c r="G83" s="10" t="str">
        <f>IF($B83="","",IF(OR('②-1職員名簿'!AD83="○",'②-1職員名簿'!AD83="●"),IF($E83="正規職員","正",IF($E83="契約上の就業時間を記載","","実績を入力")),"-"))</f>
        <v/>
      </c>
      <c r="H83" s="10" t="str">
        <f>IF($B83="","",IF(OR('②-1職員名簿'!AE83="○",'②-1職員名簿'!AE83="●"),IF($E83="正規職員","正",IF($E83="契約上の就業時間を記載","","実績を入力")),"-"))</f>
        <v/>
      </c>
      <c r="I83" s="10" t="str">
        <f>IF($B83="","",IF(OR('②-1職員名簿'!AF83="○",'②-1職員名簿'!AF83="●"),IF($E83="正規職員","正",IF($E83="契約上の就業時間を記載","","実績を入力")),"-"))</f>
        <v/>
      </c>
      <c r="J83" s="10" t="str">
        <f>IF($B83="","",IF(OR('②-1職員名簿'!AG83="○",'②-1職員名簿'!AG83="●"),IF($E83="正規職員","正",IF($E83="契約上の就業時間を記載","","実績を入力")),"-"))</f>
        <v/>
      </c>
      <c r="K83" s="10" t="str">
        <f>IF($B83="","",IF(OR('②-1職員名簿'!AH83="○",'②-1職員名簿'!AH83="●"),IF($E83="正規職員","正",IF($E83="契約上の就業時間を記載","","実績を入力")),"-"))</f>
        <v/>
      </c>
      <c r="L83" s="10" t="str">
        <f>IF($B83="","",IF(OR('②-1職員名簿'!AI83="○",'②-1職員名簿'!AI83="●"),IF($E83="正規職員","正",IF($E83="契約上の就業時間を記載","","実績を入力")),"-"))</f>
        <v/>
      </c>
      <c r="M83" s="10" t="str">
        <f>IF($B83="","",IF(OR('②-1職員名簿'!AJ83="○",'②-1職員名簿'!AJ83="●"),IF($E83="正規職員","正",IF($E83="契約上の就業時間を記載","","実績を入力")),"-"))</f>
        <v/>
      </c>
      <c r="N83" s="10" t="str">
        <f>IF($B83="","",IF(OR('②-1職員名簿'!AK83="○",'②-1職員名簿'!AK83="●"),IF($E83="正規職員","正",IF($E83="契約上の就業時間を記載","","実績を入力")),"-"))</f>
        <v/>
      </c>
      <c r="O83" s="10" t="str">
        <f>IF($B83="","",IF(OR('②-1職員名簿'!AL83="○",'②-1職員名簿'!AL83="●"),IF($E83="正規職員","正",IF($E83="契約上の就業時間を記載","","実績を入力")),"-"))</f>
        <v/>
      </c>
      <c r="P83" s="10" t="str">
        <f>IF($B83="","",IF(OR('②-1職員名簿'!AM83="○",'②-1職員名簿'!AM83="●"),IF($E83="正規職員","正",IF($E83="契約上の就業時間を記載","","実績を入力")),"-"))</f>
        <v/>
      </c>
      <c r="Q83" s="10" t="str">
        <f>IF($B83="","",IF(OR('②-1職員名簿'!AN83="○",'②-1職員名簿'!AN83="●"),IF($E83="正規職員","正",IF($E83="契約上の就業時間を記載","","実績を入力")),"-"))</f>
        <v/>
      </c>
      <c r="R83" s="101" t="str">
        <f>IF($B83="","",IF(OR('②-1職員名簿'!AC83="○",'②-1職員名簿'!AC83="●"),IF($E83="正規職員","正",IF($E83="契約上の就業時間を記載","",IF($E83&gt;=F$5,"常",F83))),"-"))</f>
        <v/>
      </c>
      <c r="S83" s="101" t="str">
        <f>IF($B83="","",IF(OR('②-1職員名簿'!AD83="○",'②-1職員名簿'!AD83="●"),IF($E83="正規職員","正",IF($E83="契約上の就業時間を記載","",IF($E83&gt;=G$5,"常",G83))),"-"))</f>
        <v/>
      </c>
      <c r="T83" s="101" t="str">
        <f>IF($B83="","",IF(OR('②-1職員名簿'!AE83="○",'②-1職員名簿'!AE83="●"),IF($E83="正規職員","正",IF($E83="契約上の就業時間を記載","",IF($E83&gt;=H$5,"常",H83))),"-"))</f>
        <v/>
      </c>
      <c r="U83" s="101" t="str">
        <f>IF($B83="","",IF(OR('②-1職員名簿'!AF83="○",'②-1職員名簿'!AF83="●"),IF($E83="正規職員","正",IF($E83="契約上の就業時間を記載","",IF($E83&gt;=I$5,"常",I83))),"-"))</f>
        <v/>
      </c>
      <c r="V83" s="101" t="str">
        <f>IF($B83="","",IF(OR('②-1職員名簿'!AG83="○",'②-1職員名簿'!AG83="●"),IF($E83="正規職員","正",IF($E83="契約上の就業時間を記載","",IF($E83&gt;=J$5,"常",J83))),"-"))</f>
        <v/>
      </c>
      <c r="W83" s="101" t="str">
        <f>IF($B83="","",IF(OR('②-1職員名簿'!AH83="○",'②-1職員名簿'!AH83="●"),IF($E83="正規職員","正",IF($E83="契約上の就業時間を記載","",IF($E83&gt;=K$5,"常",K83))),"-"))</f>
        <v/>
      </c>
      <c r="X83" s="101" t="str">
        <f>IF($B83="","",IF(OR('②-1職員名簿'!AI83="○",'②-1職員名簿'!AI83="●"),IF($E83="正規職員","正",IF($E83="契約上の就業時間を記載","",IF($E83&gt;=L$5,"常",L83))),"-"))</f>
        <v/>
      </c>
      <c r="Y83" s="101" t="str">
        <f>IF($B83="","",IF(OR('②-1職員名簿'!AJ83="○",'②-1職員名簿'!AJ83="●"),IF($E83="正規職員","正",IF($E83="契約上の就業時間を記載","",IF($E83&gt;=M$5,"常",M83))),"-"))</f>
        <v/>
      </c>
      <c r="Z83" s="101" t="str">
        <f>IF($B83="","",IF(OR('②-1職員名簿'!AK83="○",'②-1職員名簿'!AK83="●"),IF($E83="正規職員","正",IF($E83="契約上の就業時間を記載","",IF($E83&gt;=N$5,"常",N83))),"-"))</f>
        <v/>
      </c>
      <c r="AA83" s="101" t="str">
        <f>IF($B83="","",IF(OR('②-1職員名簿'!AL83="○",'②-1職員名簿'!AL83="●"),IF($E83="正規職員","正",IF($E83="契約上の就業時間を記載","",IF($E83&gt;=O$5,"常",O83))),"-"))</f>
        <v/>
      </c>
      <c r="AB83" s="101" t="str">
        <f>IF($B83="","",IF(OR('②-1職員名簿'!AM83="○",'②-1職員名簿'!AM83="●"),IF($E83="正規職員","正",IF($E83="契約上の就業時間を記載","",IF($E83&gt;=P$5,"常",P83))),"-"))</f>
        <v/>
      </c>
      <c r="AC83" s="101" t="str">
        <f>IF($B83="","",IF(OR('②-1職員名簿'!AN83="○",'②-1職員名簿'!AN83="●"),IF($E83="正規職員","正",IF($E83="契約上の就業時間を記載","",IF($E83&gt;=Q$5,"常",Q83))),"-"))</f>
        <v/>
      </c>
      <c r="AE83" s="98" t="str">
        <f>IF('②-1職員名簿'!W83="","",'②-1職員名簿'!W83)</f>
        <v/>
      </c>
      <c r="AJ83" s="18" t="str">
        <f t="shared" si="25"/>
        <v>○</v>
      </c>
      <c r="AK83" s="18" t="str">
        <f t="shared" si="13"/>
        <v>○</v>
      </c>
      <c r="AL83" s="18" t="str">
        <f t="shared" si="14"/>
        <v>○</v>
      </c>
      <c r="AM83" s="18" t="str">
        <f t="shared" si="15"/>
        <v>○</v>
      </c>
      <c r="AN83" s="18" t="str">
        <f t="shared" si="16"/>
        <v>○</v>
      </c>
      <c r="AO83" s="18" t="str">
        <f t="shared" si="17"/>
        <v>○</v>
      </c>
      <c r="AP83" s="18" t="str">
        <f t="shared" si="18"/>
        <v>○</v>
      </c>
      <c r="AQ83" s="18" t="str">
        <f t="shared" si="19"/>
        <v>○</v>
      </c>
      <c r="AR83" s="18" t="str">
        <f t="shared" si="20"/>
        <v>○</v>
      </c>
      <c r="AS83" s="18" t="str">
        <f t="shared" si="21"/>
        <v>○</v>
      </c>
      <c r="AT83" s="18" t="str">
        <f t="shared" si="22"/>
        <v>○</v>
      </c>
      <c r="AU83" s="18" t="str">
        <f t="shared" si="23"/>
        <v>○</v>
      </c>
    </row>
    <row r="84" spans="1:47" s="103" customFormat="1" ht="23.15" customHeight="1">
      <c r="A84" s="99">
        <v>78</v>
      </c>
      <c r="B84" s="98" t="str">
        <f>IF('②-1職員名簿'!E84="","",'②-1職員名簿'!Y84)</f>
        <v/>
      </c>
      <c r="C84" s="101" t="str">
        <f>'②-1職員名簿'!BE84</f>
        <v/>
      </c>
      <c r="D84" s="132" t="str">
        <f t="shared" si="24"/>
        <v/>
      </c>
      <c r="E84" s="19" t="str">
        <f>IF($B84="","",IF(AND('②-1職員名簿'!C84="正",'②-1職員名簿'!D84="常"),"正規職員","契約上の就業時間を記載"))</f>
        <v/>
      </c>
      <c r="F84" s="10" t="str">
        <f>IF($B84="","",IF(OR('②-1職員名簿'!AC84="○",'②-1職員名簿'!AC84="●"),IF($E84="正規職員","正",IF($E84="契約上の就業時間を記載","","見込を入力")),"-"))</f>
        <v/>
      </c>
      <c r="G84" s="10" t="str">
        <f>IF($B84="","",IF(OR('②-1職員名簿'!AD84="○",'②-1職員名簿'!AD84="●"),IF($E84="正規職員","正",IF($E84="契約上の就業時間を記載","","実績を入力")),"-"))</f>
        <v/>
      </c>
      <c r="H84" s="10" t="str">
        <f>IF($B84="","",IF(OR('②-1職員名簿'!AE84="○",'②-1職員名簿'!AE84="●"),IF($E84="正規職員","正",IF($E84="契約上の就業時間を記載","","実績を入力")),"-"))</f>
        <v/>
      </c>
      <c r="I84" s="10" t="str">
        <f>IF($B84="","",IF(OR('②-1職員名簿'!AF84="○",'②-1職員名簿'!AF84="●"),IF($E84="正規職員","正",IF($E84="契約上の就業時間を記載","","実績を入力")),"-"))</f>
        <v/>
      </c>
      <c r="J84" s="10" t="str">
        <f>IF($B84="","",IF(OR('②-1職員名簿'!AG84="○",'②-1職員名簿'!AG84="●"),IF($E84="正規職員","正",IF($E84="契約上の就業時間を記載","","実績を入力")),"-"))</f>
        <v/>
      </c>
      <c r="K84" s="10" t="str">
        <f>IF($B84="","",IF(OR('②-1職員名簿'!AH84="○",'②-1職員名簿'!AH84="●"),IF($E84="正規職員","正",IF($E84="契約上の就業時間を記載","","実績を入力")),"-"))</f>
        <v/>
      </c>
      <c r="L84" s="10" t="str">
        <f>IF($B84="","",IF(OR('②-1職員名簿'!AI84="○",'②-1職員名簿'!AI84="●"),IF($E84="正規職員","正",IF($E84="契約上の就業時間を記載","","実績を入力")),"-"))</f>
        <v/>
      </c>
      <c r="M84" s="10" t="str">
        <f>IF($B84="","",IF(OR('②-1職員名簿'!AJ84="○",'②-1職員名簿'!AJ84="●"),IF($E84="正規職員","正",IF($E84="契約上の就業時間を記載","","実績を入力")),"-"))</f>
        <v/>
      </c>
      <c r="N84" s="10" t="str">
        <f>IF($B84="","",IF(OR('②-1職員名簿'!AK84="○",'②-1職員名簿'!AK84="●"),IF($E84="正規職員","正",IF($E84="契約上の就業時間を記載","","実績を入力")),"-"))</f>
        <v/>
      </c>
      <c r="O84" s="10" t="str">
        <f>IF($B84="","",IF(OR('②-1職員名簿'!AL84="○",'②-1職員名簿'!AL84="●"),IF($E84="正規職員","正",IF($E84="契約上の就業時間を記載","","実績を入力")),"-"))</f>
        <v/>
      </c>
      <c r="P84" s="10" t="str">
        <f>IF($B84="","",IF(OR('②-1職員名簿'!AM84="○",'②-1職員名簿'!AM84="●"),IF($E84="正規職員","正",IF($E84="契約上の就業時間を記載","","実績を入力")),"-"))</f>
        <v/>
      </c>
      <c r="Q84" s="10" t="str">
        <f>IF($B84="","",IF(OR('②-1職員名簿'!AN84="○",'②-1職員名簿'!AN84="●"),IF($E84="正規職員","正",IF($E84="契約上の就業時間を記載","","実績を入力")),"-"))</f>
        <v/>
      </c>
      <c r="R84" s="101" t="str">
        <f>IF($B84="","",IF(OR('②-1職員名簿'!AC84="○",'②-1職員名簿'!AC84="●"),IF($E84="正規職員","正",IF($E84="契約上の就業時間を記載","",IF($E84&gt;=F$5,"常",F84))),"-"))</f>
        <v/>
      </c>
      <c r="S84" s="101" t="str">
        <f>IF($B84="","",IF(OR('②-1職員名簿'!AD84="○",'②-1職員名簿'!AD84="●"),IF($E84="正規職員","正",IF($E84="契約上の就業時間を記載","",IF($E84&gt;=G$5,"常",G84))),"-"))</f>
        <v/>
      </c>
      <c r="T84" s="101" t="str">
        <f>IF($B84="","",IF(OR('②-1職員名簿'!AE84="○",'②-1職員名簿'!AE84="●"),IF($E84="正規職員","正",IF($E84="契約上の就業時間を記載","",IF($E84&gt;=H$5,"常",H84))),"-"))</f>
        <v/>
      </c>
      <c r="U84" s="101" t="str">
        <f>IF($B84="","",IF(OR('②-1職員名簿'!AF84="○",'②-1職員名簿'!AF84="●"),IF($E84="正規職員","正",IF($E84="契約上の就業時間を記載","",IF($E84&gt;=I$5,"常",I84))),"-"))</f>
        <v/>
      </c>
      <c r="V84" s="101" t="str">
        <f>IF($B84="","",IF(OR('②-1職員名簿'!AG84="○",'②-1職員名簿'!AG84="●"),IF($E84="正規職員","正",IF($E84="契約上の就業時間を記載","",IF($E84&gt;=J$5,"常",J84))),"-"))</f>
        <v/>
      </c>
      <c r="W84" s="101" t="str">
        <f>IF($B84="","",IF(OR('②-1職員名簿'!AH84="○",'②-1職員名簿'!AH84="●"),IF($E84="正規職員","正",IF($E84="契約上の就業時間を記載","",IF($E84&gt;=K$5,"常",K84))),"-"))</f>
        <v/>
      </c>
      <c r="X84" s="101" t="str">
        <f>IF($B84="","",IF(OR('②-1職員名簿'!AI84="○",'②-1職員名簿'!AI84="●"),IF($E84="正規職員","正",IF($E84="契約上の就業時間を記載","",IF($E84&gt;=L$5,"常",L84))),"-"))</f>
        <v/>
      </c>
      <c r="Y84" s="101" t="str">
        <f>IF($B84="","",IF(OR('②-1職員名簿'!AJ84="○",'②-1職員名簿'!AJ84="●"),IF($E84="正規職員","正",IF($E84="契約上の就業時間を記載","",IF($E84&gt;=M$5,"常",M84))),"-"))</f>
        <v/>
      </c>
      <c r="Z84" s="101" t="str">
        <f>IF($B84="","",IF(OR('②-1職員名簿'!AK84="○",'②-1職員名簿'!AK84="●"),IF($E84="正規職員","正",IF($E84="契約上の就業時間を記載","",IF($E84&gt;=N$5,"常",N84))),"-"))</f>
        <v/>
      </c>
      <c r="AA84" s="101" t="str">
        <f>IF($B84="","",IF(OR('②-1職員名簿'!AL84="○",'②-1職員名簿'!AL84="●"),IF($E84="正規職員","正",IF($E84="契約上の就業時間を記載","",IF($E84&gt;=O$5,"常",O84))),"-"))</f>
        <v/>
      </c>
      <c r="AB84" s="101" t="str">
        <f>IF($B84="","",IF(OR('②-1職員名簿'!AM84="○",'②-1職員名簿'!AM84="●"),IF($E84="正規職員","正",IF($E84="契約上の就業時間を記載","",IF($E84&gt;=P$5,"常",P84))),"-"))</f>
        <v/>
      </c>
      <c r="AC84" s="101" t="str">
        <f>IF($B84="","",IF(OR('②-1職員名簿'!AN84="○",'②-1職員名簿'!AN84="●"),IF($E84="正規職員","正",IF($E84="契約上の就業時間を記載","",IF($E84&gt;=Q$5,"常",Q84))),"-"))</f>
        <v/>
      </c>
      <c r="AE84" s="98" t="str">
        <f>IF('②-1職員名簿'!W84="","",'②-1職員名簿'!W84)</f>
        <v/>
      </c>
      <c r="AJ84" s="18" t="str">
        <f t="shared" si="25"/>
        <v>○</v>
      </c>
      <c r="AK84" s="18" t="str">
        <f t="shared" si="13"/>
        <v>○</v>
      </c>
      <c r="AL84" s="18" t="str">
        <f t="shared" si="14"/>
        <v>○</v>
      </c>
      <c r="AM84" s="18" t="str">
        <f t="shared" si="15"/>
        <v>○</v>
      </c>
      <c r="AN84" s="18" t="str">
        <f t="shared" si="16"/>
        <v>○</v>
      </c>
      <c r="AO84" s="18" t="str">
        <f t="shared" si="17"/>
        <v>○</v>
      </c>
      <c r="AP84" s="18" t="str">
        <f t="shared" si="18"/>
        <v>○</v>
      </c>
      <c r="AQ84" s="18" t="str">
        <f t="shared" si="19"/>
        <v>○</v>
      </c>
      <c r="AR84" s="18" t="str">
        <f t="shared" si="20"/>
        <v>○</v>
      </c>
      <c r="AS84" s="18" t="str">
        <f t="shared" si="21"/>
        <v>○</v>
      </c>
      <c r="AT84" s="18" t="str">
        <f t="shared" si="22"/>
        <v>○</v>
      </c>
      <c r="AU84" s="18" t="str">
        <f t="shared" si="23"/>
        <v>○</v>
      </c>
    </row>
    <row r="85" spans="1:47" s="103" customFormat="1" ht="23.15" customHeight="1">
      <c r="A85" s="99">
        <v>79</v>
      </c>
      <c r="B85" s="98" t="str">
        <f>IF('②-1職員名簿'!E85="","",'②-1職員名簿'!Y85)</f>
        <v/>
      </c>
      <c r="C85" s="101" t="str">
        <f>'②-1職員名簿'!BE85</f>
        <v/>
      </c>
      <c r="D85" s="132" t="str">
        <f t="shared" si="24"/>
        <v/>
      </c>
      <c r="E85" s="19" t="str">
        <f>IF($B85="","",IF(AND('②-1職員名簿'!C85="正",'②-1職員名簿'!D85="常"),"正規職員","契約上の就業時間を記載"))</f>
        <v/>
      </c>
      <c r="F85" s="10" t="str">
        <f>IF($B85="","",IF(OR('②-1職員名簿'!AC85="○",'②-1職員名簿'!AC85="●"),IF($E85="正規職員","正",IF($E85="契約上の就業時間を記載","","見込を入力")),"-"))</f>
        <v/>
      </c>
      <c r="G85" s="10" t="str">
        <f>IF($B85="","",IF(OR('②-1職員名簿'!AD85="○",'②-1職員名簿'!AD85="●"),IF($E85="正規職員","正",IF($E85="契約上の就業時間を記載","","実績を入力")),"-"))</f>
        <v/>
      </c>
      <c r="H85" s="10" t="str">
        <f>IF($B85="","",IF(OR('②-1職員名簿'!AE85="○",'②-1職員名簿'!AE85="●"),IF($E85="正規職員","正",IF($E85="契約上の就業時間を記載","","実績を入力")),"-"))</f>
        <v/>
      </c>
      <c r="I85" s="10" t="str">
        <f>IF($B85="","",IF(OR('②-1職員名簿'!AF85="○",'②-1職員名簿'!AF85="●"),IF($E85="正規職員","正",IF($E85="契約上の就業時間を記載","","実績を入力")),"-"))</f>
        <v/>
      </c>
      <c r="J85" s="10" t="str">
        <f>IF($B85="","",IF(OR('②-1職員名簿'!AG85="○",'②-1職員名簿'!AG85="●"),IF($E85="正規職員","正",IF($E85="契約上の就業時間を記載","","実績を入力")),"-"))</f>
        <v/>
      </c>
      <c r="K85" s="10" t="str">
        <f>IF($B85="","",IF(OR('②-1職員名簿'!AH85="○",'②-1職員名簿'!AH85="●"),IF($E85="正規職員","正",IF($E85="契約上の就業時間を記載","","実績を入力")),"-"))</f>
        <v/>
      </c>
      <c r="L85" s="10" t="str">
        <f>IF($B85="","",IF(OR('②-1職員名簿'!AI85="○",'②-1職員名簿'!AI85="●"),IF($E85="正規職員","正",IF($E85="契約上の就業時間を記載","","実績を入力")),"-"))</f>
        <v/>
      </c>
      <c r="M85" s="10" t="str">
        <f>IF($B85="","",IF(OR('②-1職員名簿'!AJ85="○",'②-1職員名簿'!AJ85="●"),IF($E85="正規職員","正",IF($E85="契約上の就業時間を記載","","実績を入力")),"-"))</f>
        <v/>
      </c>
      <c r="N85" s="10" t="str">
        <f>IF($B85="","",IF(OR('②-1職員名簿'!AK85="○",'②-1職員名簿'!AK85="●"),IF($E85="正規職員","正",IF($E85="契約上の就業時間を記載","","実績を入力")),"-"))</f>
        <v/>
      </c>
      <c r="O85" s="10" t="str">
        <f>IF($B85="","",IF(OR('②-1職員名簿'!AL85="○",'②-1職員名簿'!AL85="●"),IF($E85="正規職員","正",IF($E85="契約上の就業時間を記載","","実績を入力")),"-"))</f>
        <v/>
      </c>
      <c r="P85" s="10" t="str">
        <f>IF($B85="","",IF(OR('②-1職員名簿'!AM85="○",'②-1職員名簿'!AM85="●"),IF($E85="正規職員","正",IF($E85="契約上の就業時間を記載","","実績を入力")),"-"))</f>
        <v/>
      </c>
      <c r="Q85" s="10" t="str">
        <f>IF($B85="","",IF(OR('②-1職員名簿'!AN85="○",'②-1職員名簿'!AN85="●"),IF($E85="正規職員","正",IF($E85="契約上の就業時間を記載","","実績を入力")),"-"))</f>
        <v/>
      </c>
      <c r="R85" s="101" t="str">
        <f>IF($B85="","",IF(OR('②-1職員名簿'!AC85="○",'②-1職員名簿'!AC85="●"),IF($E85="正規職員","正",IF($E85="契約上の就業時間を記載","",IF($E85&gt;=F$5,"常",F85))),"-"))</f>
        <v/>
      </c>
      <c r="S85" s="101" t="str">
        <f>IF($B85="","",IF(OR('②-1職員名簿'!AD85="○",'②-1職員名簿'!AD85="●"),IF($E85="正規職員","正",IF($E85="契約上の就業時間を記載","",IF($E85&gt;=G$5,"常",G85))),"-"))</f>
        <v/>
      </c>
      <c r="T85" s="101" t="str">
        <f>IF($B85="","",IF(OR('②-1職員名簿'!AE85="○",'②-1職員名簿'!AE85="●"),IF($E85="正規職員","正",IF($E85="契約上の就業時間を記載","",IF($E85&gt;=H$5,"常",H85))),"-"))</f>
        <v/>
      </c>
      <c r="U85" s="101" t="str">
        <f>IF($B85="","",IF(OR('②-1職員名簿'!AF85="○",'②-1職員名簿'!AF85="●"),IF($E85="正規職員","正",IF($E85="契約上の就業時間を記載","",IF($E85&gt;=I$5,"常",I85))),"-"))</f>
        <v/>
      </c>
      <c r="V85" s="101" t="str">
        <f>IF($B85="","",IF(OR('②-1職員名簿'!AG85="○",'②-1職員名簿'!AG85="●"),IF($E85="正規職員","正",IF($E85="契約上の就業時間を記載","",IF($E85&gt;=J$5,"常",J85))),"-"))</f>
        <v/>
      </c>
      <c r="W85" s="101" t="str">
        <f>IF($B85="","",IF(OR('②-1職員名簿'!AH85="○",'②-1職員名簿'!AH85="●"),IF($E85="正規職員","正",IF($E85="契約上の就業時間を記載","",IF($E85&gt;=K$5,"常",K85))),"-"))</f>
        <v/>
      </c>
      <c r="X85" s="101" t="str">
        <f>IF($B85="","",IF(OR('②-1職員名簿'!AI85="○",'②-1職員名簿'!AI85="●"),IF($E85="正規職員","正",IF($E85="契約上の就業時間を記載","",IF($E85&gt;=L$5,"常",L85))),"-"))</f>
        <v/>
      </c>
      <c r="Y85" s="101" t="str">
        <f>IF($B85="","",IF(OR('②-1職員名簿'!AJ85="○",'②-1職員名簿'!AJ85="●"),IF($E85="正規職員","正",IF($E85="契約上の就業時間を記載","",IF($E85&gt;=M$5,"常",M85))),"-"))</f>
        <v/>
      </c>
      <c r="Z85" s="101" t="str">
        <f>IF($B85="","",IF(OR('②-1職員名簿'!AK85="○",'②-1職員名簿'!AK85="●"),IF($E85="正規職員","正",IF($E85="契約上の就業時間を記載","",IF($E85&gt;=N$5,"常",N85))),"-"))</f>
        <v/>
      </c>
      <c r="AA85" s="101" t="str">
        <f>IF($B85="","",IF(OR('②-1職員名簿'!AL85="○",'②-1職員名簿'!AL85="●"),IF($E85="正規職員","正",IF($E85="契約上の就業時間を記載","",IF($E85&gt;=O$5,"常",O85))),"-"))</f>
        <v/>
      </c>
      <c r="AB85" s="101" t="str">
        <f>IF($B85="","",IF(OR('②-1職員名簿'!AM85="○",'②-1職員名簿'!AM85="●"),IF($E85="正規職員","正",IF($E85="契約上の就業時間を記載","",IF($E85&gt;=P$5,"常",P85))),"-"))</f>
        <v/>
      </c>
      <c r="AC85" s="101" t="str">
        <f>IF($B85="","",IF(OR('②-1職員名簿'!AN85="○",'②-1職員名簿'!AN85="●"),IF($E85="正規職員","正",IF($E85="契約上の就業時間を記載","",IF($E85&gt;=Q$5,"常",Q85))),"-"))</f>
        <v/>
      </c>
      <c r="AE85" s="98" t="str">
        <f>IF('②-1職員名簿'!W85="","",'②-1職員名簿'!W85)</f>
        <v/>
      </c>
      <c r="AJ85" s="18" t="str">
        <f t="shared" si="25"/>
        <v>○</v>
      </c>
      <c r="AK85" s="18" t="str">
        <f t="shared" si="13"/>
        <v>○</v>
      </c>
      <c r="AL85" s="18" t="str">
        <f t="shared" si="14"/>
        <v>○</v>
      </c>
      <c r="AM85" s="18" t="str">
        <f t="shared" si="15"/>
        <v>○</v>
      </c>
      <c r="AN85" s="18" t="str">
        <f t="shared" si="16"/>
        <v>○</v>
      </c>
      <c r="AO85" s="18" t="str">
        <f t="shared" si="17"/>
        <v>○</v>
      </c>
      <c r="AP85" s="18" t="str">
        <f t="shared" si="18"/>
        <v>○</v>
      </c>
      <c r="AQ85" s="18" t="str">
        <f t="shared" si="19"/>
        <v>○</v>
      </c>
      <c r="AR85" s="18" t="str">
        <f t="shared" si="20"/>
        <v>○</v>
      </c>
      <c r="AS85" s="18" t="str">
        <f t="shared" si="21"/>
        <v>○</v>
      </c>
      <c r="AT85" s="18" t="str">
        <f t="shared" si="22"/>
        <v>○</v>
      </c>
      <c r="AU85" s="18" t="str">
        <f t="shared" si="23"/>
        <v>○</v>
      </c>
    </row>
    <row r="86" spans="1:47" s="103" customFormat="1" ht="23.15" customHeight="1">
      <c r="A86" s="99">
        <v>80</v>
      </c>
      <c r="B86" s="98" t="str">
        <f>IF('②-1職員名簿'!E86="","",'②-1職員名簿'!Y86)</f>
        <v/>
      </c>
      <c r="C86" s="101" t="str">
        <f>'②-1職員名簿'!BE86</f>
        <v/>
      </c>
      <c r="D86" s="132" t="str">
        <f t="shared" si="24"/>
        <v/>
      </c>
      <c r="E86" s="19" t="str">
        <f>IF($B86="","",IF(AND('②-1職員名簿'!C86="正",'②-1職員名簿'!D86="常"),"正規職員","契約上の就業時間を記載"))</f>
        <v/>
      </c>
      <c r="F86" s="10" t="str">
        <f>IF($B86="","",IF(OR('②-1職員名簿'!AC86="○",'②-1職員名簿'!AC86="●"),IF($E86="正規職員","正",IF($E86="契約上の就業時間を記載","","見込を入力")),"-"))</f>
        <v/>
      </c>
      <c r="G86" s="10" t="str">
        <f>IF($B86="","",IF(OR('②-1職員名簿'!AD86="○",'②-1職員名簿'!AD86="●"),IF($E86="正規職員","正",IF($E86="契約上の就業時間を記載","","実績を入力")),"-"))</f>
        <v/>
      </c>
      <c r="H86" s="10" t="str">
        <f>IF($B86="","",IF(OR('②-1職員名簿'!AE86="○",'②-1職員名簿'!AE86="●"),IF($E86="正規職員","正",IF($E86="契約上の就業時間を記載","","実績を入力")),"-"))</f>
        <v/>
      </c>
      <c r="I86" s="10" t="str">
        <f>IF($B86="","",IF(OR('②-1職員名簿'!AF86="○",'②-1職員名簿'!AF86="●"),IF($E86="正規職員","正",IF($E86="契約上の就業時間を記載","","実績を入力")),"-"))</f>
        <v/>
      </c>
      <c r="J86" s="10" t="str">
        <f>IF($B86="","",IF(OR('②-1職員名簿'!AG86="○",'②-1職員名簿'!AG86="●"),IF($E86="正規職員","正",IF($E86="契約上の就業時間を記載","","実績を入力")),"-"))</f>
        <v/>
      </c>
      <c r="K86" s="10" t="str">
        <f>IF($B86="","",IF(OR('②-1職員名簿'!AH86="○",'②-1職員名簿'!AH86="●"),IF($E86="正規職員","正",IF($E86="契約上の就業時間を記載","","実績を入力")),"-"))</f>
        <v/>
      </c>
      <c r="L86" s="10" t="str">
        <f>IF($B86="","",IF(OR('②-1職員名簿'!AI86="○",'②-1職員名簿'!AI86="●"),IF($E86="正規職員","正",IF($E86="契約上の就業時間を記載","","実績を入力")),"-"))</f>
        <v/>
      </c>
      <c r="M86" s="10" t="str">
        <f>IF($B86="","",IF(OR('②-1職員名簿'!AJ86="○",'②-1職員名簿'!AJ86="●"),IF($E86="正規職員","正",IF($E86="契約上の就業時間を記載","","実績を入力")),"-"))</f>
        <v/>
      </c>
      <c r="N86" s="10" t="str">
        <f>IF($B86="","",IF(OR('②-1職員名簿'!AK86="○",'②-1職員名簿'!AK86="●"),IF($E86="正規職員","正",IF($E86="契約上の就業時間を記載","","実績を入力")),"-"))</f>
        <v/>
      </c>
      <c r="O86" s="10" t="str">
        <f>IF($B86="","",IF(OR('②-1職員名簿'!AL86="○",'②-1職員名簿'!AL86="●"),IF($E86="正規職員","正",IF($E86="契約上の就業時間を記載","","実績を入力")),"-"))</f>
        <v/>
      </c>
      <c r="P86" s="10" t="str">
        <f>IF($B86="","",IF(OR('②-1職員名簿'!AM86="○",'②-1職員名簿'!AM86="●"),IF($E86="正規職員","正",IF($E86="契約上の就業時間を記載","","実績を入力")),"-"))</f>
        <v/>
      </c>
      <c r="Q86" s="10" t="str">
        <f>IF($B86="","",IF(OR('②-1職員名簿'!AN86="○",'②-1職員名簿'!AN86="●"),IF($E86="正規職員","正",IF($E86="契約上の就業時間を記載","","実績を入力")),"-"))</f>
        <v/>
      </c>
      <c r="R86" s="101" t="str">
        <f>IF($B86="","",IF(OR('②-1職員名簿'!AC86="○",'②-1職員名簿'!AC86="●"),IF($E86="正規職員","正",IF($E86="契約上の就業時間を記載","",IF($E86&gt;=F$5,"常",F86))),"-"))</f>
        <v/>
      </c>
      <c r="S86" s="101" t="str">
        <f>IF($B86="","",IF(OR('②-1職員名簿'!AD86="○",'②-1職員名簿'!AD86="●"),IF($E86="正規職員","正",IF($E86="契約上の就業時間を記載","",IF($E86&gt;=G$5,"常",G86))),"-"))</f>
        <v/>
      </c>
      <c r="T86" s="101" t="str">
        <f>IF($B86="","",IF(OR('②-1職員名簿'!AE86="○",'②-1職員名簿'!AE86="●"),IF($E86="正規職員","正",IF($E86="契約上の就業時間を記載","",IF($E86&gt;=H$5,"常",H86))),"-"))</f>
        <v/>
      </c>
      <c r="U86" s="101" t="str">
        <f>IF($B86="","",IF(OR('②-1職員名簿'!AF86="○",'②-1職員名簿'!AF86="●"),IF($E86="正規職員","正",IF($E86="契約上の就業時間を記載","",IF($E86&gt;=I$5,"常",I86))),"-"))</f>
        <v/>
      </c>
      <c r="V86" s="101" t="str">
        <f>IF($B86="","",IF(OR('②-1職員名簿'!AG86="○",'②-1職員名簿'!AG86="●"),IF($E86="正規職員","正",IF($E86="契約上の就業時間を記載","",IF($E86&gt;=J$5,"常",J86))),"-"))</f>
        <v/>
      </c>
      <c r="W86" s="101" t="str">
        <f>IF($B86="","",IF(OR('②-1職員名簿'!AH86="○",'②-1職員名簿'!AH86="●"),IF($E86="正規職員","正",IF($E86="契約上の就業時間を記載","",IF($E86&gt;=K$5,"常",K86))),"-"))</f>
        <v/>
      </c>
      <c r="X86" s="101" t="str">
        <f>IF($B86="","",IF(OR('②-1職員名簿'!AI86="○",'②-1職員名簿'!AI86="●"),IF($E86="正規職員","正",IF($E86="契約上の就業時間を記載","",IF($E86&gt;=L$5,"常",L86))),"-"))</f>
        <v/>
      </c>
      <c r="Y86" s="101" t="str">
        <f>IF($B86="","",IF(OR('②-1職員名簿'!AJ86="○",'②-1職員名簿'!AJ86="●"),IF($E86="正規職員","正",IF($E86="契約上の就業時間を記載","",IF($E86&gt;=M$5,"常",M86))),"-"))</f>
        <v/>
      </c>
      <c r="Z86" s="101" t="str">
        <f>IF($B86="","",IF(OR('②-1職員名簿'!AK86="○",'②-1職員名簿'!AK86="●"),IF($E86="正規職員","正",IF($E86="契約上の就業時間を記載","",IF($E86&gt;=N$5,"常",N86))),"-"))</f>
        <v/>
      </c>
      <c r="AA86" s="101" t="str">
        <f>IF($B86="","",IF(OR('②-1職員名簿'!AL86="○",'②-1職員名簿'!AL86="●"),IF($E86="正規職員","正",IF($E86="契約上の就業時間を記載","",IF($E86&gt;=O$5,"常",O86))),"-"))</f>
        <v/>
      </c>
      <c r="AB86" s="101" t="str">
        <f>IF($B86="","",IF(OR('②-1職員名簿'!AM86="○",'②-1職員名簿'!AM86="●"),IF($E86="正規職員","正",IF($E86="契約上の就業時間を記載","",IF($E86&gt;=P$5,"常",P86))),"-"))</f>
        <v/>
      </c>
      <c r="AC86" s="101" t="str">
        <f>IF($B86="","",IF(OR('②-1職員名簿'!AN86="○",'②-1職員名簿'!AN86="●"),IF($E86="正規職員","正",IF($E86="契約上の就業時間を記載","",IF($E86&gt;=Q$5,"常",Q86))),"-"))</f>
        <v/>
      </c>
      <c r="AE86" s="98" t="str">
        <f>IF('②-1職員名簿'!W86="","",'②-1職員名簿'!W86)</f>
        <v/>
      </c>
      <c r="AJ86" s="18" t="str">
        <f t="shared" si="25"/>
        <v>○</v>
      </c>
      <c r="AK86" s="18" t="str">
        <f t="shared" si="13"/>
        <v>○</v>
      </c>
      <c r="AL86" s="18" t="str">
        <f t="shared" si="14"/>
        <v>○</v>
      </c>
      <c r="AM86" s="18" t="str">
        <f t="shared" si="15"/>
        <v>○</v>
      </c>
      <c r="AN86" s="18" t="str">
        <f t="shared" si="16"/>
        <v>○</v>
      </c>
      <c r="AO86" s="18" t="str">
        <f t="shared" si="17"/>
        <v>○</v>
      </c>
      <c r="AP86" s="18" t="str">
        <f t="shared" si="18"/>
        <v>○</v>
      </c>
      <c r="AQ86" s="18" t="str">
        <f t="shared" si="19"/>
        <v>○</v>
      </c>
      <c r="AR86" s="18" t="str">
        <f t="shared" si="20"/>
        <v>○</v>
      </c>
      <c r="AS86" s="18" t="str">
        <f t="shared" si="21"/>
        <v>○</v>
      </c>
      <c r="AT86" s="18" t="str">
        <f t="shared" si="22"/>
        <v>○</v>
      </c>
      <c r="AU86" s="18" t="str">
        <f t="shared" si="23"/>
        <v>○</v>
      </c>
    </row>
    <row r="87" spans="1:47" s="103" customFormat="1" ht="23.15" customHeight="1">
      <c r="A87" s="99">
        <v>81</v>
      </c>
      <c r="B87" s="98" t="str">
        <f>IF('②-1職員名簿'!E87="","",'②-1職員名簿'!Y87)</f>
        <v/>
      </c>
      <c r="C87" s="101" t="str">
        <f>'②-1職員名簿'!BE87</f>
        <v/>
      </c>
      <c r="D87" s="132" t="str">
        <f t="shared" si="24"/>
        <v/>
      </c>
      <c r="E87" s="19" t="str">
        <f>IF($B87="","",IF(AND('②-1職員名簿'!C87="正",'②-1職員名簿'!D87="常"),"正規職員","契約上の就業時間を記載"))</f>
        <v/>
      </c>
      <c r="F87" s="10" t="str">
        <f>IF($B87="","",IF(OR('②-1職員名簿'!AC87="○",'②-1職員名簿'!AC87="●"),IF($E87="正規職員","正",IF($E87="契約上の就業時間を記載","","見込を入力")),"-"))</f>
        <v/>
      </c>
      <c r="G87" s="10" t="str">
        <f>IF($B87="","",IF(OR('②-1職員名簿'!AD87="○",'②-1職員名簿'!AD87="●"),IF($E87="正規職員","正",IF($E87="契約上の就業時間を記載","","実績を入力")),"-"))</f>
        <v/>
      </c>
      <c r="H87" s="10" t="str">
        <f>IF($B87="","",IF(OR('②-1職員名簿'!AE87="○",'②-1職員名簿'!AE87="●"),IF($E87="正規職員","正",IF($E87="契約上の就業時間を記載","","実績を入力")),"-"))</f>
        <v/>
      </c>
      <c r="I87" s="10" t="str">
        <f>IF($B87="","",IF(OR('②-1職員名簿'!AF87="○",'②-1職員名簿'!AF87="●"),IF($E87="正規職員","正",IF($E87="契約上の就業時間を記載","","実績を入力")),"-"))</f>
        <v/>
      </c>
      <c r="J87" s="10" t="str">
        <f>IF($B87="","",IF(OR('②-1職員名簿'!AG87="○",'②-1職員名簿'!AG87="●"),IF($E87="正規職員","正",IF($E87="契約上の就業時間を記載","","実績を入力")),"-"))</f>
        <v/>
      </c>
      <c r="K87" s="10" t="str">
        <f>IF($B87="","",IF(OR('②-1職員名簿'!AH87="○",'②-1職員名簿'!AH87="●"),IF($E87="正規職員","正",IF($E87="契約上の就業時間を記載","","実績を入力")),"-"))</f>
        <v/>
      </c>
      <c r="L87" s="10" t="str">
        <f>IF($B87="","",IF(OR('②-1職員名簿'!AI87="○",'②-1職員名簿'!AI87="●"),IF($E87="正規職員","正",IF($E87="契約上の就業時間を記載","","実績を入力")),"-"))</f>
        <v/>
      </c>
      <c r="M87" s="10" t="str">
        <f>IF($B87="","",IF(OR('②-1職員名簿'!AJ87="○",'②-1職員名簿'!AJ87="●"),IF($E87="正規職員","正",IF($E87="契約上の就業時間を記載","","実績を入力")),"-"))</f>
        <v/>
      </c>
      <c r="N87" s="10" t="str">
        <f>IF($B87="","",IF(OR('②-1職員名簿'!AK87="○",'②-1職員名簿'!AK87="●"),IF($E87="正規職員","正",IF($E87="契約上の就業時間を記載","","実績を入力")),"-"))</f>
        <v/>
      </c>
      <c r="O87" s="10" t="str">
        <f>IF($B87="","",IF(OR('②-1職員名簿'!AL87="○",'②-1職員名簿'!AL87="●"),IF($E87="正規職員","正",IF($E87="契約上の就業時間を記載","","実績を入力")),"-"))</f>
        <v/>
      </c>
      <c r="P87" s="10" t="str">
        <f>IF($B87="","",IF(OR('②-1職員名簿'!AM87="○",'②-1職員名簿'!AM87="●"),IF($E87="正規職員","正",IF($E87="契約上の就業時間を記載","","実績を入力")),"-"))</f>
        <v/>
      </c>
      <c r="Q87" s="10" t="str">
        <f>IF($B87="","",IF(OR('②-1職員名簿'!AN87="○",'②-1職員名簿'!AN87="●"),IF($E87="正規職員","正",IF($E87="契約上の就業時間を記載","","実績を入力")),"-"))</f>
        <v/>
      </c>
      <c r="R87" s="101" t="str">
        <f>IF($B87="","",IF(OR('②-1職員名簿'!AC87="○",'②-1職員名簿'!AC87="●"),IF($E87="正規職員","正",IF($E87="契約上の就業時間を記載","",IF($E87&gt;=F$5,"常",F87))),"-"))</f>
        <v/>
      </c>
      <c r="S87" s="101" t="str">
        <f>IF($B87="","",IF(OR('②-1職員名簿'!AD87="○",'②-1職員名簿'!AD87="●"),IF($E87="正規職員","正",IF($E87="契約上の就業時間を記載","",IF($E87&gt;=G$5,"常",G87))),"-"))</f>
        <v/>
      </c>
      <c r="T87" s="101" t="str">
        <f>IF($B87="","",IF(OR('②-1職員名簿'!AE87="○",'②-1職員名簿'!AE87="●"),IF($E87="正規職員","正",IF($E87="契約上の就業時間を記載","",IF($E87&gt;=H$5,"常",H87))),"-"))</f>
        <v/>
      </c>
      <c r="U87" s="101" t="str">
        <f>IF($B87="","",IF(OR('②-1職員名簿'!AF87="○",'②-1職員名簿'!AF87="●"),IF($E87="正規職員","正",IF($E87="契約上の就業時間を記載","",IF($E87&gt;=I$5,"常",I87))),"-"))</f>
        <v/>
      </c>
      <c r="V87" s="101" t="str">
        <f>IF($B87="","",IF(OR('②-1職員名簿'!AG87="○",'②-1職員名簿'!AG87="●"),IF($E87="正規職員","正",IF($E87="契約上の就業時間を記載","",IF($E87&gt;=J$5,"常",J87))),"-"))</f>
        <v/>
      </c>
      <c r="W87" s="101" t="str">
        <f>IF($B87="","",IF(OR('②-1職員名簿'!AH87="○",'②-1職員名簿'!AH87="●"),IF($E87="正規職員","正",IF($E87="契約上の就業時間を記載","",IF($E87&gt;=K$5,"常",K87))),"-"))</f>
        <v/>
      </c>
      <c r="X87" s="101" t="str">
        <f>IF($B87="","",IF(OR('②-1職員名簿'!AI87="○",'②-1職員名簿'!AI87="●"),IF($E87="正規職員","正",IF($E87="契約上の就業時間を記載","",IF($E87&gt;=L$5,"常",L87))),"-"))</f>
        <v/>
      </c>
      <c r="Y87" s="101" t="str">
        <f>IF($B87="","",IF(OR('②-1職員名簿'!AJ87="○",'②-1職員名簿'!AJ87="●"),IF($E87="正規職員","正",IF($E87="契約上の就業時間を記載","",IF($E87&gt;=M$5,"常",M87))),"-"))</f>
        <v/>
      </c>
      <c r="Z87" s="101" t="str">
        <f>IF($B87="","",IF(OR('②-1職員名簿'!AK87="○",'②-1職員名簿'!AK87="●"),IF($E87="正規職員","正",IF($E87="契約上の就業時間を記載","",IF($E87&gt;=N$5,"常",N87))),"-"))</f>
        <v/>
      </c>
      <c r="AA87" s="101" t="str">
        <f>IF($B87="","",IF(OR('②-1職員名簿'!AL87="○",'②-1職員名簿'!AL87="●"),IF($E87="正規職員","正",IF($E87="契約上の就業時間を記載","",IF($E87&gt;=O$5,"常",O87))),"-"))</f>
        <v/>
      </c>
      <c r="AB87" s="101" t="str">
        <f>IF($B87="","",IF(OR('②-1職員名簿'!AM87="○",'②-1職員名簿'!AM87="●"),IF($E87="正規職員","正",IF($E87="契約上の就業時間を記載","",IF($E87&gt;=P$5,"常",P87))),"-"))</f>
        <v/>
      </c>
      <c r="AC87" s="101" t="str">
        <f>IF($B87="","",IF(OR('②-1職員名簿'!AN87="○",'②-1職員名簿'!AN87="●"),IF($E87="正規職員","正",IF($E87="契約上の就業時間を記載","",IF($E87&gt;=Q$5,"常",Q87))),"-"))</f>
        <v/>
      </c>
      <c r="AE87" s="98" t="str">
        <f>IF('②-1職員名簿'!W87="","",'②-1職員名簿'!W87)</f>
        <v/>
      </c>
      <c r="AJ87" s="18" t="str">
        <f t="shared" si="25"/>
        <v>○</v>
      </c>
      <c r="AK87" s="18" t="str">
        <f t="shared" ref="AK87:AK106" si="26">IF(AND($C87="常勤的非常勤",$E87&lt;G$5),"×",IF(AND($C87="短時間非常勤",G$5&lt;=$E87),"×",IF(AND($C87="嘱託常勤",$E87&lt;G$5),"×",IF(AND($C87="嘱託非常勤",G$5&lt;=$E87),"×","○"))))</f>
        <v>○</v>
      </c>
      <c r="AL87" s="18" t="str">
        <f t="shared" ref="AL87:AL106" si="27">IF(AND($C87="常勤的非常勤",$E87&lt;H$5),"×",IF(AND($C87="短時間非常勤",H$5&lt;=$E87),"×",IF(AND($C87="嘱託常勤",$E87&lt;H$5),"×",IF(AND($C87="嘱託非常勤",H$5&lt;=$E87),"×","○"))))</f>
        <v>○</v>
      </c>
      <c r="AM87" s="18" t="str">
        <f t="shared" ref="AM87:AM106" si="28">IF(AND($C87="常勤的非常勤",$E87&lt;I$5),"×",IF(AND($C87="短時間非常勤",I$5&lt;=$E87),"×",IF(AND($C87="嘱託常勤",$E87&lt;I$5),"×",IF(AND($C87="嘱託非常勤",I$5&lt;=$E87),"×","○"))))</f>
        <v>○</v>
      </c>
      <c r="AN87" s="18" t="str">
        <f t="shared" ref="AN87:AN106" si="29">IF(AND($C87="常勤的非常勤",$E87&lt;J$5),"×",IF(AND($C87="短時間非常勤",J$5&lt;=$E87),"×",IF(AND($C87="嘱託常勤",$E87&lt;J$5),"×",IF(AND($C87="嘱託非常勤",J$5&lt;=$E87),"×","○"))))</f>
        <v>○</v>
      </c>
      <c r="AO87" s="18" t="str">
        <f t="shared" ref="AO87:AO106" si="30">IF(AND($C87="常勤的非常勤",$E87&lt;K$5),"×",IF(AND($C87="短時間非常勤",K$5&lt;=$E87),"×",IF(AND($C87="嘱託常勤",$E87&lt;K$5),"×",IF(AND($C87="嘱託非常勤",K$5&lt;=$E87),"×","○"))))</f>
        <v>○</v>
      </c>
      <c r="AP87" s="18" t="str">
        <f t="shared" ref="AP87:AP106" si="31">IF(AND($C87="常勤的非常勤",$E87&lt;L$5),"×",IF(AND($C87="短時間非常勤",L$5&lt;=$E87),"×",IF(AND($C87="嘱託常勤",$E87&lt;L$5),"×",IF(AND($C87="嘱託非常勤",L$5&lt;=$E87),"×","○"))))</f>
        <v>○</v>
      </c>
      <c r="AQ87" s="18" t="str">
        <f t="shared" ref="AQ87:AQ106" si="32">IF(AND($C87="常勤的非常勤",$E87&lt;M$5),"×",IF(AND($C87="短時間非常勤",M$5&lt;=$E87),"×",IF(AND($C87="嘱託常勤",$E87&lt;M$5),"×",IF(AND($C87="嘱託非常勤",M$5&lt;=$E87),"×","○"))))</f>
        <v>○</v>
      </c>
      <c r="AR87" s="18" t="str">
        <f t="shared" ref="AR87:AR106" si="33">IF(AND($C87="常勤的非常勤",$E87&lt;N$5),"×",IF(AND($C87="短時間非常勤",N$5&lt;=$E87),"×",IF(AND($C87="嘱託常勤",$E87&lt;N$5),"×",IF(AND($C87="嘱託非常勤",N$5&lt;=$E87),"×","○"))))</f>
        <v>○</v>
      </c>
      <c r="AS87" s="18" t="str">
        <f t="shared" ref="AS87:AS106" si="34">IF(AND($C87="常勤的非常勤",$E87&lt;O$5),"×",IF(AND($C87="短時間非常勤",O$5&lt;=$E87),"×",IF(AND($C87="嘱託常勤",$E87&lt;O$5),"×",IF(AND($C87="嘱託非常勤",O$5&lt;=$E87),"×","○"))))</f>
        <v>○</v>
      </c>
      <c r="AT87" s="18" t="str">
        <f t="shared" ref="AT87:AT106" si="35">IF(AND($C87="常勤的非常勤",$E87&lt;P$5),"×",IF(AND($C87="短時間非常勤",P$5&lt;=$E87),"×",IF(AND($C87="嘱託常勤",$E87&lt;P$5),"×",IF(AND($C87="嘱託非常勤",P$5&lt;=$E87),"×","○"))))</f>
        <v>○</v>
      </c>
      <c r="AU87" s="18" t="str">
        <f t="shared" ref="AU87:AU106" si="36">IF(AND($C87="常勤的非常勤",$E87&lt;Q$5),"×",IF(AND($C87="短時間非常勤",Q$5&lt;=$E87),"×",IF(AND($C87="嘱託常勤",$E87&lt;Q$5),"×",IF(AND($C87="嘱託非常勤",Q$5&lt;=$E87),"×","○"))))</f>
        <v>○</v>
      </c>
    </row>
    <row r="88" spans="1:47" s="103" customFormat="1" ht="23.15" customHeight="1">
      <c r="A88" s="99">
        <v>82</v>
      </c>
      <c r="B88" s="98" t="str">
        <f>IF('②-1職員名簿'!E88="","",'②-1職員名簿'!Y88)</f>
        <v/>
      </c>
      <c r="C88" s="101" t="str">
        <f>'②-1職員名簿'!BE88</f>
        <v/>
      </c>
      <c r="D88" s="132" t="str">
        <f t="shared" si="24"/>
        <v/>
      </c>
      <c r="E88" s="19" t="str">
        <f>IF($B88="","",IF(AND('②-1職員名簿'!C88="正",'②-1職員名簿'!D88="常"),"正規職員","契約上の就業時間を記載"))</f>
        <v/>
      </c>
      <c r="F88" s="10" t="str">
        <f>IF($B88="","",IF(OR('②-1職員名簿'!AC88="○",'②-1職員名簿'!AC88="●"),IF($E88="正規職員","正",IF($E88="契約上の就業時間を記載","","見込を入力")),"-"))</f>
        <v/>
      </c>
      <c r="G88" s="10" t="str">
        <f>IF($B88="","",IF(OR('②-1職員名簿'!AD88="○",'②-1職員名簿'!AD88="●"),IF($E88="正規職員","正",IF($E88="契約上の就業時間を記載","","実績を入力")),"-"))</f>
        <v/>
      </c>
      <c r="H88" s="10" t="str">
        <f>IF($B88="","",IF(OR('②-1職員名簿'!AE88="○",'②-1職員名簿'!AE88="●"),IF($E88="正規職員","正",IF($E88="契約上の就業時間を記載","","実績を入力")),"-"))</f>
        <v/>
      </c>
      <c r="I88" s="10" t="str">
        <f>IF($B88="","",IF(OR('②-1職員名簿'!AF88="○",'②-1職員名簿'!AF88="●"),IF($E88="正規職員","正",IF($E88="契約上の就業時間を記載","","実績を入力")),"-"))</f>
        <v/>
      </c>
      <c r="J88" s="10" t="str">
        <f>IF($B88="","",IF(OR('②-1職員名簿'!AG88="○",'②-1職員名簿'!AG88="●"),IF($E88="正規職員","正",IF($E88="契約上の就業時間を記載","","実績を入力")),"-"))</f>
        <v/>
      </c>
      <c r="K88" s="10" t="str">
        <f>IF($B88="","",IF(OR('②-1職員名簿'!AH88="○",'②-1職員名簿'!AH88="●"),IF($E88="正規職員","正",IF($E88="契約上の就業時間を記載","","実績を入力")),"-"))</f>
        <v/>
      </c>
      <c r="L88" s="10" t="str">
        <f>IF($B88="","",IF(OR('②-1職員名簿'!AI88="○",'②-1職員名簿'!AI88="●"),IF($E88="正規職員","正",IF($E88="契約上の就業時間を記載","","実績を入力")),"-"))</f>
        <v/>
      </c>
      <c r="M88" s="10" t="str">
        <f>IF($B88="","",IF(OR('②-1職員名簿'!AJ88="○",'②-1職員名簿'!AJ88="●"),IF($E88="正規職員","正",IF($E88="契約上の就業時間を記載","","実績を入力")),"-"))</f>
        <v/>
      </c>
      <c r="N88" s="10" t="str">
        <f>IF($B88="","",IF(OR('②-1職員名簿'!AK88="○",'②-1職員名簿'!AK88="●"),IF($E88="正規職員","正",IF($E88="契約上の就業時間を記載","","実績を入力")),"-"))</f>
        <v/>
      </c>
      <c r="O88" s="10" t="str">
        <f>IF($B88="","",IF(OR('②-1職員名簿'!AL88="○",'②-1職員名簿'!AL88="●"),IF($E88="正規職員","正",IF($E88="契約上の就業時間を記載","","実績を入力")),"-"))</f>
        <v/>
      </c>
      <c r="P88" s="10" t="str">
        <f>IF($B88="","",IF(OR('②-1職員名簿'!AM88="○",'②-1職員名簿'!AM88="●"),IF($E88="正規職員","正",IF($E88="契約上の就業時間を記載","","実績を入力")),"-"))</f>
        <v/>
      </c>
      <c r="Q88" s="10" t="str">
        <f>IF($B88="","",IF(OR('②-1職員名簿'!AN88="○",'②-1職員名簿'!AN88="●"),IF($E88="正規職員","正",IF($E88="契約上の就業時間を記載","","実績を入力")),"-"))</f>
        <v/>
      </c>
      <c r="R88" s="101" t="str">
        <f>IF($B88="","",IF(OR('②-1職員名簿'!AC88="○",'②-1職員名簿'!AC88="●"),IF($E88="正規職員","正",IF($E88="契約上の就業時間を記載","",IF($E88&gt;=F$5,"常",F88))),"-"))</f>
        <v/>
      </c>
      <c r="S88" s="101" t="str">
        <f>IF($B88="","",IF(OR('②-1職員名簿'!AD88="○",'②-1職員名簿'!AD88="●"),IF($E88="正規職員","正",IF($E88="契約上の就業時間を記載","",IF($E88&gt;=G$5,"常",G88))),"-"))</f>
        <v/>
      </c>
      <c r="T88" s="101" t="str">
        <f>IF($B88="","",IF(OR('②-1職員名簿'!AE88="○",'②-1職員名簿'!AE88="●"),IF($E88="正規職員","正",IF($E88="契約上の就業時間を記載","",IF($E88&gt;=H$5,"常",H88))),"-"))</f>
        <v/>
      </c>
      <c r="U88" s="101" t="str">
        <f>IF($B88="","",IF(OR('②-1職員名簿'!AF88="○",'②-1職員名簿'!AF88="●"),IF($E88="正規職員","正",IF($E88="契約上の就業時間を記載","",IF($E88&gt;=I$5,"常",I88))),"-"))</f>
        <v/>
      </c>
      <c r="V88" s="101" t="str">
        <f>IF($B88="","",IF(OR('②-1職員名簿'!AG88="○",'②-1職員名簿'!AG88="●"),IF($E88="正規職員","正",IF($E88="契約上の就業時間を記載","",IF($E88&gt;=J$5,"常",J88))),"-"))</f>
        <v/>
      </c>
      <c r="W88" s="101" t="str">
        <f>IF($B88="","",IF(OR('②-1職員名簿'!AH88="○",'②-1職員名簿'!AH88="●"),IF($E88="正規職員","正",IF($E88="契約上の就業時間を記載","",IF($E88&gt;=K$5,"常",K88))),"-"))</f>
        <v/>
      </c>
      <c r="X88" s="101" t="str">
        <f>IF($B88="","",IF(OR('②-1職員名簿'!AI88="○",'②-1職員名簿'!AI88="●"),IF($E88="正規職員","正",IF($E88="契約上の就業時間を記載","",IF($E88&gt;=L$5,"常",L88))),"-"))</f>
        <v/>
      </c>
      <c r="Y88" s="101" t="str">
        <f>IF($B88="","",IF(OR('②-1職員名簿'!AJ88="○",'②-1職員名簿'!AJ88="●"),IF($E88="正規職員","正",IF($E88="契約上の就業時間を記載","",IF($E88&gt;=M$5,"常",M88))),"-"))</f>
        <v/>
      </c>
      <c r="Z88" s="101" t="str">
        <f>IF($B88="","",IF(OR('②-1職員名簿'!AK88="○",'②-1職員名簿'!AK88="●"),IF($E88="正規職員","正",IF($E88="契約上の就業時間を記載","",IF($E88&gt;=N$5,"常",N88))),"-"))</f>
        <v/>
      </c>
      <c r="AA88" s="101" t="str">
        <f>IF($B88="","",IF(OR('②-1職員名簿'!AL88="○",'②-1職員名簿'!AL88="●"),IF($E88="正規職員","正",IF($E88="契約上の就業時間を記載","",IF($E88&gt;=O$5,"常",O88))),"-"))</f>
        <v/>
      </c>
      <c r="AB88" s="101" t="str">
        <f>IF($B88="","",IF(OR('②-1職員名簿'!AM88="○",'②-1職員名簿'!AM88="●"),IF($E88="正規職員","正",IF($E88="契約上の就業時間を記載","",IF($E88&gt;=P$5,"常",P88))),"-"))</f>
        <v/>
      </c>
      <c r="AC88" s="101" t="str">
        <f>IF($B88="","",IF(OR('②-1職員名簿'!AN88="○",'②-1職員名簿'!AN88="●"),IF($E88="正規職員","正",IF($E88="契約上の就業時間を記載","",IF($E88&gt;=Q$5,"常",Q88))),"-"))</f>
        <v/>
      </c>
      <c r="AE88" s="98" t="str">
        <f>IF('②-1職員名簿'!W88="","",'②-1職員名簿'!W88)</f>
        <v/>
      </c>
      <c r="AJ88" s="18" t="str">
        <f t="shared" si="25"/>
        <v>○</v>
      </c>
      <c r="AK88" s="18" t="str">
        <f t="shared" si="26"/>
        <v>○</v>
      </c>
      <c r="AL88" s="18" t="str">
        <f t="shared" si="27"/>
        <v>○</v>
      </c>
      <c r="AM88" s="18" t="str">
        <f t="shared" si="28"/>
        <v>○</v>
      </c>
      <c r="AN88" s="18" t="str">
        <f t="shared" si="29"/>
        <v>○</v>
      </c>
      <c r="AO88" s="18" t="str">
        <f t="shared" si="30"/>
        <v>○</v>
      </c>
      <c r="AP88" s="18" t="str">
        <f t="shared" si="31"/>
        <v>○</v>
      </c>
      <c r="AQ88" s="18" t="str">
        <f t="shared" si="32"/>
        <v>○</v>
      </c>
      <c r="AR88" s="18" t="str">
        <f t="shared" si="33"/>
        <v>○</v>
      </c>
      <c r="AS88" s="18" t="str">
        <f t="shared" si="34"/>
        <v>○</v>
      </c>
      <c r="AT88" s="18" t="str">
        <f t="shared" si="35"/>
        <v>○</v>
      </c>
      <c r="AU88" s="18" t="str">
        <f t="shared" si="36"/>
        <v>○</v>
      </c>
    </row>
    <row r="89" spans="1:47" s="103" customFormat="1" ht="23.15" customHeight="1">
      <c r="A89" s="99">
        <v>83</v>
      </c>
      <c r="B89" s="98" t="str">
        <f>IF('②-1職員名簿'!E89="","",'②-1職員名簿'!Y89)</f>
        <v/>
      </c>
      <c r="C89" s="101" t="str">
        <f>'②-1職員名簿'!BE89</f>
        <v/>
      </c>
      <c r="D89" s="132" t="str">
        <f t="shared" si="24"/>
        <v/>
      </c>
      <c r="E89" s="19" t="str">
        <f>IF($B89="","",IF(AND('②-1職員名簿'!C89="正",'②-1職員名簿'!D89="常"),"正規職員","契約上の就業時間を記載"))</f>
        <v/>
      </c>
      <c r="F89" s="10" t="str">
        <f>IF($B89="","",IF(OR('②-1職員名簿'!AC89="○",'②-1職員名簿'!AC89="●"),IF($E89="正規職員","正",IF($E89="契約上の就業時間を記載","","見込を入力")),"-"))</f>
        <v/>
      </c>
      <c r="G89" s="10" t="str">
        <f>IF($B89="","",IF(OR('②-1職員名簿'!AD89="○",'②-1職員名簿'!AD89="●"),IF($E89="正規職員","正",IF($E89="契約上の就業時間を記載","","実績を入力")),"-"))</f>
        <v/>
      </c>
      <c r="H89" s="10" t="str">
        <f>IF($B89="","",IF(OR('②-1職員名簿'!AE89="○",'②-1職員名簿'!AE89="●"),IF($E89="正規職員","正",IF($E89="契約上の就業時間を記載","","実績を入力")),"-"))</f>
        <v/>
      </c>
      <c r="I89" s="10" t="str">
        <f>IF($B89="","",IF(OR('②-1職員名簿'!AF89="○",'②-1職員名簿'!AF89="●"),IF($E89="正規職員","正",IF($E89="契約上の就業時間を記載","","実績を入力")),"-"))</f>
        <v/>
      </c>
      <c r="J89" s="10" t="str">
        <f>IF($B89="","",IF(OR('②-1職員名簿'!AG89="○",'②-1職員名簿'!AG89="●"),IF($E89="正規職員","正",IF($E89="契約上の就業時間を記載","","実績を入力")),"-"))</f>
        <v/>
      </c>
      <c r="K89" s="10" t="str">
        <f>IF($B89="","",IF(OR('②-1職員名簿'!AH89="○",'②-1職員名簿'!AH89="●"),IF($E89="正規職員","正",IF($E89="契約上の就業時間を記載","","実績を入力")),"-"))</f>
        <v/>
      </c>
      <c r="L89" s="10" t="str">
        <f>IF($B89="","",IF(OR('②-1職員名簿'!AI89="○",'②-1職員名簿'!AI89="●"),IF($E89="正規職員","正",IF($E89="契約上の就業時間を記載","","実績を入力")),"-"))</f>
        <v/>
      </c>
      <c r="M89" s="10" t="str">
        <f>IF($B89="","",IF(OR('②-1職員名簿'!AJ89="○",'②-1職員名簿'!AJ89="●"),IF($E89="正規職員","正",IF($E89="契約上の就業時間を記載","","実績を入力")),"-"))</f>
        <v/>
      </c>
      <c r="N89" s="10" t="str">
        <f>IF($B89="","",IF(OR('②-1職員名簿'!AK89="○",'②-1職員名簿'!AK89="●"),IF($E89="正規職員","正",IF($E89="契約上の就業時間を記載","","実績を入力")),"-"))</f>
        <v/>
      </c>
      <c r="O89" s="10" t="str">
        <f>IF($B89="","",IF(OR('②-1職員名簿'!AL89="○",'②-1職員名簿'!AL89="●"),IF($E89="正規職員","正",IF($E89="契約上の就業時間を記載","","実績を入力")),"-"))</f>
        <v/>
      </c>
      <c r="P89" s="10" t="str">
        <f>IF($B89="","",IF(OR('②-1職員名簿'!AM89="○",'②-1職員名簿'!AM89="●"),IF($E89="正規職員","正",IF($E89="契約上の就業時間を記載","","実績を入力")),"-"))</f>
        <v/>
      </c>
      <c r="Q89" s="10" t="str">
        <f>IF($B89="","",IF(OR('②-1職員名簿'!AN89="○",'②-1職員名簿'!AN89="●"),IF($E89="正規職員","正",IF($E89="契約上の就業時間を記載","","実績を入力")),"-"))</f>
        <v/>
      </c>
      <c r="R89" s="101" t="str">
        <f>IF($B89="","",IF(OR('②-1職員名簿'!AC89="○",'②-1職員名簿'!AC89="●"),IF($E89="正規職員","正",IF($E89="契約上の就業時間を記載","",IF($E89&gt;=F$5,"常",F89))),"-"))</f>
        <v/>
      </c>
      <c r="S89" s="101" t="str">
        <f>IF($B89="","",IF(OR('②-1職員名簿'!AD89="○",'②-1職員名簿'!AD89="●"),IF($E89="正規職員","正",IF($E89="契約上の就業時間を記載","",IF($E89&gt;=G$5,"常",G89))),"-"))</f>
        <v/>
      </c>
      <c r="T89" s="101" t="str">
        <f>IF($B89="","",IF(OR('②-1職員名簿'!AE89="○",'②-1職員名簿'!AE89="●"),IF($E89="正規職員","正",IF($E89="契約上の就業時間を記載","",IF($E89&gt;=H$5,"常",H89))),"-"))</f>
        <v/>
      </c>
      <c r="U89" s="101" t="str">
        <f>IF($B89="","",IF(OR('②-1職員名簿'!AF89="○",'②-1職員名簿'!AF89="●"),IF($E89="正規職員","正",IF($E89="契約上の就業時間を記載","",IF($E89&gt;=I$5,"常",I89))),"-"))</f>
        <v/>
      </c>
      <c r="V89" s="101" t="str">
        <f>IF($B89="","",IF(OR('②-1職員名簿'!AG89="○",'②-1職員名簿'!AG89="●"),IF($E89="正規職員","正",IF($E89="契約上の就業時間を記載","",IF($E89&gt;=J$5,"常",J89))),"-"))</f>
        <v/>
      </c>
      <c r="W89" s="101" t="str">
        <f>IF($B89="","",IF(OR('②-1職員名簿'!AH89="○",'②-1職員名簿'!AH89="●"),IF($E89="正規職員","正",IF($E89="契約上の就業時間を記載","",IF($E89&gt;=K$5,"常",K89))),"-"))</f>
        <v/>
      </c>
      <c r="X89" s="101" t="str">
        <f>IF($B89="","",IF(OR('②-1職員名簿'!AI89="○",'②-1職員名簿'!AI89="●"),IF($E89="正規職員","正",IF($E89="契約上の就業時間を記載","",IF($E89&gt;=L$5,"常",L89))),"-"))</f>
        <v/>
      </c>
      <c r="Y89" s="101" t="str">
        <f>IF($B89="","",IF(OR('②-1職員名簿'!AJ89="○",'②-1職員名簿'!AJ89="●"),IF($E89="正規職員","正",IF($E89="契約上の就業時間を記載","",IF($E89&gt;=M$5,"常",M89))),"-"))</f>
        <v/>
      </c>
      <c r="Z89" s="101" t="str">
        <f>IF($B89="","",IF(OR('②-1職員名簿'!AK89="○",'②-1職員名簿'!AK89="●"),IF($E89="正規職員","正",IF($E89="契約上の就業時間を記載","",IF($E89&gt;=N$5,"常",N89))),"-"))</f>
        <v/>
      </c>
      <c r="AA89" s="101" t="str">
        <f>IF($B89="","",IF(OR('②-1職員名簿'!AL89="○",'②-1職員名簿'!AL89="●"),IF($E89="正規職員","正",IF($E89="契約上の就業時間を記載","",IF($E89&gt;=O$5,"常",O89))),"-"))</f>
        <v/>
      </c>
      <c r="AB89" s="101" t="str">
        <f>IF($B89="","",IF(OR('②-1職員名簿'!AM89="○",'②-1職員名簿'!AM89="●"),IF($E89="正規職員","正",IF($E89="契約上の就業時間を記載","",IF($E89&gt;=P$5,"常",P89))),"-"))</f>
        <v/>
      </c>
      <c r="AC89" s="101" t="str">
        <f>IF($B89="","",IF(OR('②-1職員名簿'!AN89="○",'②-1職員名簿'!AN89="●"),IF($E89="正規職員","正",IF($E89="契約上の就業時間を記載","",IF($E89&gt;=Q$5,"常",Q89))),"-"))</f>
        <v/>
      </c>
      <c r="AE89" s="98" t="str">
        <f>IF('②-1職員名簿'!W89="","",'②-1職員名簿'!W89)</f>
        <v/>
      </c>
      <c r="AJ89" s="18" t="str">
        <f t="shared" si="25"/>
        <v>○</v>
      </c>
      <c r="AK89" s="18" t="str">
        <f t="shared" si="26"/>
        <v>○</v>
      </c>
      <c r="AL89" s="18" t="str">
        <f t="shared" si="27"/>
        <v>○</v>
      </c>
      <c r="AM89" s="18" t="str">
        <f t="shared" si="28"/>
        <v>○</v>
      </c>
      <c r="AN89" s="18" t="str">
        <f t="shared" si="29"/>
        <v>○</v>
      </c>
      <c r="AO89" s="18" t="str">
        <f t="shared" si="30"/>
        <v>○</v>
      </c>
      <c r="AP89" s="18" t="str">
        <f t="shared" si="31"/>
        <v>○</v>
      </c>
      <c r="AQ89" s="18" t="str">
        <f t="shared" si="32"/>
        <v>○</v>
      </c>
      <c r="AR89" s="18" t="str">
        <f t="shared" si="33"/>
        <v>○</v>
      </c>
      <c r="AS89" s="18" t="str">
        <f t="shared" si="34"/>
        <v>○</v>
      </c>
      <c r="AT89" s="18" t="str">
        <f t="shared" si="35"/>
        <v>○</v>
      </c>
      <c r="AU89" s="18" t="str">
        <f t="shared" si="36"/>
        <v>○</v>
      </c>
    </row>
    <row r="90" spans="1:47" s="103" customFormat="1" ht="23.15" customHeight="1">
      <c r="A90" s="99">
        <v>84</v>
      </c>
      <c r="B90" s="98" t="str">
        <f>IF('②-1職員名簿'!E90="","",'②-1職員名簿'!Y90)</f>
        <v/>
      </c>
      <c r="C90" s="101" t="str">
        <f>'②-1職員名簿'!BE90</f>
        <v/>
      </c>
      <c r="D90" s="132" t="str">
        <f t="shared" si="24"/>
        <v/>
      </c>
      <c r="E90" s="19" t="str">
        <f>IF($B90="","",IF(AND('②-1職員名簿'!C90="正",'②-1職員名簿'!D90="常"),"正規職員","契約上の就業時間を記載"))</f>
        <v/>
      </c>
      <c r="F90" s="10" t="str">
        <f>IF($B90="","",IF(OR('②-1職員名簿'!AC90="○",'②-1職員名簿'!AC90="●"),IF($E90="正規職員","正",IF($E90="契約上の就業時間を記載","","見込を入力")),"-"))</f>
        <v/>
      </c>
      <c r="G90" s="10" t="str">
        <f>IF($B90="","",IF(OR('②-1職員名簿'!AD90="○",'②-1職員名簿'!AD90="●"),IF($E90="正規職員","正",IF($E90="契約上の就業時間を記載","","実績を入力")),"-"))</f>
        <v/>
      </c>
      <c r="H90" s="10" t="str">
        <f>IF($B90="","",IF(OR('②-1職員名簿'!AE90="○",'②-1職員名簿'!AE90="●"),IF($E90="正規職員","正",IF($E90="契約上の就業時間を記載","","実績を入力")),"-"))</f>
        <v/>
      </c>
      <c r="I90" s="10" t="str">
        <f>IF($B90="","",IF(OR('②-1職員名簿'!AF90="○",'②-1職員名簿'!AF90="●"),IF($E90="正規職員","正",IF($E90="契約上の就業時間を記載","","実績を入力")),"-"))</f>
        <v/>
      </c>
      <c r="J90" s="10" t="str">
        <f>IF($B90="","",IF(OR('②-1職員名簿'!AG90="○",'②-1職員名簿'!AG90="●"),IF($E90="正規職員","正",IF($E90="契約上の就業時間を記載","","実績を入力")),"-"))</f>
        <v/>
      </c>
      <c r="K90" s="10" t="str">
        <f>IF($B90="","",IF(OR('②-1職員名簿'!AH90="○",'②-1職員名簿'!AH90="●"),IF($E90="正規職員","正",IF($E90="契約上の就業時間を記載","","実績を入力")),"-"))</f>
        <v/>
      </c>
      <c r="L90" s="10" t="str">
        <f>IF($B90="","",IF(OR('②-1職員名簿'!AI90="○",'②-1職員名簿'!AI90="●"),IF($E90="正規職員","正",IF($E90="契約上の就業時間を記載","","実績を入力")),"-"))</f>
        <v/>
      </c>
      <c r="M90" s="10" t="str">
        <f>IF($B90="","",IF(OR('②-1職員名簿'!AJ90="○",'②-1職員名簿'!AJ90="●"),IF($E90="正規職員","正",IF($E90="契約上の就業時間を記載","","実績を入力")),"-"))</f>
        <v/>
      </c>
      <c r="N90" s="10" t="str">
        <f>IF($B90="","",IF(OR('②-1職員名簿'!AK90="○",'②-1職員名簿'!AK90="●"),IF($E90="正規職員","正",IF($E90="契約上の就業時間を記載","","実績を入力")),"-"))</f>
        <v/>
      </c>
      <c r="O90" s="10" t="str">
        <f>IF($B90="","",IF(OR('②-1職員名簿'!AL90="○",'②-1職員名簿'!AL90="●"),IF($E90="正規職員","正",IF($E90="契約上の就業時間を記載","","実績を入力")),"-"))</f>
        <v/>
      </c>
      <c r="P90" s="10" t="str">
        <f>IF($B90="","",IF(OR('②-1職員名簿'!AM90="○",'②-1職員名簿'!AM90="●"),IF($E90="正規職員","正",IF($E90="契約上の就業時間を記載","","実績を入力")),"-"))</f>
        <v/>
      </c>
      <c r="Q90" s="10" t="str">
        <f>IF($B90="","",IF(OR('②-1職員名簿'!AN90="○",'②-1職員名簿'!AN90="●"),IF($E90="正規職員","正",IF($E90="契約上の就業時間を記載","","実績を入力")),"-"))</f>
        <v/>
      </c>
      <c r="R90" s="101" t="str">
        <f>IF($B90="","",IF(OR('②-1職員名簿'!AC90="○",'②-1職員名簿'!AC90="●"),IF($E90="正規職員","正",IF($E90="契約上の就業時間を記載","",IF($E90&gt;=F$5,"常",F90))),"-"))</f>
        <v/>
      </c>
      <c r="S90" s="101" t="str">
        <f>IF($B90="","",IF(OR('②-1職員名簿'!AD90="○",'②-1職員名簿'!AD90="●"),IF($E90="正規職員","正",IF($E90="契約上の就業時間を記載","",IF($E90&gt;=G$5,"常",G90))),"-"))</f>
        <v/>
      </c>
      <c r="T90" s="101" t="str">
        <f>IF($B90="","",IF(OR('②-1職員名簿'!AE90="○",'②-1職員名簿'!AE90="●"),IF($E90="正規職員","正",IF($E90="契約上の就業時間を記載","",IF($E90&gt;=H$5,"常",H90))),"-"))</f>
        <v/>
      </c>
      <c r="U90" s="101" t="str">
        <f>IF($B90="","",IF(OR('②-1職員名簿'!AF90="○",'②-1職員名簿'!AF90="●"),IF($E90="正規職員","正",IF($E90="契約上の就業時間を記載","",IF($E90&gt;=I$5,"常",I90))),"-"))</f>
        <v/>
      </c>
      <c r="V90" s="101" t="str">
        <f>IF($B90="","",IF(OR('②-1職員名簿'!AG90="○",'②-1職員名簿'!AG90="●"),IF($E90="正規職員","正",IF($E90="契約上の就業時間を記載","",IF($E90&gt;=J$5,"常",J90))),"-"))</f>
        <v/>
      </c>
      <c r="W90" s="101" t="str">
        <f>IF($B90="","",IF(OR('②-1職員名簿'!AH90="○",'②-1職員名簿'!AH90="●"),IF($E90="正規職員","正",IF($E90="契約上の就業時間を記載","",IF($E90&gt;=K$5,"常",K90))),"-"))</f>
        <v/>
      </c>
      <c r="X90" s="101" t="str">
        <f>IF($B90="","",IF(OR('②-1職員名簿'!AI90="○",'②-1職員名簿'!AI90="●"),IF($E90="正規職員","正",IF($E90="契約上の就業時間を記載","",IF($E90&gt;=L$5,"常",L90))),"-"))</f>
        <v/>
      </c>
      <c r="Y90" s="101" t="str">
        <f>IF($B90="","",IF(OR('②-1職員名簿'!AJ90="○",'②-1職員名簿'!AJ90="●"),IF($E90="正規職員","正",IF($E90="契約上の就業時間を記載","",IF($E90&gt;=M$5,"常",M90))),"-"))</f>
        <v/>
      </c>
      <c r="Z90" s="101" t="str">
        <f>IF($B90="","",IF(OR('②-1職員名簿'!AK90="○",'②-1職員名簿'!AK90="●"),IF($E90="正規職員","正",IF($E90="契約上の就業時間を記載","",IF($E90&gt;=N$5,"常",N90))),"-"))</f>
        <v/>
      </c>
      <c r="AA90" s="101" t="str">
        <f>IF($B90="","",IF(OR('②-1職員名簿'!AL90="○",'②-1職員名簿'!AL90="●"),IF($E90="正規職員","正",IF($E90="契約上の就業時間を記載","",IF($E90&gt;=O$5,"常",O90))),"-"))</f>
        <v/>
      </c>
      <c r="AB90" s="101" t="str">
        <f>IF($B90="","",IF(OR('②-1職員名簿'!AM90="○",'②-1職員名簿'!AM90="●"),IF($E90="正規職員","正",IF($E90="契約上の就業時間を記載","",IF($E90&gt;=P$5,"常",P90))),"-"))</f>
        <v/>
      </c>
      <c r="AC90" s="101" t="str">
        <f>IF($B90="","",IF(OR('②-1職員名簿'!AN90="○",'②-1職員名簿'!AN90="●"),IF($E90="正規職員","正",IF($E90="契約上の就業時間を記載","",IF($E90&gt;=Q$5,"常",Q90))),"-"))</f>
        <v/>
      </c>
      <c r="AE90" s="98" t="str">
        <f>IF('②-1職員名簿'!W90="","",'②-1職員名簿'!W90)</f>
        <v/>
      </c>
      <c r="AJ90" s="18" t="str">
        <f t="shared" si="25"/>
        <v>○</v>
      </c>
      <c r="AK90" s="18" t="str">
        <f t="shared" si="26"/>
        <v>○</v>
      </c>
      <c r="AL90" s="18" t="str">
        <f t="shared" si="27"/>
        <v>○</v>
      </c>
      <c r="AM90" s="18" t="str">
        <f t="shared" si="28"/>
        <v>○</v>
      </c>
      <c r="AN90" s="18" t="str">
        <f t="shared" si="29"/>
        <v>○</v>
      </c>
      <c r="AO90" s="18" t="str">
        <f t="shared" si="30"/>
        <v>○</v>
      </c>
      <c r="AP90" s="18" t="str">
        <f t="shared" si="31"/>
        <v>○</v>
      </c>
      <c r="AQ90" s="18" t="str">
        <f t="shared" si="32"/>
        <v>○</v>
      </c>
      <c r="AR90" s="18" t="str">
        <f t="shared" si="33"/>
        <v>○</v>
      </c>
      <c r="AS90" s="18" t="str">
        <f t="shared" si="34"/>
        <v>○</v>
      </c>
      <c r="AT90" s="18" t="str">
        <f t="shared" si="35"/>
        <v>○</v>
      </c>
      <c r="AU90" s="18" t="str">
        <f t="shared" si="36"/>
        <v>○</v>
      </c>
    </row>
    <row r="91" spans="1:47" s="103" customFormat="1" ht="23.15" customHeight="1">
      <c r="A91" s="99">
        <v>85</v>
      </c>
      <c r="B91" s="98" t="str">
        <f>IF('②-1職員名簿'!E91="","",'②-1職員名簿'!Y91)</f>
        <v/>
      </c>
      <c r="C91" s="101" t="str">
        <f>'②-1職員名簿'!BE91</f>
        <v/>
      </c>
      <c r="D91" s="132" t="str">
        <f t="shared" si="24"/>
        <v/>
      </c>
      <c r="E91" s="19" t="str">
        <f>IF($B91="","",IF(AND('②-1職員名簿'!C91="正",'②-1職員名簿'!D91="常"),"正規職員","契約上の就業時間を記載"))</f>
        <v/>
      </c>
      <c r="F91" s="10" t="str">
        <f>IF($B91="","",IF(OR('②-1職員名簿'!AC91="○",'②-1職員名簿'!AC91="●"),IF($E91="正規職員","正",IF($E91="契約上の就業時間を記載","","見込を入力")),"-"))</f>
        <v/>
      </c>
      <c r="G91" s="10" t="str">
        <f>IF($B91="","",IF(OR('②-1職員名簿'!AD91="○",'②-1職員名簿'!AD91="●"),IF($E91="正規職員","正",IF($E91="契約上の就業時間を記載","","実績を入力")),"-"))</f>
        <v/>
      </c>
      <c r="H91" s="10" t="str">
        <f>IF($B91="","",IF(OR('②-1職員名簿'!AE91="○",'②-1職員名簿'!AE91="●"),IF($E91="正規職員","正",IF($E91="契約上の就業時間を記載","","実績を入力")),"-"))</f>
        <v/>
      </c>
      <c r="I91" s="10" t="str">
        <f>IF($B91="","",IF(OR('②-1職員名簿'!AF91="○",'②-1職員名簿'!AF91="●"),IF($E91="正規職員","正",IF($E91="契約上の就業時間を記載","","実績を入力")),"-"))</f>
        <v/>
      </c>
      <c r="J91" s="10" t="str">
        <f>IF($B91="","",IF(OR('②-1職員名簿'!AG91="○",'②-1職員名簿'!AG91="●"),IF($E91="正規職員","正",IF($E91="契約上の就業時間を記載","","実績を入力")),"-"))</f>
        <v/>
      </c>
      <c r="K91" s="10" t="str">
        <f>IF($B91="","",IF(OR('②-1職員名簿'!AH91="○",'②-1職員名簿'!AH91="●"),IF($E91="正規職員","正",IF($E91="契約上の就業時間を記載","","実績を入力")),"-"))</f>
        <v/>
      </c>
      <c r="L91" s="10" t="str">
        <f>IF($B91="","",IF(OR('②-1職員名簿'!AI91="○",'②-1職員名簿'!AI91="●"),IF($E91="正規職員","正",IF($E91="契約上の就業時間を記載","","実績を入力")),"-"))</f>
        <v/>
      </c>
      <c r="M91" s="10" t="str">
        <f>IF($B91="","",IF(OR('②-1職員名簿'!AJ91="○",'②-1職員名簿'!AJ91="●"),IF($E91="正規職員","正",IF($E91="契約上の就業時間を記載","","実績を入力")),"-"))</f>
        <v/>
      </c>
      <c r="N91" s="10" t="str">
        <f>IF($B91="","",IF(OR('②-1職員名簿'!AK91="○",'②-1職員名簿'!AK91="●"),IF($E91="正規職員","正",IF($E91="契約上の就業時間を記載","","実績を入力")),"-"))</f>
        <v/>
      </c>
      <c r="O91" s="10" t="str">
        <f>IF($B91="","",IF(OR('②-1職員名簿'!AL91="○",'②-1職員名簿'!AL91="●"),IF($E91="正規職員","正",IF($E91="契約上の就業時間を記載","","実績を入力")),"-"))</f>
        <v/>
      </c>
      <c r="P91" s="10" t="str">
        <f>IF($B91="","",IF(OR('②-1職員名簿'!AM91="○",'②-1職員名簿'!AM91="●"),IF($E91="正規職員","正",IF($E91="契約上の就業時間を記載","","実績を入力")),"-"))</f>
        <v/>
      </c>
      <c r="Q91" s="10" t="str">
        <f>IF($B91="","",IF(OR('②-1職員名簿'!AN91="○",'②-1職員名簿'!AN91="●"),IF($E91="正規職員","正",IF($E91="契約上の就業時間を記載","","実績を入力")),"-"))</f>
        <v/>
      </c>
      <c r="R91" s="101" t="str">
        <f>IF($B91="","",IF(OR('②-1職員名簿'!AC91="○",'②-1職員名簿'!AC91="●"),IF($E91="正規職員","正",IF($E91="契約上の就業時間を記載","",IF($E91&gt;=F$5,"常",F91))),"-"))</f>
        <v/>
      </c>
      <c r="S91" s="101" t="str">
        <f>IF($B91="","",IF(OR('②-1職員名簿'!AD91="○",'②-1職員名簿'!AD91="●"),IF($E91="正規職員","正",IF($E91="契約上の就業時間を記載","",IF($E91&gt;=G$5,"常",G91))),"-"))</f>
        <v/>
      </c>
      <c r="T91" s="101" t="str">
        <f>IF($B91="","",IF(OR('②-1職員名簿'!AE91="○",'②-1職員名簿'!AE91="●"),IF($E91="正規職員","正",IF($E91="契約上の就業時間を記載","",IF($E91&gt;=H$5,"常",H91))),"-"))</f>
        <v/>
      </c>
      <c r="U91" s="101" t="str">
        <f>IF($B91="","",IF(OR('②-1職員名簿'!AF91="○",'②-1職員名簿'!AF91="●"),IF($E91="正規職員","正",IF($E91="契約上の就業時間を記載","",IF($E91&gt;=I$5,"常",I91))),"-"))</f>
        <v/>
      </c>
      <c r="V91" s="101" t="str">
        <f>IF($B91="","",IF(OR('②-1職員名簿'!AG91="○",'②-1職員名簿'!AG91="●"),IF($E91="正規職員","正",IF($E91="契約上の就業時間を記載","",IF($E91&gt;=J$5,"常",J91))),"-"))</f>
        <v/>
      </c>
      <c r="W91" s="101" t="str">
        <f>IF($B91="","",IF(OR('②-1職員名簿'!AH91="○",'②-1職員名簿'!AH91="●"),IF($E91="正規職員","正",IF($E91="契約上の就業時間を記載","",IF($E91&gt;=K$5,"常",K91))),"-"))</f>
        <v/>
      </c>
      <c r="X91" s="101" t="str">
        <f>IF($B91="","",IF(OR('②-1職員名簿'!AI91="○",'②-1職員名簿'!AI91="●"),IF($E91="正規職員","正",IF($E91="契約上の就業時間を記載","",IF($E91&gt;=L$5,"常",L91))),"-"))</f>
        <v/>
      </c>
      <c r="Y91" s="101" t="str">
        <f>IF($B91="","",IF(OR('②-1職員名簿'!AJ91="○",'②-1職員名簿'!AJ91="●"),IF($E91="正規職員","正",IF($E91="契約上の就業時間を記載","",IF($E91&gt;=M$5,"常",M91))),"-"))</f>
        <v/>
      </c>
      <c r="Z91" s="101" t="str">
        <f>IF($B91="","",IF(OR('②-1職員名簿'!AK91="○",'②-1職員名簿'!AK91="●"),IF($E91="正規職員","正",IF($E91="契約上の就業時間を記載","",IF($E91&gt;=N$5,"常",N91))),"-"))</f>
        <v/>
      </c>
      <c r="AA91" s="101" t="str">
        <f>IF($B91="","",IF(OR('②-1職員名簿'!AL91="○",'②-1職員名簿'!AL91="●"),IF($E91="正規職員","正",IF($E91="契約上の就業時間を記載","",IF($E91&gt;=O$5,"常",O91))),"-"))</f>
        <v/>
      </c>
      <c r="AB91" s="101" t="str">
        <f>IF($B91="","",IF(OR('②-1職員名簿'!AM91="○",'②-1職員名簿'!AM91="●"),IF($E91="正規職員","正",IF($E91="契約上の就業時間を記載","",IF($E91&gt;=P$5,"常",P91))),"-"))</f>
        <v/>
      </c>
      <c r="AC91" s="101" t="str">
        <f>IF($B91="","",IF(OR('②-1職員名簿'!AN91="○",'②-1職員名簿'!AN91="●"),IF($E91="正規職員","正",IF($E91="契約上の就業時間を記載","",IF($E91&gt;=Q$5,"常",Q91))),"-"))</f>
        <v/>
      </c>
      <c r="AE91" s="98" t="str">
        <f>IF('②-1職員名簿'!W91="","",'②-1職員名簿'!W91)</f>
        <v/>
      </c>
      <c r="AJ91" s="18" t="str">
        <f t="shared" si="25"/>
        <v>○</v>
      </c>
      <c r="AK91" s="18" t="str">
        <f t="shared" si="26"/>
        <v>○</v>
      </c>
      <c r="AL91" s="18" t="str">
        <f t="shared" si="27"/>
        <v>○</v>
      </c>
      <c r="AM91" s="18" t="str">
        <f t="shared" si="28"/>
        <v>○</v>
      </c>
      <c r="AN91" s="18" t="str">
        <f t="shared" si="29"/>
        <v>○</v>
      </c>
      <c r="AO91" s="18" t="str">
        <f t="shared" si="30"/>
        <v>○</v>
      </c>
      <c r="AP91" s="18" t="str">
        <f t="shared" si="31"/>
        <v>○</v>
      </c>
      <c r="AQ91" s="18" t="str">
        <f t="shared" si="32"/>
        <v>○</v>
      </c>
      <c r="AR91" s="18" t="str">
        <f t="shared" si="33"/>
        <v>○</v>
      </c>
      <c r="AS91" s="18" t="str">
        <f t="shared" si="34"/>
        <v>○</v>
      </c>
      <c r="AT91" s="18" t="str">
        <f t="shared" si="35"/>
        <v>○</v>
      </c>
      <c r="AU91" s="18" t="str">
        <f t="shared" si="36"/>
        <v>○</v>
      </c>
    </row>
    <row r="92" spans="1:47" s="103" customFormat="1" ht="23.15" customHeight="1">
      <c r="A92" s="99">
        <v>86</v>
      </c>
      <c r="B92" s="98" t="str">
        <f>IF('②-1職員名簿'!E92="","",'②-1職員名簿'!Y92)</f>
        <v/>
      </c>
      <c r="C92" s="101" t="str">
        <f>'②-1職員名簿'!BE92</f>
        <v/>
      </c>
      <c r="D92" s="132" t="str">
        <f t="shared" si="24"/>
        <v/>
      </c>
      <c r="E92" s="19" t="str">
        <f>IF($B92="","",IF(AND('②-1職員名簿'!C92="正",'②-1職員名簿'!D92="常"),"正規職員","契約上の就業時間を記載"))</f>
        <v/>
      </c>
      <c r="F92" s="10" t="str">
        <f>IF($B92="","",IF(OR('②-1職員名簿'!AC92="○",'②-1職員名簿'!AC92="●"),IF($E92="正規職員","正",IF($E92="契約上の就業時間を記載","","見込を入力")),"-"))</f>
        <v/>
      </c>
      <c r="G92" s="10" t="str">
        <f>IF($B92="","",IF(OR('②-1職員名簿'!AD92="○",'②-1職員名簿'!AD92="●"),IF($E92="正規職員","正",IF($E92="契約上の就業時間を記載","","実績を入力")),"-"))</f>
        <v/>
      </c>
      <c r="H92" s="10" t="str">
        <f>IF($B92="","",IF(OR('②-1職員名簿'!AE92="○",'②-1職員名簿'!AE92="●"),IF($E92="正規職員","正",IF($E92="契約上の就業時間を記載","","実績を入力")),"-"))</f>
        <v/>
      </c>
      <c r="I92" s="10" t="str">
        <f>IF($B92="","",IF(OR('②-1職員名簿'!AF92="○",'②-1職員名簿'!AF92="●"),IF($E92="正規職員","正",IF($E92="契約上の就業時間を記載","","実績を入力")),"-"))</f>
        <v/>
      </c>
      <c r="J92" s="10" t="str">
        <f>IF($B92="","",IF(OR('②-1職員名簿'!AG92="○",'②-1職員名簿'!AG92="●"),IF($E92="正規職員","正",IF($E92="契約上の就業時間を記載","","実績を入力")),"-"))</f>
        <v/>
      </c>
      <c r="K92" s="10" t="str">
        <f>IF($B92="","",IF(OR('②-1職員名簿'!AH92="○",'②-1職員名簿'!AH92="●"),IF($E92="正規職員","正",IF($E92="契約上の就業時間を記載","","実績を入力")),"-"))</f>
        <v/>
      </c>
      <c r="L92" s="10" t="str">
        <f>IF($B92="","",IF(OR('②-1職員名簿'!AI92="○",'②-1職員名簿'!AI92="●"),IF($E92="正規職員","正",IF($E92="契約上の就業時間を記載","","実績を入力")),"-"))</f>
        <v/>
      </c>
      <c r="M92" s="10" t="str">
        <f>IF($B92="","",IF(OR('②-1職員名簿'!AJ92="○",'②-1職員名簿'!AJ92="●"),IF($E92="正規職員","正",IF($E92="契約上の就業時間を記載","","実績を入力")),"-"))</f>
        <v/>
      </c>
      <c r="N92" s="10" t="str">
        <f>IF($B92="","",IF(OR('②-1職員名簿'!AK92="○",'②-1職員名簿'!AK92="●"),IF($E92="正規職員","正",IF($E92="契約上の就業時間を記載","","実績を入力")),"-"))</f>
        <v/>
      </c>
      <c r="O92" s="10" t="str">
        <f>IF($B92="","",IF(OR('②-1職員名簿'!AL92="○",'②-1職員名簿'!AL92="●"),IF($E92="正規職員","正",IF($E92="契約上の就業時間を記載","","実績を入力")),"-"))</f>
        <v/>
      </c>
      <c r="P92" s="10" t="str">
        <f>IF($B92="","",IF(OR('②-1職員名簿'!AM92="○",'②-1職員名簿'!AM92="●"),IF($E92="正規職員","正",IF($E92="契約上の就業時間を記載","","実績を入力")),"-"))</f>
        <v/>
      </c>
      <c r="Q92" s="10" t="str">
        <f>IF($B92="","",IF(OR('②-1職員名簿'!AN92="○",'②-1職員名簿'!AN92="●"),IF($E92="正規職員","正",IF($E92="契約上の就業時間を記載","","実績を入力")),"-"))</f>
        <v/>
      </c>
      <c r="R92" s="101" t="str">
        <f>IF($B92="","",IF(OR('②-1職員名簿'!AC92="○",'②-1職員名簿'!AC92="●"),IF($E92="正規職員","正",IF($E92="契約上の就業時間を記載","",IF($E92&gt;=F$5,"常",F92))),"-"))</f>
        <v/>
      </c>
      <c r="S92" s="101" t="str">
        <f>IF($B92="","",IF(OR('②-1職員名簿'!AD92="○",'②-1職員名簿'!AD92="●"),IF($E92="正規職員","正",IF($E92="契約上の就業時間を記載","",IF($E92&gt;=G$5,"常",G92))),"-"))</f>
        <v/>
      </c>
      <c r="T92" s="101" t="str">
        <f>IF($B92="","",IF(OR('②-1職員名簿'!AE92="○",'②-1職員名簿'!AE92="●"),IF($E92="正規職員","正",IF($E92="契約上の就業時間を記載","",IF($E92&gt;=H$5,"常",H92))),"-"))</f>
        <v/>
      </c>
      <c r="U92" s="101" t="str">
        <f>IF($B92="","",IF(OR('②-1職員名簿'!AF92="○",'②-1職員名簿'!AF92="●"),IF($E92="正規職員","正",IF($E92="契約上の就業時間を記載","",IF($E92&gt;=I$5,"常",I92))),"-"))</f>
        <v/>
      </c>
      <c r="V92" s="101" t="str">
        <f>IF($B92="","",IF(OR('②-1職員名簿'!AG92="○",'②-1職員名簿'!AG92="●"),IF($E92="正規職員","正",IF($E92="契約上の就業時間を記載","",IF($E92&gt;=J$5,"常",J92))),"-"))</f>
        <v/>
      </c>
      <c r="W92" s="101" t="str">
        <f>IF($B92="","",IF(OR('②-1職員名簿'!AH92="○",'②-1職員名簿'!AH92="●"),IF($E92="正規職員","正",IF($E92="契約上の就業時間を記載","",IF($E92&gt;=K$5,"常",K92))),"-"))</f>
        <v/>
      </c>
      <c r="X92" s="101" t="str">
        <f>IF($B92="","",IF(OR('②-1職員名簿'!AI92="○",'②-1職員名簿'!AI92="●"),IF($E92="正規職員","正",IF($E92="契約上の就業時間を記載","",IF($E92&gt;=L$5,"常",L92))),"-"))</f>
        <v/>
      </c>
      <c r="Y92" s="101" t="str">
        <f>IF($B92="","",IF(OR('②-1職員名簿'!AJ92="○",'②-1職員名簿'!AJ92="●"),IF($E92="正規職員","正",IF($E92="契約上の就業時間を記載","",IF($E92&gt;=M$5,"常",M92))),"-"))</f>
        <v/>
      </c>
      <c r="Z92" s="101" t="str">
        <f>IF($B92="","",IF(OR('②-1職員名簿'!AK92="○",'②-1職員名簿'!AK92="●"),IF($E92="正規職員","正",IF($E92="契約上の就業時間を記載","",IF($E92&gt;=N$5,"常",N92))),"-"))</f>
        <v/>
      </c>
      <c r="AA92" s="101" t="str">
        <f>IF($B92="","",IF(OR('②-1職員名簿'!AL92="○",'②-1職員名簿'!AL92="●"),IF($E92="正規職員","正",IF($E92="契約上の就業時間を記載","",IF($E92&gt;=O$5,"常",O92))),"-"))</f>
        <v/>
      </c>
      <c r="AB92" s="101" t="str">
        <f>IF($B92="","",IF(OR('②-1職員名簿'!AM92="○",'②-1職員名簿'!AM92="●"),IF($E92="正規職員","正",IF($E92="契約上の就業時間を記載","",IF($E92&gt;=P$5,"常",P92))),"-"))</f>
        <v/>
      </c>
      <c r="AC92" s="101" t="str">
        <f>IF($B92="","",IF(OR('②-1職員名簿'!AN92="○",'②-1職員名簿'!AN92="●"),IF($E92="正規職員","正",IF($E92="契約上の就業時間を記載","",IF($E92&gt;=Q$5,"常",Q92))),"-"))</f>
        <v/>
      </c>
      <c r="AE92" s="98" t="str">
        <f>IF('②-1職員名簿'!W92="","",'②-1職員名簿'!W92)</f>
        <v/>
      </c>
      <c r="AJ92" s="18" t="str">
        <f t="shared" si="25"/>
        <v>○</v>
      </c>
      <c r="AK92" s="18" t="str">
        <f t="shared" si="26"/>
        <v>○</v>
      </c>
      <c r="AL92" s="18" t="str">
        <f t="shared" si="27"/>
        <v>○</v>
      </c>
      <c r="AM92" s="18" t="str">
        <f t="shared" si="28"/>
        <v>○</v>
      </c>
      <c r="AN92" s="18" t="str">
        <f t="shared" si="29"/>
        <v>○</v>
      </c>
      <c r="AO92" s="18" t="str">
        <f t="shared" si="30"/>
        <v>○</v>
      </c>
      <c r="AP92" s="18" t="str">
        <f t="shared" si="31"/>
        <v>○</v>
      </c>
      <c r="AQ92" s="18" t="str">
        <f t="shared" si="32"/>
        <v>○</v>
      </c>
      <c r="AR92" s="18" t="str">
        <f t="shared" si="33"/>
        <v>○</v>
      </c>
      <c r="AS92" s="18" t="str">
        <f t="shared" si="34"/>
        <v>○</v>
      </c>
      <c r="AT92" s="18" t="str">
        <f t="shared" si="35"/>
        <v>○</v>
      </c>
      <c r="AU92" s="18" t="str">
        <f t="shared" si="36"/>
        <v>○</v>
      </c>
    </row>
    <row r="93" spans="1:47" s="103" customFormat="1" ht="23.15" customHeight="1">
      <c r="A93" s="99">
        <v>87</v>
      </c>
      <c r="B93" s="98" t="str">
        <f>IF('②-1職員名簿'!E93="","",'②-1職員名簿'!Y93)</f>
        <v/>
      </c>
      <c r="C93" s="101" t="str">
        <f>'②-1職員名簿'!BE93</f>
        <v/>
      </c>
      <c r="D93" s="132" t="str">
        <f t="shared" si="24"/>
        <v/>
      </c>
      <c r="E93" s="19" t="str">
        <f>IF($B93="","",IF(AND('②-1職員名簿'!C93="正",'②-1職員名簿'!D93="常"),"正規職員","契約上の就業時間を記載"))</f>
        <v/>
      </c>
      <c r="F93" s="10" t="str">
        <f>IF($B93="","",IF(OR('②-1職員名簿'!AC93="○",'②-1職員名簿'!AC93="●"),IF($E93="正規職員","正",IF($E93="契約上の就業時間を記載","","見込を入力")),"-"))</f>
        <v/>
      </c>
      <c r="G93" s="10" t="str">
        <f>IF($B93="","",IF(OR('②-1職員名簿'!AD93="○",'②-1職員名簿'!AD93="●"),IF($E93="正規職員","正",IF($E93="契約上の就業時間を記載","","実績を入力")),"-"))</f>
        <v/>
      </c>
      <c r="H93" s="10" t="str">
        <f>IF($B93="","",IF(OR('②-1職員名簿'!AE93="○",'②-1職員名簿'!AE93="●"),IF($E93="正規職員","正",IF($E93="契約上の就業時間を記載","","実績を入力")),"-"))</f>
        <v/>
      </c>
      <c r="I93" s="10" t="str">
        <f>IF($B93="","",IF(OR('②-1職員名簿'!AF93="○",'②-1職員名簿'!AF93="●"),IF($E93="正規職員","正",IF($E93="契約上の就業時間を記載","","実績を入力")),"-"))</f>
        <v/>
      </c>
      <c r="J93" s="10" t="str">
        <f>IF($B93="","",IF(OR('②-1職員名簿'!AG93="○",'②-1職員名簿'!AG93="●"),IF($E93="正規職員","正",IF($E93="契約上の就業時間を記載","","実績を入力")),"-"))</f>
        <v/>
      </c>
      <c r="K93" s="10" t="str">
        <f>IF($B93="","",IF(OR('②-1職員名簿'!AH93="○",'②-1職員名簿'!AH93="●"),IF($E93="正規職員","正",IF($E93="契約上の就業時間を記載","","実績を入力")),"-"))</f>
        <v/>
      </c>
      <c r="L93" s="10" t="str">
        <f>IF($B93="","",IF(OR('②-1職員名簿'!AI93="○",'②-1職員名簿'!AI93="●"),IF($E93="正規職員","正",IF($E93="契約上の就業時間を記載","","実績を入力")),"-"))</f>
        <v/>
      </c>
      <c r="M93" s="10" t="str">
        <f>IF($B93="","",IF(OR('②-1職員名簿'!AJ93="○",'②-1職員名簿'!AJ93="●"),IF($E93="正規職員","正",IF($E93="契約上の就業時間を記載","","実績を入力")),"-"))</f>
        <v/>
      </c>
      <c r="N93" s="10" t="str">
        <f>IF($B93="","",IF(OR('②-1職員名簿'!AK93="○",'②-1職員名簿'!AK93="●"),IF($E93="正規職員","正",IF($E93="契約上の就業時間を記載","","実績を入力")),"-"))</f>
        <v/>
      </c>
      <c r="O93" s="10" t="str">
        <f>IF($B93="","",IF(OR('②-1職員名簿'!AL93="○",'②-1職員名簿'!AL93="●"),IF($E93="正規職員","正",IF($E93="契約上の就業時間を記載","","実績を入力")),"-"))</f>
        <v/>
      </c>
      <c r="P93" s="10" t="str">
        <f>IF($B93="","",IF(OR('②-1職員名簿'!AM93="○",'②-1職員名簿'!AM93="●"),IF($E93="正規職員","正",IF($E93="契約上の就業時間を記載","","実績を入力")),"-"))</f>
        <v/>
      </c>
      <c r="Q93" s="10" t="str">
        <f>IF($B93="","",IF(OR('②-1職員名簿'!AN93="○",'②-1職員名簿'!AN93="●"),IF($E93="正規職員","正",IF($E93="契約上の就業時間を記載","","実績を入力")),"-"))</f>
        <v/>
      </c>
      <c r="R93" s="101" t="str">
        <f>IF($B93="","",IF(OR('②-1職員名簿'!AC93="○",'②-1職員名簿'!AC93="●"),IF($E93="正規職員","正",IF($E93="契約上の就業時間を記載","",IF($E93&gt;=F$5,"常",F93))),"-"))</f>
        <v/>
      </c>
      <c r="S93" s="101" t="str">
        <f>IF($B93="","",IF(OR('②-1職員名簿'!AD93="○",'②-1職員名簿'!AD93="●"),IF($E93="正規職員","正",IF($E93="契約上の就業時間を記載","",IF($E93&gt;=G$5,"常",G93))),"-"))</f>
        <v/>
      </c>
      <c r="T93" s="101" t="str">
        <f>IF($B93="","",IF(OR('②-1職員名簿'!AE93="○",'②-1職員名簿'!AE93="●"),IF($E93="正規職員","正",IF($E93="契約上の就業時間を記載","",IF($E93&gt;=H$5,"常",H93))),"-"))</f>
        <v/>
      </c>
      <c r="U93" s="101" t="str">
        <f>IF($B93="","",IF(OR('②-1職員名簿'!AF93="○",'②-1職員名簿'!AF93="●"),IF($E93="正規職員","正",IF($E93="契約上の就業時間を記載","",IF($E93&gt;=I$5,"常",I93))),"-"))</f>
        <v/>
      </c>
      <c r="V93" s="101" t="str">
        <f>IF($B93="","",IF(OR('②-1職員名簿'!AG93="○",'②-1職員名簿'!AG93="●"),IF($E93="正規職員","正",IF($E93="契約上の就業時間を記載","",IF($E93&gt;=J$5,"常",J93))),"-"))</f>
        <v/>
      </c>
      <c r="W93" s="101" t="str">
        <f>IF($B93="","",IF(OR('②-1職員名簿'!AH93="○",'②-1職員名簿'!AH93="●"),IF($E93="正規職員","正",IF($E93="契約上の就業時間を記載","",IF($E93&gt;=K$5,"常",K93))),"-"))</f>
        <v/>
      </c>
      <c r="X93" s="101" t="str">
        <f>IF($B93="","",IF(OR('②-1職員名簿'!AI93="○",'②-1職員名簿'!AI93="●"),IF($E93="正規職員","正",IF($E93="契約上の就業時間を記載","",IF($E93&gt;=L$5,"常",L93))),"-"))</f>
        <v/>
      </c>
      <c r="Y93" s="101" t="str">
        <f>IF($B93="","",IF(OR('②-1職員名簿'!AJ93="○",'②-1職員名簿'!AJ93="●"),IF($E93="正規職員","正",IF($E93="契約上の就業時間を記載","",IF($E93&gt;=M$5,"常",M93))),"-"))</f>
        <v/>
      </c>
      <c r="Z93" s="101" t="str">
        <f>IF($B93="","",IF(OR('②-1職員名簿'!AK93="○",'②-1職員名簿'!AK93="●"),IF($E93="正規職員","正",IF($E93="契約上の就業時間を記載","",IF($E93&gt;=N$5,"常",N93))),"-"))</f>
        <v/>
      </c>
      <c r="AA93" s="101" t="str">
        <f>IF($B93="","",IF(OR('②-1職員名簿'!AL93="○",'②-1職員名簿'!AL93="●"),IF($E93="正規職員","正",IF($E93="契約上の就業時間を記載","",IF($E93&gt;=O$5,"常",O93))),"-"))</f>
        <v/>
      </c>
      <c r="AB93" s="101" t="str">
        <f>IF($B93="","",IF(OR('②-1職員名簿'!AM93="○",'②-1職員名簿'!AM93="●"),IF($E93="正規職員","正",IF($E93="契約上の就業時間を記載","",IF($E93&gt;=P$5,"常",P93))),"-"))</f>
        <v/>
      </c>
      <c r="AC93" s="101" t="str">
        <f>IF($B93="","",IF(OR('②-1職員名簿'!AN93="○",'②-1職員名簿'!AN93="●"),IF($E93="正規職員","正",IF($E93="契約上の就業時間を記載","",IF($E93&gt;=Q$5,"常",Q93))),"-"))</f>
        <v/>
      </c>
      <c r="AE93" s="98" t="str">
        <f>IF('②-1職員名簿'!W93="","",'②-1職員名簿'!W93)</f>
        <v/>
      </c>
      <c r="AJ93" s="18" t="str">
        <f t="shared" si="25"/>
        <v>○</v>
      </c>
      <c r="AK93" s="18" t="str">
        <f t="shared" si="26"/>
        <v>○</v>
      </c>
      <c r="AL93" s="18" t="str">
        <f t="shared" si="27"/>
        <v>○</v>
      </c>
      <c r="AM93" s="18" t="str">
        <f t="shared" si="28"/>
        <v>○</v>
      </c>
      <c r="AN93" s="18" t="str">
        <f t="shared" si="29"/>
        <v>○</v>
      </c>
      <c r="AO93" s="18" t="str">
        <f t="shared" si="30"/>
        <v>○</v>
      </c>
      <c r="AP93" s="18" t="str">
        <f t="shared" si="31"/>
        <v>○</v>
      </c>
      <c r="AQ93" s="18" t="str">
        <f t="shared" si="32"/>
        <v>○</v>
      </c>
      <c r="AR93" s="18" t="str">
        <f t="shared" si="33"/>
        <v>○</v>
      </c>
      <c r="AS93" s="18" t="str">
        <f t="shared" si="34"/>
        <v>○</v>
      </c>
      <c r="AT93" s="18" t="str">
        <f t="shared" si="35"/>
        <v>○</v>
      </c>
      <c r="AU93" s="18" t="str">
        <f t="shared" si="36"/>
        <v>○</v>
      </c>
    </row>
    <row r="94" spans="1:47" s="103" customFormat="1" ht="23.15" customHeight="1">
      <c r="A94" s="99">
        <v>88</v>
      </c>
      <c r="B94" s="98" t="str">
        <f>IF('②-1職員名簿'!E94="","",'②-1職員名簿'!Y94)</f>
        <v/>
      </c>
      <c r="C94" s="101" t="str">
        <f>'②-1職員名簿'!BE94</f>
        <v/>
      </c>
      <c r="D94" s="132" t="str">
        <f t="shared" si="24"/>
        <v/>
      </c>
      <c r="E94" s="19" t="str">
        <f>IF($B94="","",IF(AND('②-1職員名簿'!C94="正",'②-1職員名簿'!D94="常"),"正規職員","契約上の就業時間を記載"))</f>
        <v/>
      </c>
      <c r="F94" s="10" t="str">
        <f>IF($B94="","",IF(OR('②-1職員名簿'!AC94="○",'②-1職員名簿'!AC94="●"),IF($E94="正規職員","正",IF($E94="契約上の就業時間を記載","","見込を入力")),"-"))</f>
        <v/>
      </c>
      <c r="G94" s="10" t="str">
        <f>IF($B94="","",IF(OR('②-1職員名簿'!AD94="○",'②-1職員名簿'!AD94="●"),IF($E94="正規職員","正",IF($E94="契約上の就業時間を記載","","実績を入力")),"-"))</f>
        <v/>
      </c>
      <c r="H94" s="10" t="str">
        <f>IF($B94="","",IF(OR('②-1職員名簿'!AE94="○",'②-1職員名簿'!AE94="●"),IF($E94="正規職員","正",IF($E94="契約上の就業時間を記載","","実績を入力")),"-"))</f>
        <v/>
      </c>
      <c r="I94" s="10" t="str">
        <f>IF($B94="","",IF(OR('②-1職員名簿'!AF94="○",'②-1職員名簿'!AF94="●"),IF($E94="正規職員","正",IF($E94="契約上の就業時間を記載","","実績を入力")),"-"))</f>
        <v/>
      </c>
      <c r="J94" s="10" t="str">
        <f>IF($B94="","",IF(OR('②-1職員名簿'!AG94="○",'②-1職員名簿'!AG94="●"),IF($E94="正規職員","正",IF($E94="契約上の就業時間を記載","","実績を入力")),"-"))</f>
        <v/>
      </c>
      <c r="K94" s="10" t="str">
        <f>IF($B94="","",IF(OR('②-1職員名簿'!AH94="○",'②-1職員名簿'!AH94="●"),IF($E94="正規職員","正",IF($E94="契約上の就業時間を記載","","実績を入力")),"-"))</f>
        <v/>
      </c>
      <c r="L94" s="10" t="str">
        <f>IF($B94="","",IF(OR('②-1職員名簿'!AI94="○",'②-1職員名簿'!AI94="●"),IF($E94="正規職員","正",IF($E94="契約上の就業時間を記載","","実績を入力")),"-"))</f>
        <v/>
      </c>
      <c r="M94" s="10" t="str">
        <f>IF($B94="","",IF(OR('②-1職員名簿'!AJ94="○",'②-1職員名簿'!AJ94="●"),IF($E94="正規職員","正",IF($E94="契約上の就業時間を記載","","実績を入力")),"-"))</f>
        <v/>
      </c>
      <c r="N94" s="10" t="str">
        <f>IF($B94="","",IF(OR('②-1職員名簿'!AK94="○",'②-1職員名簿'!AK94="●"),IF($E94="正規職員","正",IF($E94="契約上の就業時間を記載","","実績を入力")),"-"))</f>
        <v/>
      </c>
      <c r="O94" s="10" t="str">
        <f>IF($B94="","",IF(OR('②-1職員名簿'!AL94="○",'②-1職員名簿'!AL94="●"),IF($E94="正規職員","正",IF($E94="契約上の就業時間を記載","","実績を入力")),"-"))</f>
        <v/>
      </c>
      <c r="P94" s="10" t="str">
        <f>IF($B94="","",IF(OR('②-1職員名簿'!AM94="○",'②-1職員名簿'!AM94="●"),IF($E94="正規職員","正",IF($E94="契約上の就業時間を記載","","実績を入力")),"-"))</f>
        <v/>
      </c>
      <c r="Q94" s="10" t="str">
        <f>IF($B94="","",IF(OR('②-1職員名簿'!AN94="○",'②-1職員名簿'!AN94="●"),IF($E94="正規職員","正",IF($E94="契約上の就業時間を記載","","実績を入力")),"-"))</f>
        <v/>
      </c>
      <c r="R94" s="101" t="str">
        <f>IF($B94="","",IF(OR('②-1職員名簿'!AC94="○",'②-1職員名簿'!AC94="●"),IF($E94="正規職員","正",IF($E94="契約上の就業時間を記載","",IF($E94&gt;=F$5,"常",F94))),"-"))</f>
        <v/>
      </c>
      <c r="S94" s="101" t="str">
        <f>IF($B94="","",IF(OR('②-1職員名簿'!AD94="○",'②-1職員名簿'!AD94="●"),IF($E94="正規職員","正",IF($E94="契約上の就業時間を記載","",IF($E94&gt;=G$5,"常",G94))),"-"))</f>
        <v/>
      </c>
      <c r="T94" s="101" t="str">
        <f>IF($B94="","",IF(OR('②-1職員名簿'!AE94="○",'②-1職員名簿'!AE94="●"),IF($E94="正規職員","正",IF($E94="契約上の就業時間を記載","",IF($E94&gt;=H$5,"常",H94))),"-"))</f>
        <v/>
      </c>
      <c r="U94" s="101" t="str">
        <f>IF($B94="","",IF(OR('②-1職員名簿'!AF94="○",'②-1職員名簿'!AF94="●"),IF($E94="正規職員","正",IF($E94="契約上の就業時間を記載","",IF($E94&gt;=I$5,"常",I94))),"-"))</f>
        <v/>
      </c>
      <c r="V94" s="101" t="str">
        <f>IF($B94="","",IF(OR('②-1職員名簿'!AG94="○",'②-1職員名簿'!AG94="●"),IF($E94="正規職員","正",IF($E94="契約上の就業時間を記載","",IF($E94&gt;=J$5,"常",J94))),"-"))</f>
        <v/>
      </c>
      <c r="W94" s="101" t="str">
        <f>IF($B94="","",IF(OR('②-1職員名簿'!AH94="○",'②-1職員名簿'!AH94="●"),IF($E94="正規職員","正",IF($E94="契約上の就業時間を記載","",IF($E94&gt;=K$5,"常",K94))),"-"))</f>
        <v/>
      </c>
      <c r="X94" s="101" t="str">
        <f>IF($B94="","",IF(OR('②-1職員名簿'!AI94="○",'②-1職員名簿'!AI94="●"),IF($E94="正規職員","正",IF($E94="契約上の就業時間を記載","",IF($E94&gt;=L$5,"常",L94))),"-"))</f>
        <v/>
      </c>
      <c r="Y94" s="101" t="str">
        <f>IF($B94="","",IF(OR('②-1職員名簿'!AJ94="○",'②-1職員名簿'!AJ94="●"),IF($E94="正規職員","正",IF($E94="契約上の就業時間を記載","",IF($E94&gt;=M$5,"常",M94))),"-"))</f>
        <v/>
      </c>
      <c r="Z94" s="101" t="str">
        <f>IF($B94="","",IF(OR('②-1職員名簿'!AK94="○",'②-1職員名簿'!AK94="●"),IF($E94="正規職員","正",IF($E94="契約上の就業時間を記載","",IF($E94&gt;=N$5,"常",N94))),"-"))</f>
        <v/>
      </c>
      <c r="AA94" s="101" t="str">
        <f>IF($B94="","",IF(OR('②-1職員名簿'!AL94="○",'②-1職員名簿'!AL94="●"),IF($E94="正規職員","正",IF($E94="契約上の就業時間を記載","",IF($E94&gt;=O$5,"常",O94))),"-"))</f>
        <v/>
      </c>
      <c r="AB94" s="101" t="str">
        <f>IF($B94="","",IF(OR('②-1職員名簿'!AM94="○",'②-1職員名簿'!AM94="●"),IF($E94="正規職員","正",IF($E94="契約上の就業時間を記載","",IF($E94&gt;=P$5,"常",P94))),"-"))</f>
        <v/>
      </c>
      <c r="AC94" s="101" t="str">
        <f>IF($B94="","",IF(OR('②-1職員名簿'!AN94="○",'②-1職員名簿'!AN94="●"),IF($E94="正規職員","正",IF($E94="契約上の就業時間を記載","",IF($E94&gt;=Q$5,"常",Q94))),"-"))</f>
        <v/>
      </c>
      <c r="AE94" s="98" t="str">
        <f>IF('②-1職員名簿'!W94="","",'②-1職員名簿'!W94)</f>
        <v/>
      </c>
      <c r="AJ94" s="18" t="str">
        <f t="shared" si="25"/>
        <v>○</v>
      </c>
      <c r="AK94" s="18" t="str">
        <f t="shared" si="26"/>
        <v>○</v>
      </c>
      <c r="AL94" s="18" t="str">
        <f t="shared" si="27"/>
        <v>○</v>
      </c>
      <c r="AM94" s="18" t="str">
        <f t="shared" si="28"/>
        <v>○</v>
      </c>
      <c r="AN94" s="18" t="str">
        <f t="shared" si="29"/>
        <v>○</v>
      </c>
      <c r="AO94" s="18" t="str">
        <f t="shared" si="30"/>
        <v>○</v>
      </c>
      <c r="AP94" s="18" t="str">
        <f t="shared" si="31"/>
        <v>○</v>
      </c>
      <c r="AQ94" s="18" t="str">
        <f t="shared" si="32"/>
        <v>○</v>
      </c>
      <c r="AR94" s="18" t="str">
        <f t="shared" si="33"/>
        <v>○</v>
      </c>
      <c r="AS94" s="18" t="str">
        <f t="shared" si="34"/>
        <v>○</v>
      </c>
      <c r="AT94" s="18" t="str">
        <f t="shared" si="35"/>
        <v>○</v>
      </c>
      <c r="AU94" s="18" t="str">
        <f t="shared" si="36"/>
        <v>○</v>
      </c>
    </row>
    <row r="95" spans="1:47" s="103" customFormat="1" ht="23.15" customHeight="1">
      <c r="A95" s="99">
        <v>89</v>
      </c>
      <c r="B95" s="98" t="str">
        <f>IF('②-1職員名簿'!E95="","",'②-1職員名簿'!Y95)</f>
        <v/>
      </c>
      <c r="C95" s="101" t="str">
        <f>'②-1職員名簿'!BE95</f>
        <v/>
      </c>
      <c r="D95" s="132" t="str">
        <f t="shared" si="24"/>
        <v/>
      </c>
      <c r="E95" s="19" t="str">
        <f>IF($B95="","",IF(AND('②-1職員名簿'!C95="正",'②-1職員名簿'!D95="常"),"正規職員","契約上の就業時間を記載"))</f>
        <v/>
      </c>
      <c r="F95" s="10" t="str">
        <f>IF($B95="","",IF(OR('②-1職員名簿'!AC95="○",'②-1職員名簿'!AC95="●"),IF($E95="正規職員","正",IF($E95="契約上の就業時間を記載","","見込を入力")),"-"))</f>
        <v/>
      </c>
      <c r="G95" s="10" t="str">
        <f>IF($B95="","",IF(OR('②-1職員名簿'!AD95="○",'②-1職員名簿'!AD95="●"),IF($E95="正規職員","正",IF($E95="契約上の就業時間を記載","","実績を入力")),"-"))</f>
        <v/>
      </c>
      <c r="H95" s="10" t="str">
        <f>IF($B95="","",IF(OR('②-1職員名簿'!AE95="○",'②-1職員名簿'!AE95="●"),IF($E95="正規職員","正",IF($E95="契約上の就業時間を記載","","実績を入力")),"-"))</f>
        <v/>
      </c>
      <c r="I95" s="10" t="str">
        <f>IF($B95="","",IF(OR('②-1職員名簿'!AF95="○",'②-1職員名簿'!AF95="●"),IF($E95="正規職員","正",IF($E95="契約上の就業時間を記載","","実績を入力")),"-"))</f>
        <v/>
      </c>
      <c r="J95" s="10" t="str">
        <f>IF($B95="","",IF(OR('②-1職員名簿'!AG95="○",'②-1職員名簿'!AG95="●"),IF($E95="正規職員","正",IF($E95="契約上の就業時間を記載","","実績を入力")),"-"))</f>
        <v/>
      </c>
      <c r="K95" s="10" t="str">
        <f>IF($B95="","",IF(OR('②-1職員名簿'!AH95="○",'②-1職員名簿'!AH95="●"),IF($E95="正規職員","正",IF($E95="契約上の就業時間を記載","","実績を入力")),"-"))</f>
        <v/>
      </c>
      <c r="L95" s="10" t="str">
        <f>IF($B95="","",IF(OR('②-1職員名簿'!AI95="○",'②-1職員名簿'!AI95="●"),IF($E95="正規職員","正",IF($E95="契約上の就業時間を記載","","実績を入力")),"-"))</f>
        <v/>
      </c>
      <c r="M95" s="10" t="str">
        <f>IF($B95="","",IF(OR('②-1職員名簿'!AJ95="○",'②-1職員名簿'!AJ95="●"),IF($E95="正規職員","正",IF($E95="契約上の就業時間を記載","","実績を入力")),"-"))</f>
        <v/>
      </c>
      <c r="N95" s="10" t="str">
        <f>IF($B95="","",IF(OR('②-1職員名簿'!AK95="○",'②-1職員名簿'!AK95="●"),IF($E95="正規職員","正",IF($E95="契約上の就業時間を記載","","実績を入力")),"-"))</f>
        <v/>
      </c>
      <c r="O95" s="10" t="str">
        <f>IF($B95="","",IF(OR('②-1職員名簿'!AL95="○",'②-1職員名簿'!AL95="●"),IF($E95="正規職員","正",IF($E95="契約上の就業時間を記載","","実績を入力")),"-"))</f>
        <v/>
      </c>
      <c r="P95" s="10" t="str">
        <f>IF($B95="","",IF(OR('②-1職員名簿'!AM95="○",'②-1職員名簿'!AM95="●"),IF($E95="正規職員","正",IF($E95="契約上の就業時間を記載","","実績を入力")),"-"))</f>
        <v/>
      </c>
      <c r="Q95" s="10" t="str">
        <f>IF($B95="","",IF(OR('②-1職員名簿'!AN95="○",'②-1職員名簿'!AN95="●"),IF($E95="正規職員","正",IF($E95="契約上の就業時間を記載","","実績を入力")),"-"))</f>
        <v/>
      </c>
      <c r="R95" s="101" t="str">
        <f>IF($B95="","",IF(OR('②-1職員名簿'!AC95="○",'②-1職員名簿'!AC95="●"),IF($E95="正規職員","正",IF($E95="契約上の就業時間を記載","",IF($E95&gt;=F$5,"常",F95))),"-"))</f>
        <v/>
      </c>
      <c r="S95" s="101" t="str">
        <f>IF($B95="","",IF(OR('②-1職員名簿'!AD95="○",'②-1職員名簿'!AD95="●"),IF($E95="正規職員","正",IF($E95="契約上の就業時間を記載","",IF($E95&gt;=G$5,"常",G95))),"-"))</f>
        <v/>
      </c>
      <c r="T95" s="101" t="str">
        <f>IF($B95="","",IF(OR('②-1職員名簿'!AE95="○",'②-1職員名簿'!AE95="●"),IF($E95="正規職員","正",IF($E95="契約上の就業時間を記載","",IF($E95&gt;=H$5,"常",H95))),"-"))</f>
        <v/>
      </c>
      <c r="U95" s="101" t="str">
        <f>IF($B95="","",IF(OR('②-1職員名簿'!AF95="○",'②-1職員名簿'!AF95="●"),IF($E95="正規職員","正",IF($E95="契約上の就業時間を記載","",IF($E95&gt;=I$5,"常",I95))),"-"))</f>
        <v/>
      </c>
      <c r="V95" s="101" t="str">
        <f>IF($B95="","",IF(OR('②-1職員名簿'!AG95="○",'②-1職員名簿'!AG95="●"),IF($E95="正規職員","正",IF($E95="契約上の就業時間を記載","",IF($E95&gt;=J$5,"常",J95))),"-"))</f>
        <v/>
      </c>
      <c r="W95" s="101" t="str">
        <f>IF($B95="","",IF(OR('②-1職員名簿'!AH95="○",'②-1職員名簿'!AH95="●"),IF($E95="正規職員","正",IF($E95="契約上の就業時間を記載","",IF($E95&gt;=K$5,"常",K95))),"-"))</f>
        <v/>
      </c>
      <c r="X95" s="101" t="str">
        <f>IF($B95="","",IF(OR('②-1職員名簿'!AI95="○",'②-1職員名簿'!AI95="●"),IF($E95="正規職員","正",IF($E95="契約上の就業時間を記載","",IF($E95&gt;=L$5,"常",L95))),"-"))</f>
        <v/>
      </c>
      <c r="Y95" s="101" t="str">
        <f>IF($B95="","",IF(OR('②-1職員名簿'!AJ95="○",'②-1職員名簿'!AJ95="●"),IF($E95="正規職員","正",IF($E95="契約上の就業時間を記載","",IF($E95&gt;=M$5,"常",M95))),"-"))</f>
        <v/>
      </c>
      <c r="Z95" s="101" t="str">
        <f>IF($B95="","",IF(OR('②-1職員名簿'!AK95="○",'②-1職員名簿'!AK95="●"),IF($E95="正規職員","正",IF($E95="契約上の就業時間を記載","",IF($E95&gt;=N$5,"常",N95))),"-"))</f>
        <v/>
      </c>
      <c r="AA95" s="101" t="str">
        <f>IF($B95="","",IF(OR('②-1職員名簿'!AL95="○",'②-1職員名簿'!AL95="●"),IF($E95="正規職員","正",IF($E95="契約上の就業時間を記載","",IF($E95&gt;=O$5,"常",O95))),"-"))</f>
        <v/>
      </c>
      <c r="AB95" s="101" t="str">
        <f>IF($B95="","",IF(OR('②-1職員名簿'!AM95="○",'②-1職員名簿'!AM95="●"),IF($E95="正規職員","正",IF($E95="契約上の就業時間を記載","",IF($E95&gt;=P$5,"常",P95))),"-"))</f>
        <v/>
      </c>
      <c r="AC95" s="101" t="str">
        <f>IF($B95="","",IF(OR('②-1職員名簿'!AN95="○",'②-1職員名簿'!AN95="●"),IF($E95="正規職員","正",IF($E95="契約上の就業時間を記載","",IF($E95&gt;=Q$5,"常",Q95))),"-"))</f>
        <v/>
      </c>
      <c r="AE95" s="98" t="str">
        <f>IF('②-1職員名簿'!W95="","",'②-1職員名簿'!W95)</f>
        <v/>
      </c>
      <c r="AJ95" s="18" t="str">
        <f t="shared" si="25"/>
        <v>○</v>
      </c>
      <c r="AK95" s="18" t="str">
        <f t="shared" si="26"/>
        <v>○</v>
      </c>
      <c r="AL95" s="18" t="str">
        <f t="shared" si="27"/>
        <v>○</v>
      </c>
      <c r="AM95" s="18" t="str">
        <f t="shared" si="28"/>
        <v>○</v>
      </c>
      <c r="AN95" s="18" t="str">
        <f t="shared" si="29"/>
        <v>○</v>
      </c>
      <c r="AO95" s="18" t="str">
        <f t="shared" si="30"/>
        <v>○</v>
      </c>
      <c r="AP95" s="18" t="str">
        <f t="shared" si="31"/>
        <v>○</v>
      </c>
      <c r="AQ95" s="18" t="str">
        <f t="shared" si="32"/>
        <v>○</v>
      </c>
      <c r="AR95" s="18" t="str">
        <f t="shared" si="33"/>
        <v>○</v>
      </c>
      <c r="AS95" s="18" t="str">
        <f t="shared" si="34"/>
        <v>○</v>
      </c>
      <c r="AT95" s="18" t="str">
        <f t="shared" si="35"/>
        <v>○</v>
      </c>
      <c r="AU95" s="18" t="str">
        <f t="shared" si="36"/>
        <v>○</v>
      </c>
    </row>
    <row r="96" spans="1:47" s="103" customFormat="1" ht="23.15" customHeight="1">
      <c r="A96" s="99">
        <v>90</v>
      </c>
      <c r="B96" s="98" t="str">
        <f>IF('②-1職員名簿'!E96="","",'②-1職員名簿'!Y96)</f>
        <v/>
      </c>
      <c r="C96" s="101" t="str">
        <f>'②-1職員名簿'!BE96</f>
        <v/>
      </c>
      <c r="D96" s="132" t="str">
        <f t="shared" si="24"/>
        <v/>
      </c>
      <c r="E96" s="19" t="str">
        <f>IF($B96="","",IF(AND('②-1職員名簿'!C96="正",'②-1職員名簿'!D96="常"),"正規職員","契約上の就業時間を記載"))</f>
        <v/>
      </c>
      <c r="F96" s="10" t="str">
        <f>IF($B96="","",IF(OR('②-1職員名簿'!AC96="○",'②-1職員名簿'!AC96="●"),IF($E96="正規職員","正",IF($E96="契約上の就業時間を記載","","見込を入力")),"-"))</f>
        <v/>
      </c>
      <c r="G96" s="10" t="str">
        <f>IF($B96="","",IF(OR('②-1職員名簿'!AD96="○",'②-1職員名簿'!AD96="●"),IF($E96="正規職員","正",IF($E96="契約上の就業時間を記載","","実績を入力")),"-"))</f>
        <v/>
      </c>
      <c r="H96" s="10" t="str">
        <f>IF($B96="","",IF(OR('②-1職員名簿'!AE96="○",'②-1職員名簿'!AE96="●"),IF($E96="正規職員","正",IF($E96="契約上の就業時間を記載","","実績を入力")),"-"))</f>
        <v/>
      </c>
      <c r="I96" s="10" t="str">
        <f>IF($B96="","",IF(OR('②-1職員名簿'!AF96="○",'②-1職員名簿'!AF96="●"),IF($E96="正規職員","正",IF($E96="契約上の就業時間を記載","","実績を入力")),"-"))</f>
        <v/>
      </c>
      <c r="J96" s="10" t="str">
        <f>IF($B96="","",IF(OR('②-1職員名簿'!AG96="○",'②-1職員名簿'!AG96="●"),IF($E96="正規職員","正",IF($E96="契約上の就業時間を記載","","実績を入力")),"-"))</f>
        <v/>
      </c>
      <c r="K96" s="10" t="str">
        <f>IF($B96="","",IF(OR('②-1職員名簿'!AH96="○",'②-1職員名簿'!AH96="●"),IF($E96="正規職員","正",IF($E96="契約上の就業時間を記載","","実績を入力")),"-"))</f>
        <v/>
      </c>
      <c r="L96" s="10" t="str">
        <f>IF($B96="","",IF(OR('②-1職員名簿'!AI96="○",'②-1職員名簿'!AI96="●"),IF($E96="正規職員","正",IF($E96="契約上の就業時間を記載","","実績を入力")),"-"))</f>
        <v/>
      </c>
      <c r="M96" s="10" t="str">
        <f>IF($B96="","",IF(OR('②-1職員名簿'!AJ96="○",'②-1職員名簿'!AJ96="●"),IF($E96="正規職員","正",IF($E96="契約上の就業時間を記載","","実績を入力")),"-"))</f>
        <v/>
      </c>
      <c r="N96" s="10" t="str">
        <f>IF($B96="","",IF(OR('②-1職員名簿'!AK96="○",'②-1職員名簿'!AK96="●"),IF($E96="正規職員","正",IF($E96="契約上の就業時間を記載","","実績を入力")),"-"))</f>
        <v/>
      </c>
      <c r="O96" s="10" t="str">
        <f>IF($B96="","",IF(OR('②-1職員名簿'!AL96="○",'②-1職員名簿'!AL96="●"),IF($E96="正規職員","正",IF($E96="契約上の就業時間を記載","","実績を入力")),"-"))</f>
        <v/>
      </c>
      <c r="P96" s="10" t="str">
        <f>IF($B96="","",IF(OR('②-1職員名簿'!AM96="○",'②-1職員名簿'!AM96="●"),IF($E96="正規職員","正",IF($E96="契約上の就業時間を記載","","実績を入力")),"-"))</f>
        <v/>
      </c>
      <c r="Q96" s="10" t="str">
        <f>IF($B96="","",IF(OR('②-1職員名簿'!AN96="○",'②-1職員名簿'!AN96="●"),IF($E96="正規職員","正",IF($E96="契約上の就業時間を記載","","実績を入力")),"-"))</f>
        <v/>
      </c>
      <c r="R96" s="101" t="str">
        <f>IF($B96="","",IF(OR('②-1職員名簿'!AC96="○",'②-1職員名簿'!AC96="●"),IF($E96="正規職員","正",IF($E96="契約上の就業時間を記載","",IF($E96&gt;=F$5,"常",F96))),"-"))</f>
        <v/>
      </c>
      <c r="S96" s="101" t="str">
        <f>IF($B96="","",IF(OR('②-1職員名簿'!AD96="○",'②-1職員名簿'!AD96="●"),IF($E96="正規職員","正",IF($E96="契約上の就業時間を記載","",IF($E96&gt;=G$5,"常",G96))),"-"))</f>
        <v/>
      </c>
      <c r="T96" s="101" t="str">
        <f>IF($B96="","",IF(OR('②-1職員名簿'!AE96="○",'②-1職員名簿'!AE96="●"),IF($E96="正規職員","正",IF($E96="契約上の就業時間を記載","",IF($E96&gt;=H$5,"常",H96))),"-"))</f>
        <v/>
      </c>
      <c r="U96" s="101" t="str">
        <f>IF($B96="","",IF(OR('②-1職員名簿'!AF96="○",'②-1職員名簿'!AF96="●"),IF($E96="正規職員","正",IF($E96="契約上の就業時間を記載","",IF($E96&gt;=I$5,"常",I96))),"-"))</f>
        <v/>
      </c>
      <c r="V96" s="101" t="str">
        <f>IF($B96="","",IF(OR('②-1職員名簿'!AG96="○",'②-1職員名簿'!AG96="●"),IF($E96="正規職員","正",IF($E96="契約上の就業時間を記載","",IF($E96&gt;=J$5,"常",J96))),"-"))</f>
        <v/>
      </c>
      <c r="W96" s="101" t="str">
        <f>IF($B96="","",IF(OR('②-1職員名簿'!AH96="○",'②-1職員名簿'!AH96="●"),IF($E96="正規職員","正",IF($E96="契約上の就業時間を記載","",IF($E96&gt;=K$5,"常",K96))),"-"))</f>
        <v/>
      </c>
      <c r="X96" s="101" t="str">
        <f>IF($B96="","",IF(OR('②-1職員名簿'!AI96="○",'②-1職員名簿'!AI96="●"),IF($E96="正規職員","正",IF($E96="契約上の就業時間を記載","",IF($E96&gt;=L$5,"常",L96))),"-"))</f>
        <v/>
      </c>
      <c r="Y96" s="101" t="str">
        <f>IF($B96="","",IF(OR('②-1職員名簿'!AJ96="○",'②-1職員名簿'!AJ96="●"),IF($E96="正規職員","正",IF($E96="契約上の就業時間を記載","",IF($E96&gt;=M$5,"常",M96))),"-"))</f>
        <v/>
      </c>
      <c r="Z96" s="101" t="str">
        <f>IF($B96="","",IF(OR('②-1職員名簿'!AK96="○",'②-1職員名簿'!AK96="●"),IF($E96="正規職員","正",IF($E96="契約上の就業時間を記載","",IF($E96&gt;=N$5,"常",N96))),"-"))</f>
        <v/>
      </c>
      <c r="AA96" s="101" t="str">
        <f>IF($B96="","",IF(OR('②-1職員名簿'!AL96="○",'②-1職員名簿'!AL96="●"),IF($E96="正規職員","正",IF($E96="契約上の就業時間を記載","",IF($E96&gt;=O$5,"常",O96))),"-"))</f>
        <v/>
      </c>
      <c r="AB96" s="101" t="str">
        <f>IF($B96="","",IF(OR('②-1職員名簿'!AM96="○",'②-1職員名簿'!AM96="●"),IF($E96="正規職員","正",IF($E96="契約上の就業時間を記載","",IF($E96&gt;=P$5,"常",P96))),"-"))</f>
        <v/>
      </c>
      <c r="AC96" s="101" t="str">
        <f>IF($B96="","",IF(OR('②-1職員名簿'!AN96="○",'②-1職員名簿'!AN96="●"),IF($E96="正規職員","正",IF($E96="契約上の就業時間を記載","",IF($E96&gt;=Q$5,"常",Q96))),"-"))</f>
        <v/>
      </c>
      <c r="AE96" s="98" t="str">
        <f>IF('②-1職員名簿'!W96="","",'②-1職員名簿'!W96)</f>
        <v/>
      </c>
      <c r="AJ96" s="18" t="str">
        <f t="shared" si="25"/>
        <v>○</v>
      </c>
      <c r="AK96" s="18" t="str">
        <f t="shared" si="26"/>
        <v>○</v>
      </c>
      <c r="AL96" s="18" t="str">
        <f t="shared" si="27"/>
        <v>○</v>
      </c>
      <c r="AM96" s="18" t="str">
        <f t="shared" si="28"/>
        <v>○</v>
      </c>
      <c r="AN96" s="18" t="str">
        <f t="shared" si="29"/>
        <v>○</v>
      </c>
      <c r="AO96" s="18" t="str">
        <f t="shared" si="30"/>
        <v>○</v>
      </c>
      <c r="AP96" s="18" t="str">
        <f t="shared" si="31"/>
        <v>○</v>
      </c>
      <c r="AQ96" s="18" t="str">
        <f t="shared" si="32"/>
        <v>○</v>
      </c>
      <c r="AR96" s="18" t="str">
        <f t="shared" si="33"/>
        <v>○</v>
      </c>
      <c r="AS96" s="18" t="str">
        <f t="shared" si="34"/>
        <v>○</v>
      </c>
      <c r="AT96" s="18" t="str">
        <f t="shared" si="35"/>
        <v>○</v>
      </c>
      <c r="AU96" s="18" t="str">
        <f t="shared" si="36"/>
        <v>○</v>
      </c>
    </row>
    <row r="97" spans="1:47" s="103" customFormat="1" ht="23.15" customHeight="1">
      <c r="A97" s="99">
        <v>91</v>
      </c>
      <c r="B97" s="98" t="str">
        <f>IF('②-1職員名簿'!E97="","",'②-1職員名簿'!Y97)</f>
        <v/>
      </c>
      <c r="C97" s="101" t="str">
        <f>'②-1職員名簿'!BE97</f>
        <v/>
      </c>
      <c r="D97" s="132" t="str">
        <f t="shared" si="24"/>
        <v/>
      </c>
      <c r="E97" s="19" t="str">
        <f>IF($B97="","",IF(AND('②-1職員名簿'!C97="正",'②-1職員名簿'!D97="常"),"正規職員","契約上の就業時間を記載"))</f>
        <v/>
      </c>
      <c r="F97" s="10" t="str">
        <f>IF($B97="","",IF(OR('②-1職員名簿'!AC97="○",'②-1職員名簿'!AC97="●"),IF($E97="正規職員","正",IF($E97="契約上の就業時間を記載","","見込を入力")),"-"))</f>
        <v/>
      </c>
      <c r="G97" s="10" t="str">
        <f>IF($B97="","",IF(OR('②-1職員名簿'!AD97="○",'②-1職員名簿'!AD97="●"),IF($E97="正規職員","正",IF($E97="契約上の就業時間を記載","","実績を入力")),"-"))</f>
        <v/>
      </c>
      <c r="H97" s="10" t="str">
        <f>IF($B97="","",IF(OR('②-1職員名簿'!AE97="○",'②-1職員名簿'!AE97="●"),IF($E97="正規職員","正",IF($E97="契約上の就業時間を記載","","実績を入力")),"-"))</f>
        <v/>
      </c>
      <c r="I97" s="10" t="str">
        <f>IF($B97="","",IF(OR('②-1職員名簿'!AF97="○",'②-1職員名簿'!AF97="●"),IF($E97="正規職員","正",IF($E97="契約上の就業時間を記載","","実績を入力")),"-"))</f>
        <v/>
      </c>
      <c r="J97" s="10" t="str">
        <f>IF($B97="","",IF(OR('②-1職員名簿'!AG97="○",'②-1職員名簿'!AG97="●"),IF($E97="正規職員","正",IF($E97="契約上の就業時間を記載","","実績を入力")),"-"))</f>
        <v/>
      </c>
      <c r="K97" s="10" t="str">
        <f>IF($B97="","",IF(OR('②-1職員名簿'!AH97="○",'②-1職員名簿'!AH97="●"),IF($E97="正規職員","正",IF($E97="契約上の就業時間を記載","","実績を入力")),"-"))</f>
        <v/>
      </c>
      <c r="L97" s="10" t="str">
        <f>IF($B97="","",IF(OR('②-1職員名簿'!AI97="○",'②-1職員名簿'!AI97="●"),IF($E97="正規職員","正",IF($E97="契約上の就業時間を記載","","実績を入力")),"-"))</f>
        <v/>
      </c>
      <c r="M97" s="10" t="str">
        <f>IF($B97="","",IF(OR('②-1職員名簿'!AJ97="○",'②-1職員名簿'!AJ97="●"),IF($E97="正規職員","正",IF($E97="契約上の就業時間を記載","","実績を入力")),"-"))</f>
        <v/>
      </c>
      <c r="N97" s="10" t="str">
        <f>IF($B97="","",IF(OR('②-1職員名簿'!AK97="○",'②-1職員名簿'!AK97="●"),IF($E97="正規職員","正",IF($E97="契約上の就業時間を記載","","実績を入力")),"-"))</f>
        <v/>
      </c>
      <c r="O97" s="10" t="str">
        <f>IF($B97="","",IF(OR('②-1職員名簿'!AL97="○",'②-1職員名簿'!AL97="●"),IF($E97="正規職員","正",IF($E97="契約上の就業時間を記載","","実績を入力")),"-"))</f>
        <v/>
      </c>
      <c r="P97" s="10" t="str">
        <f>IF($B97="","",IF(OR('②-1職員名簿'!AM97="○",'②-1職員名簿'!AM97="●"),IF($E97="正規職員","正",IF($E97="契約上の就業時間を記載","","実績を入力")),"-"))</f>
        <v/>
      </c>
      <c r="Q97" s="10" t="str">
        <f>IF($B97="","",IF(OR('②-1職員名簿'!AN97="○",'②-1職員名簿'!AN97="●"),IF($E97="正規職員","正",IF($E97="契約上の就業時間を記載","","実績を入力")),"-"))</f>
        <v/>
      </c>
      <c r="R97" s="101" t="str">
        <f>IF($B97="","",IF(OR('②-1職員名簿'!AC97="○",'②-1職員名簿'!AC97="●"),IF($E97="正規職員","正",IF($E97="契約上の就業時間を記載","",IF($E97&gt;=F$5,"常",F97))),"-"))</f>
        <v/>
      </c>
      <c r="S97" s="101" t="str">
        <f>IF($B97="","",IF(OR('②-1職員名簿'!AD97="○",'②-1職員名簿'!AD97="●"),IF($E97="正規職員","正",IF($E97="契約上の就業時間を記載","",IF($E97&gt;=G$5,"常",G97))),"-"))</f>
        <v/>
      </c>
      <c r="T97" s="101" t="str">
        <f>IF($B97="","",IF(OR('②-1職員名簿'!AE97="○",'②-1職員名簿'!AE97="●"),IF($E97="正規職員","正",IF($E97="契約上の就業時間を記載","",IF($E97&gt;=H$5,"常",H97))),"-"))</f>
        <v/>
      </c>
      <c r="U97" s="101" t="str">
        <f>IF($B97="","",IF(OR('②-1職員名簿'!AF97="○",'②-1職員名簿'!AF97="●"),IF($E97="正規職員","正",IF($E97="契約上の就業時間を記載","",IF($E97&gt;=I$5,"常",I97))),"-"))</f>
        <v/>
      </c>
      <c r="V97" s="101" t="str">
        <f>IF($B97="","",IF(OR('②-1職員名簿'!AG97="○",'②-1職員名簿'!AG97="●"),IF($E97="正規職員","正",IF($E97="契約上の就業時間を記載","",IF($E97&gt;=J$5,"常",J97))),"-"))</f>
        <v/>
      </c>
      <c r="W97" s="101" t="str">
        <f>IF($B97="","",IF(OR('②-1職員名簿'!AH97="○",'②-1職員名簿'!AH97="●"),IF($E97="正規職員","正",IF($E97="契約上の就業時間を記載","",IF($E97&gt;=K$5,"常",K97))),"-"))</f>
        <v/>
      </c>
      <c r="X97" s="101" t="str">
        <f>IF($B97="","",IF(OR('②-1職員名簿'!AI97="○",'②-1職員名簿'!AI97="●"),IF($E97="正規職員","正",IF($E97="契約上の就業時間を記載","",IF($E97&gt;=L$5,"常",L97))),"-"))</f>
        <v/>
      </c>
      <c r="Y97" s="101" t="str">
        <f>IF($B97="","",IF(OR('②-1職員名簿'!AJ97="○",'②-1職員名簿'!AJ97="●"),IF($E97="正規職員","正",IF($E97="契約上の就業時間を記載","",IF($E97&gt;=M$5,"常",M97))),"-"))</f>
        <v/>
      </c>
      <c r="Z97" s="101" t="str">
        <f>IF($B97="","",IF(OR('②-1職員名簿'!AK97="○",'②-1職員名簿'!AK97="●"),IF($E97="正規職員","正",IF($E97="契約上の就業時間を記載","",IF($E97&gt;=N$5,"常",N97))),"-"))</f>
        <v/>
      </c>
      <c r="AA97" s="101" t="str">
        <f>IF($B97="","",IF(OR('②-1職員名簿'!AL97="○",'②-1職員名簿'!AL97="●"),IF($E97="正規職員","正",IF($E97="契約上の就業時間を記載","",IF($E97&gt;=O$5,"常",O97))),"-"))</f>
        <v/>
      </c>
      <c r="AB97" s="101" t="str">
        <f>IF($B97="","",IF(OR('②-1職員名簿'!AM97="○",'②-1職員名簿'!AM97="●"),IF($E97="正規職員","正",IF($E97="契約上の就業時間を記載","",IF($E97&gt;=P$5,"常",P97))),"-"))</f>
        <v/>
      </c>
      <c r="AC97" s="101" t="str">
        <f>IF($B97="","",IF(OR('②-1職員名簿'!AN97="○",'②-1職員名簿'!AN97="●"),IF($E97="正規職員","正",IF($E97="契約上の就業時間を記載","",IF($E97&gt;=Q$5,"常",Q97))),"-"))</f>
        <v/>
      </c>
      <c r="AE97" s="98" t="str">
        <f>IF('②-1職員名簿'!W97="","",'②-1職員名簿'!W97)</f>
        <v/>
      </c>
      <c r="AJ97" s="18" t="str">
        <f t="shared" si="25"/>
        <v>○</v>
      </c>
      <c r="AK97" s="18" t="str">
        <f t="shared" si="26"/>
        <v>○</v>
      </c>
      <c r="AL97" s="18" t="str">
        <f t="shared" si="27"/>
        <v>○</v>
      </c>
      <c r="AM97" s="18" t="str">
        <f t="shared" si="28"/>
        <v>○</v>
      </c>
      <c r="AN97" s="18" t="str">
        <f t="shared" si="29"/>
        <v>○</v>
      </c>
      <c r="AO97" s="18" t="str">
        <f t="shared" si="30"/>
        <v>○</v>
      </c>
      <c r="AP97" s="18" t="str">
        <f t="shared" si="31"/>
        <v>○</v>
      </c>
      <c r="AQ97" s="18" t="str">
        <f t="shared" si="32"/>
        <v>○</v>
      </c>
      <c r="AR97" s="18" t="str">
        <f t="shared" si="33"/>
        <v>○</v>
      </c>
      <c r="AS97" s="18" t="str">
        <f t="shared" si="34"/>
        <v>○</v>
      </c>
      <c r="AT97" s="18" t="str">
        <f t="shared" si="35"/>
        <v>○</v>
      </c>
      <c r="AU97" s="18" t="str">
        <f t="shared" si="36"/>
        <v>○</v>
      </c>
    </row>
    <row r="98" spans="1:47" s="103" customFormat="1" ht="23.15" customHeight="1">
      <c r="A98" s="99">
        <v>92</v>
      </c>
      <c r="B98" s="98" t="str">
        <f>IF('②-1職員名簿'!E98="","",'②-1職員名簿'!Y98)</f>
        <v/>
      </c>
      <c r="C98" s="101" t="str">
        <f>'②-1職員名簿'!BE98</f>
        <v/>
      </c>
      <c r="D98" s="132" t="str">
        <f t="shared" si="24"/>
        <v/>
      </c>
      <c r="E98" s="19" t="str">
        <f>IF($B98="","",IF(AND('②-1職員名簿'!C98="正",'②-1職員名簿'!D98="常"),"正規職員","契約上の就業時間を記載"))</f>
        <v/>
      </c>
      <c r="F98" s="10" t="str">
        <f>IF($B98="","",IF(OR('②-1職員名簿'!AC98="○",'②-1職員名簿'!AC98="●"),IF($E98="正規職員","正",IF($E98="契約上の就業時間を記載","","見込を入力")),"-"))</f>
        <v/>
      </c>
      <c r="G98" s="10" t="str">
        <f>IF($B98="","",IF(OR('②-1職員名簿'!AD98="○",'②-1職員名簿'!AD98="●"),IF($E98="正規職員","正",IF($E98="契約上の就業時間を記載","","実績を入力")),"-"))</f>
        <v/>
      </c>
      <c r="H98" s="10" t="str">
        <f>IF($B98="","",IF(OR('②-1職員名簿'!AE98="○",'②-1職員名簿'!AE98="●"),IF($E98="正規職員","正",IF($E98="契約上の就業時間を記載","","実績を入力")),"-"))</f>
        <v/>
      </c>
      <c r="I98" s="10" t="str">
        <f>IF($B98="","",IF(OR('②-1職員名簿'!AF98="○",'②-1職員名簿'!AF98="●"),IF($E98="正規職員","正",IF($E98="契約上の就業時間を記載","","実績を入力")),"-"))</f>
        <v/>
      </c>
      <c r="J98" s="10" t="str">
        <f>IF($B98="","",IF(OR('②-1職員名簿'!AG98="○",'②-1職員名簿'!AG98="●"),IF($E98="正規職員","正",IF($E98="契約上の就業時間を記載","","実績を入力")),"-"))</f>
        <v/>
      </c>
      <c r="K98" s="10" t="str">
        <f>IF($B98="","",IF(OR('②-1職員名簿'!AH98="○",'②-1職員名簿'!AH98="●"),IF($E98="正規職員","正",IF($E98="契約上の就業時間を記載","","実績を入力")),"-"))</f>
        <v/>
      </c>
      <c r="L98" s="10" t="str">
        <f>IF($B98="","",IF(OR('②-1職員名簿'!AI98="○",'②-1職員名簿'!AI98="●"),IF($E98="正規職員","正",IF($E98="契約上の就業時間を記載","","実績を入力")),"-"))</f>
        <v/>
      </c>
      <c r="M98" s="10" t="str">
        <f>IF($B98="","",IF(OR('②-1職員名簿'!AJ98="○",'②-1職員名簿'!AJ98="●"),IF($E98="正規職員","正",IF($E98="契約上の就業時間を記載","","実績を入力")),"-"))</f>
        <v/>
      </c>
      <c r="N98" s="10" t="str">
        <f>IF($B98="","",IF(OR('②-1職員名簿'!AK98="○",'②-1職員名簿'!AK98="●"),IF($E98="正規職員","正",IF($E98="契約上の就業時間を記載","","実績を入力")),"-"))</f>
        <v/>
      </c>
      <c r="O98" s="10" t="str">
        <f>IF($B98="","",IF(OR('②-1職員名簿'!AL98="○",'②-1職員名簿'!AL98="●"),IF($E98="正規職員","正",IF($E98="契約上の就業時間を記載","","実績を入力")),"-"))</f>
        <v/>
      </c>
      <c r="P98" s="10" t="str">
        <f>IF($B98="","",IF(OR('②-1職員名簿'!AM98="○",'②-1職員名簿'!AM98="●"),IF($E98="正規職員","正",IF($E98="契約上の就業時間を記載","","実績を入力")),"-"))</f>
        <v/>
      </c>
      <c r="Q98" s="10" t="str">
        <f>IF($B98="","",IF(OR('②-1職員名簿'!AN98="○",'②-1職員名簿'!AN98="●"),IF($E98="正規職員","正",IF($E98="契約上の就業時間を記載","","実績を入力")),"-"))</f>
        <v/>
      </c>
      <c r="R98" s="101" t="str">
        <f>IF($B98="","",IF(OR('②-1職員名簿'!AC98="○",'②-1職員名簿'!AC98="●"),IF($E98="正規職員","正",IF($E98="契約上の就業時間を記載","",IF($E98&gt;=F$5,"常",F98))),"-"))</f>
        <v/>
      </c>
      <c r="S98" s="101" t="str">
        <f>IF($B98="","",IF(OR('②-1職員名簿'!AD98="○",'②-1職員名簿'!AD98="●"),IF($E98="正規職員","正",IF($E98="契約上の就業時間を記載","",IF($E98&gt;=G$5,"常",G98))),"-"))</f>
        <v/>
      </c>
      <c r="T98" s="101" t="str">
        <f>IF($B98="","",IF(OR('②-1職員名簿'!AE98="○",'②-1職員名簿'!AE98="●"),IF($E98="正規職員","正",IF($E98="契約上の就業時間を記載","",IF($E98&gt;=H$5,"常",H98))),"-"))</f>
        <v/>
      </c>
      <c r="U98" s="101" t="str">
        <f>IF($B98="","",IF(OR('②-1職員名簿'!AF98="○",'②-1職員名簿'!AF98="●"),IF($E98="正規職員","正",IF($E98="契約上の就業時間を記載","",IF($E98&gt;=I$5,"常",I98))),"-"))</f>
        <v/>
      </c>
      <c r="V98" s="101" t="str">
        <f>IF($B98="","",IF(OR('②-1職員名簿'!AG98="○",'②-1職員名簿'!AG98="●"),IF($E98="正規職員","正",IF($E98="契約上の就業時間を記載","",IF($E98&gt;=J$5,"常",J98))),"-"))</f>
        <v/>
      </c>
      <c r="W98" s="101" t="str">
        <f>IF($B98="","",IF(OR('②-1職員名簿'!AH98="○",'②-1職員名簿'!AH98="●"),IF($E98="正規職員","正",IF($E98="契約上の就業時間を記載","",IF($E98&gt;=K$5,"常",K98))),"-"))</f>
        <v/>
      </c>
      <c r="X98" s="101" t="str">
        <f>IF($B98="","",IF(OR('②-1職員名簿'!AI98="○",'②-1職員名簿'!AI98="●"),IF($E98="正規職員","正",IF($E98="契約上の就業時間を記載","",IF($E98&gt;=L$5,"常",L98))),"-"))</f>
        <v/>
      </c>
      <c r="Y98" s="101" t="str">
        <f>IF($B98="","",IF(OR('②-1職員名簿'!AJ98="○",'②-1職員名簿'!AJ98="●"),IF($E98="正規職員","正",IF($E98="契約上の就業時間を記載","",IF($E98&gt;=M$5,"常",M98))),"-"))</f>
        <v/>
      </c>
      <c r="Z98" s="101" t="str">
        <f>IF($B98="","",IF(OR('②-1職員名簿'!AK98="○",'②-1職員名簿'!AK98="●"),IF($E98="正規職員","正",IF($E98="契約上の就業時間を記載","",IF($E98&gt;=N$5,"常",N98))),"-"))</f>
        <v/>
      </c>
      <c r="AA98" s="101" t="str">
        <f>IF($B98="","",IF(OR('②-1職員名簿'!AL98="○",'②-1職員名簿'!AL98="●"),IF($E98="正規職員","正",IF($E98="契約上の就業時間を記載","",IF($E98&gt;=O$5,"常",O98))),"-"))</f>
        <v/>
      </c>
      <c r="AB98" s="101" t="str">
        <f>IF($B98="","",IF(OR('②-1職員名簿'!AM98="○",'②-1職員名簿'!AM98="●"),IF($E98="正規職員","正",IF($E98="契約上の就業時間を記載","",IF($E98&gt;=P$5,"常",P98))),"-"))</f>
        <v/>
      </c>
      <c r="AC98" s="101" t="str">
        <f>IF($B98="","",IF(OR('②-1職員名簿'!AN98="○",'②-1職員名簿'!AN98="●"),IF($E98="正規職員","正",IF($E98="契約上の就業時間を記載","",IF($E98&gt;=Q$5,"常",Q98))),"-"))</f>
        <v/>
      </c>
      <c r="AE98" s="98" t="str">
        <f>IF('②-1職員名簿'!W98="","",'②-1職員名簿'!W98)</f>
        <v/>
      </c>
      <c r="AJ98" s="18" t="str">
        <f t="shared" si="25"/>
        <v>○</v>
      </c>
      <c r="AK98" s="18" t="str">
        <f t="shared" si="26"/>
        <v>○</v>
      </c>
      <c r="AL98" s="18" t="str">
        <f t="shared" si="27"/>
        <v>○</v>
      </c>
      <c r="AM98" s="18" t="str">
        <f t="shared" si="28"/>
        <v>○</v>
      </c>
      <c r="AN98" s="18" t="str">
        <f t="shared" si="29"/>
        <v>○</v>
      </c>
      <c r="AO98" s="18" t="str">
        <f t="shared" si="30"/>
        <v>○</v>
      </c>
      <c r="AP98" s="18" t="str">
        <f t="shared" si="31"/>
        <v>○</v>
      </c>
      <c r="AQ98" s="18" t="str">
        <f t="shared" si="32"/>
        <v>○</v>
      </c>
      <c r="AR98" s="18" t="str">
        <f t="shared" si="33"/>
        <v>○</v>
      </c>
      <c r="AS98" s="18" t="str">
        <f t="shared" si="34"/>
        <v>○</v>
      </c>
      <c r="AT98" s="18" t="str">
        <f t="shared" si="35"/>
        <v>○</v>
      </c>
      <c r="AU98" s="18" t="str">
        <f t="shared" si="36"/>
        <v>○</v>
      </c>
    </row>
    <row r="99" spans="1:47" s="103" customFormat="1" ht="23.15" customHeight="1">
      <c r="A99" s="99">
        <v>93</v>
      </c>
      <c r="B99" s="98" t="str">
        <f>IF('②-1職員名簿'!E99="","",'②-1職員名簿'!Y99)</f>
        <v/>
      </c>
      <c r="C99" s="101" t="str">
        <f>'②-1職員名簿'!BE99</f>
        <v/>
      </c>
      <c r="D99" s="132" t="str">
        <f t="shared" si="24"/>
        <v/>
      </c>
      <c r="E99" s="19" t="str">
        <f>IF($B99="","",IF(AND('②-1職員名簿'!C99="正",'②-1職員名簿'!D99="常"),"正規職員","契約上の就業時間を記載"))</f>
        <v/>
      </c>
      <c r="F99" s="10" t="str">
        <f>IF($B99="","",IF(OR('②-1職員名簿'!AC99="○",'②-1職員名簿'!AC99="●"),IF($E99="正規職員","正",IF($E99="契約上の就業時間を記載","","見込を入力")),"-"))</f>
        <v/>
      </c>
      <c r="G99" s="10" t="str">
        <f>IF($B99="","",IF(OR('②-1職員名簿'!AD99="○",'②-1職員名簿'!AD99="●"),IF($E99="正規職員","正",IF($E99="契約上の就業時間を記載","","実績を入力")),"-"))</f>
        <v/>
      </c>
      <c r="H99" s="10" t="str">
        <f>IF($B99="","",IF(OR('②-1職員名簿'!AE99="○",'②-1職員名簿'!AE99="●"),IF($E99="正規職員","正",IF($E99="契約上の就業時間を記載","","実績を入力")),"-"))</f>
        <v/>
      </c>
      <c r="I99" s="10" t="str">
        <f>IF($B99="","",IF(OR('②-1職員名簿'!AF99="○",'②-1職員名簿'!AF99="●"),IF($E99="正規職員","正",IF($E99="契約上の就業時間を記載","","実績を入力")),"-"))</f>
        <v/>
      </c>
      <c r="J99" s="10" t="str">
        <f>IF($B99="","",IF(OR('②-1職員名簿'!AG99="○",'②-1職員名簿'!AG99="●"),IF($E99="正規職員","正",IF($E99="契約上の就業時間を記載","","実績を入力")),"-"))</f>
        <v/>
      </c>
      <c r="K99" s="10" t="str">
        <f>IF($B99="","",IF(OR('②-1職員名簿'!AH99="○",'②-1職員名簿'!AH99="●"),IF($E99="正規職員","正",IF($E99="契約上の就業時間を記載","","実績を入力")),"-"))</f>
        <v/>
      </c>
      <c r="L99" s="10" t="str">
        <f>IF($B99="","",IF(OR('②-1職員名簿'!AI99="○",'②-1職員名簿'!AI99="●"),IF($E99="正規職員","正",IF($E99="契約上の就業時間を記載","","実績を入力")),"-"))</f>
        <v/>
      </c>
      <c r="M99" s="10" t="str">
        <f>IF($B99="","",IF(OR('②-1職員名簿'!AJ99="○",'②-1職員名簿'!AJ99="●"),IF($E99="正規職員","正",IF($E99="契約上の就業時間を記載","","実績を入力")),"-"))</f>
        <v/>
      </c>
      <c r="N99" s="10" t="str">
        <f>IF($B99="","",IF(OR('②-1職員名簿'!AK99="○",'②-1職員名簿'!AK99="●"),IF($E99="正規職員","正",IF($E99="契約上の就業時間を記載","","実績を入力")),"-"))</f>
        <v/>
      </c>
      <c r="O99" s="10" t="str">
        <f>IF($B99="","",IF(OR('②-1職員名簿'!AL99="○",'②-1職員名簿'!AL99="●"),IF($E99="正規職員","正",IF($E99="契約上の就業時間を記載","","実績を入力")),"-"))</f>
        <v/>
      </c>
      <c r="P99" s="10" t="str">
        <f>IF($B99="","",IF(OR('②-1職員名簿'!AM99="○",'②-1職員名簿'!AM99="●"),IF($E99="正規職員","正",IF($E99="契約上の就業時間を記載","","実績を入力")),"-"))</f>
        <v/>
      </c>
      <c r="Q99" s="10" t="str">
        <f>IF($B99="","",IF(OR('②-1職員名簿'!AN99="○",'②-1職員名簿'!AN99="●"),IF($E99="正規職員","正",IF($E99="契約上の就業時間を記載","","実績を入力")),"-"))</f>
        <v/>
      </c>
      <c r="R99" s="101" t="str">
        <f>IF($B99="","",IF(OR('②-1職員名簿'!AC99="○",'②-1職員名簿'!AC99="●"),IF($E99="正規職員","正",IF($E99="契約上の就業時間を記載","",IF($E99&gt;=F$5,"常",F99))),"-"))</f>
        <v/>
      </c>
      <c r="S99" s="101" t="str">
        <f>IF($B99="","",IF(OR('②-1職員名簿'!AD99="○",'②-1職員名簿'!AD99="●"),IF($E99="正規職員","正",IF($E99="契約上の就業時間を記載","",IF($E99&gt;=G$5,"常",G99))),"-"))</f>
        <v/>
      </c>
      <c r="T99" s="101" t="str">
        <f>IF($B99="","",IF(OR('②-1職員名簿'!AE99="○",'②-1職員名簿'!AE99="●"),IF($E99="正規職員","正",IF($E99="契約上の就業時間を記載","",IF($E99&gt;=H$5,"常",H99))),"-"))</f>
        <v/>
      </c>
      <c r="U99" s="101" t="str">
        <f>IF($B99="","",IF(OR('②-1職員名簿'!AF99="○",'②-1職員名簿'!AF99="●"),IF($E99="正規職員","正",IF($E99="契約上の就業時間を記載","",IF($E99&gt;=I$5,"常",I99))),"-"))</f>
        <v/>
      </c>
      <c r="V99" s="101" t="str">
        <f>IF($B99="","",IF(OR('②-1職員名簿'!AG99="○",'②-1職員名簿'!AG99="●"),IF($E99="正規職員","正",IF($E99="契約上の就業時間を記載","",IF($E99&gt;=J$5,"常",J99))),"-"))</f>
        <v/>
      </c>
      <c r="W99" s="101" t="str">
        <f>IF($B99="","",IF(OR('②-1職員名簿'!AH99="○",'②-1職員名簿'!AH99="●"),IF($E99="正規職員","正",IF($E99="契約上の就業時間を記載","",IF($E99&gt;=K$5,"常",K99))),"-"))</f>
        <v/>
      </c>
      <c r="X99" s="101" t="str">
        <f>IF($B99="","",IF(OR('②-1職員名簿'!AI99="○",'②-1職員名簿'!AI99="●"),IF($E99="正規職員","正",IF($E99="契約上の就業時間を記載","",IF($E99&gt;=L$5,"常",L99))),"-"))</f>
        <v/>
      </c>
      <c r="Y99" s="101" t="str">
        <f>IF($B99="","",IF(OR('②-1職員名簿'!AJ99="○",'②-1職員名簿'!AJ99="●"),IF($E99="正規職員","正",IF($E99="契約上の就業時間を記載","",IF($E99&gt;=M$5,"常",M99))),"-"))</f>
        <v/>
      </c>
      <c r="Z99" s="101" t="str">
        <f>IF($B99="","",IF(OR('②-1職員名簿'!AK99="○",'②-1職員名簿'!AK99="●"),IF($E99="正規職員","正",IF($E99="契約上の就業時間を記載","",IF($E99&gt;=N$5,"常",N99))),"-"))</f>
        <v/>
      </c>
      <c r="AA99" s="101" t="str">
        <f>IF($B99="","",IF(OR('②-1職員名簿'!AL99="○",'②-1職員名簿'!AL99="●"),IF($E99="正規職員","正",IF($E99="契約上の就業時間を記載","",IF($E99&gt;=O$5,"常",O99))),"-"))</f>
        <v/>
      </c>
      <c r="AB99" s="101" t="str">
        <f>IF($B99="","",IF(OR('②-1職員名簿'!AM99="○",'②-1職員名簿'!AM99="●"),IF($E99="正規職員","正",IF($E99="契約上の就業時間を記載","",IF($E99&gt;=P$5,"常",P99))),"-"))</f>
        <v/>
      </c>
      <c r="AC99" s="101" t="str">
        <f>IF($B99="","",IF(OR('②-1職員名簿'!AN99="○",'②-1職員名簿'!AN99="●"),IF($E99="正規職員","正",IF($E99="契約上の就業時間を記載","",IF($E99&gt;=Q$5,"常",Q99))),"-"))</f>
        <v/>
      </c>
      <c r="AE99" s="98" t="str">
        <f>IF('②-1職員名簿'!W99="","",'②-1職員名簿'!W99)</f>
        <v/>
      </c>
      <c r="AJ99" s="18" t="str">
        <f t="shared" si="25"/>
        <v>○</v>
      </c>
      <c r="AK99" s="18" t="str">
        <f t="shared" si="26"/>
        <v>○</v>
      </c>
      <c r="AL99" s="18" t="str">
        <f t="shared" si="27"/>
        <v>○</v>
      </c>
      <c r="AM99" s="18" t="str">
        <f t="shared" si="28"/>
        <v>○</v>
      </c>
      <c r="AN99" s="18" t="str">
        <f t="shared" si="29"/>
        <v>○</v>
      </c>
      <c r="AO99" s="18" t="str">
        <f t="shared" si="30"/>
        <v>○</v>
      </c>
      <c r="AP99" s="18" t="str">
        <f t="shared" si="31"/>
        <v>○</v>
      </c>
      <c r="AQ99" s="18" t="str">
        <f t="shared" si="32"/>
        <v>○</v>
      </c>
      <c r="AR99" s="18" t="str">
        <f t="shared" si="33"/>
        <v>○</v>
      </c>
      <c r="AS99" s="18" t="str">
        <f t="shared" si="34"/>
        <v>○</v>
      </c>
      <c r="AT99" s="18" t="str">
        <f t="shared" si="35"/>
        <v>○</v>
      </c>
      <c r="AU99" s="18" t="str">
        <f t="shared" si="36"/>
        <v>○</v>
      </c>
    </row>
    <row r="100" spans="1:47" s="103" customFormat="1" ht="23.15" customHeight="1">
      <c r="A100" s="99">
        <v>94</v>
      </c>
      <c r="B100" s="98" t="str">
        <f>IF('②-1職員名簿'!E100="","",'②-1職員名簿'!Y100)</f>
        <v/>
      </c>
      <c r="C100" s="101" t="str">
        <f>'②-1職員名簿'!BE100</f>
        <v/>
      </c>
      <c r="D100" s="132" t="str">
        <f t="shared" si="24"/>
        <v/>
      </c>
      <c r="E100" s="19" t="str">
        <f>IF($B100="","",IF(AND('②-1職員名簿'!C100="正",'②-1職員名簿'!D100="常"),"正規職員","契約上の就業時間を記載"))</f>
        <v/>
      </c>
      <c r="F100" s="10" t="str">
        <f>IF($B100="","",IF(OR('②-1職員名簿'!AC100="○",'②-1職員名簿'!AC100="●"),IF($E100="正規職員","正",IF($E100="契約上の就業時間を記載","","見込を入力")),"-"))</f>
        <v/>
      </c>
      <c r="G100" s="10" t="str">
        <f>IF($B100="","",IF(OR('②-1職員名簿'!AD100="○",'②-1職員名簿'!AD100="●"),IF($E100="正規職員","正",IF($E100="契約上の就業時間を記載","","実績を入力")),"-"))</f>
        <v/>
      </c>
      <c r="H100" s="10" t="str">
        <f>IF($B100="","",IF(OR('②-1職員名簿'!AE100="○",'②-1職員名簿'!AE100="●"),IF($E100="正規職員","正",IF($E100="契約上の就業時間を記載","","実績を入力")),"-"))</f>
        <v/>
      </c>
      <c r="I100" s="10" t="str">
        <f>IF($B100="","",IF(OR('②-1職員名簿'!AF100="○",'②-1職員名簿'!AF100="●"),IF($E100="正規職員","正",IF($E100="契約上の就業時間を記載","","実績を入力")),"-"))</f>
        <v/>
      </c>
      <c r="J100" s="10" t="str">
        <f>IF($B100="","",IF(OR('②-1職員名簿'!AG100="○",'②-1職員名簿'!AG100="●"),IF($E100="正規職員","正",IF($E100="契約上の就業時間を記載","","実績を入力")),"-"))</f>
        <v/>
      </c>
      <c r="K100" s="10" t="str">
        <f>IF($B100="","",IF(OR('②-1職員名簿'!AH100="○",'②-1職員名簿'!AH100="●"),IF($E100="正規職員","正",IF($E100="契約上の就業時間を記載","","実績を入力")),"-"))</f>
        <v/>
      </c>
      <c r="L100" s="10" t="str">
        <f>IF($B100="","",IF(OR('②-1職員名簿'!AI100="○",'②-1職員名簿'!AI100="●"),IF($E100="正規職員","正",IF($E100="契約上の就業時間を記載","","実績を入力")),"-"))</f>
        <v/>
      </c>
      <c r="M100" s="10" t="str">
        <f>IF($B100="","",IF(OR('②-1職員名簿'!AJ100="○",'②-1職員名簿'!AJ100="●"),IF($E100="正規職員","正",IF($E100="契約上の就業時間を記載","","実績を入力")),"-"))</f>
        <v/>
      </c>
      <c r="N100" s="10" t="str">
        <f>IF($B100="","",IF(OR('②-1職員名簿'!AK100="○",'②-1職員名簿'!AK100="●"),IF($E100="正規職員","正",IF($E100="契約上の就業時間を記載","","実績を入力")),"-"))</f>
        <v/>
      </c>
      <c r="O100" s="10" t="str">
        <f>IF($B100="","",IF(OR('②-1職員名簿'!AL100="○",'②-1職員名簿'!AL100="●"),IF($E100="正規職員","正",IF($E100="契約上の就業時間を記載","","実績を入力")),"-"))</f>
        <v/>
      </c>
      <c r="P100" s="10" t="str">
        <f>IF($B100="","",IF(OR('②-1職員名簿'!AM100="○",'②-1職員名簿'!AM100="●"),IF($E100="正規職員","正",IF($E100="契約上の就業時間を記載","","実績を入力")),"-"))</f>
        <v/>
      </c>
      <c r="Q100" s="10" t="str">
        <f>IF($B100="","",IF(OR('②-1職員名簿'!AN100="○",'②-1職員名簿'!AN100="●"),IF($E100="正規職員","正",IF($E100="契約上の就業時間を記載","","実績を入力")),"-"))</f>
        <v/>
      </c>
      <c r="R100" s="101" t="str">
        <f>IF($B100="","",IF(OR('②-1職員名簿'!AC100="○",'②-1職員名簿'!AC100="●"),IF($E100="正規職員","正",IF($E100="契約上の就業時間を記載","",IF($E100&gt;=F$5,"常",F100))),"-"))</f>
        <v/>
      </c>
      <c r="S100" s="101" t="str">
        <f>IF($B100="","",IF(OR('②-1職員名簿'!AD100="○",'②-1職員名簿'!AD100="●"),IF($E100="正規職員","正",IF($E100="契約上の就業時間を記載","",IF($E100&gt;=G$5,"常",G100))),"-"))</f>
        <v/>
      </c>
      <c r="T100" s="101" t="str">
        <f>IF($B100="","",IF(OR('②-1職員名簿'!AE100="○",'②-1職員名簿'!AE100="●"),IF($E100="正規職員","正",IF($E100="契約上の就業時間を記載","",IF($E100&gt;=H$5,"常",H100))),"-"))</f>
        <v/>
      </c>
      <c r="U100" s="101" t="str">
        <f>IF($B100="","",IF(OR('②-1職員名簿'!AF100="○",'②-1職員名簿'!AF100="●"),IF($E100="正規職員","正",IF($E100="契約上の就業時間を記載","",IF($E100&gt;=I$5,"常",I100))),"-"))</f>
        <v/>
      </c>
      <c r="V100" s="101" t="str">
        <f>IF($B100="","",IF(OR('②-1職員名簿'!AG100="○",'②-1職員名簿'!AG100="●"),IF($E100="正規職員","正",IF($E100="契約上の就業時間を記載","",IF($E100&gt;=J$5,"常",J100))),"-"))</f>
        <v/>
      </c>
      <c r="W100" s="101" t="str">
        <f>IF($B100="","",IF(OR('②-1職員名簿'!AH100="○",'②-1職員名簿'!AH100="●"),IF($E100="正規職員","正",IF($E100="契約上の就業時間を記載","",IF($E100&gt;=K$5,"常",K100))),"-"))</f>
        <v/>
      </c>
      <c r="X100" s="101" t="str">
        <f>IF($B100="","",IF(OR('②-1職員名簿'!AI100="○",'②-1職員名簿'!AI100="●"),IF($E100="正規職員","正",IF($E100="契約上の就業時間を記載","",IF($E100&gt;=L$5,"常",L100))),"-"))</f>
        <v/>
      </c>
      <c r="Y100" s="101" t="str">
        <f>IF($B100="","",IF(OR('②-1職員名簿'!AJ100="○",'②-1職員名簿'!AJ100="●"),IF($E100="正規職員","正",IF($E100="契約上の就業時間を記載","",IF($E100&gt;=M$5,"常",M100))),"-"))</f>
        <v/>
      </c>
      <c r="Z100" s="101" t="str">
        <f>IF($B100="","",IF(OR('②-1職員名簿'!AK100="○",'②-1職員名簿'!AK100="●"),IF($E100="正規職員","正",IF($E100="契約上の就業時間を記載","",IF($E100&gt;=N$5,"常",N100))),"-"))</f>
        <v/>
      </c>
      <c r="AA100" s="101" t="str">
        <f>IF($B100="","",IF(OR('②-1職員名簿'!AL100="○",'②-1職員名簿'!AL100="●"),IF($E100="正規職員","正",IF($E100="契約上の就業時間を記載","",IF($E100&gt;=O$5,"常",O100))),"-"))</f>
        <v/>
      </c>
      <c r="AB100" s="101" t="str">
        <f>IF($B100="","",IF(OR('②-1職員名簿'!AM100="○",'②-1職員名簿'!AM100="●"),IF($E100="正規職員","正",IF($E100="契約上の就業時間を記載","",IF($E100&gt;=P$5,"常",P100))),"-"))</f>
        <v/>
      </c>
      <c r="AC100" s="101" t="str">
        <f>IF($B100="","",IF(OR('②-1職員名簿'!AN100="○",'②-1職員名簿'!AN100="●"),IF($E100="正規職員","正",IF($E100="契約上の就業時間を記載","",IF($E100&gt;=Q$5,"常",Q100))),"-"))</f>
        <v/>
      </c>
      <c r="AE100" s="98" t="str">
        <f>IF('②-1職員名簿'!W100="","",'②-1職員名簿'!W100)</f>
        <v/>
      </c>
      <c r="AJ100" s="18" t="str">
        <f t="shared" si="25"/>
        <v>○</v>
      </c>
      <c r="AK100" s="18" t="str">
        <f t="shared" si="26"/>
        <v>○</v>
      </c>
      <c r="AL100" s="18" t="str">
        <f t="shared" si="27"/>
        <v>○</v>
      </c>
      <c r="AM100" s="18" t="str">
        <f t="shared" si="28"/>
        <v>○</v>
      </c>
      <c r="AN100" s="18" t="str">
        <f t="shared" si="29"/>
        <v>○</v>
      </c>
      <c r="AO100" s="18" t="str">
        <f t="shared" si="30"/>
        <v>○</v>
      </c>
      <c r="AP100" s="18" t="str">
        <f t="shared" si="31"/>
        <v>○</v>
      </c>
      <c r="AQ100" s="18" t="str">
        <f t="shared" si="32"/>
        <v>○</v>
      </c>
      <c r="AR100" s="18" t="str">
        <f t="shared" si="33"/>
        <v>○</v>
      </c>
      <c r="AS100" s="18" t="str">
        <f t="shared" si="34"/>
        <v>○</v>
      </c>
      <c r="AT100" s="18" t="str">
        <f t="shared" si="35"/>
        <v>○</v>
      </c>
      <c r="AU100" s="18" t="str">
        <f t="shared" si="36"/>
        <v>○</v>
      </c>
    </row>
    <row r="101" spans="1:47" s="103" customFormat="1" ht="23.15" customHeight="1">
      <c r="A101" s="99">
        <v>95</v>
      </c>
      <c r="B101" s="98" t="str">
        <f>IF('②-1職員名簿'!E101="","",'②-1職員名簿'!Y101)</f>
        <v/>
      </c>
      <c r="C101" s="101" t="str">
        <f>'②-1職員名簿'!BE101</f>
        <v/>
      </c>
      <c r="D101" s="132" t="str">
        <f t="shared" si="24"/>
        <v/>
      </c>
      <c r="E101" s="19" t="str">
        <f>IF($B101="","",IF(AND('②-1職員名簿'!C101="正",'②-1職員名簿'!D101="常"),"正規職員","契約上の就業時間を記載"))</f>
        <v/>
      </c>
      <c r="F101" s="10" t="str">
        <f>IF($B101="","",IF(OR('②-1職員名簿'!AC101="○",'②-1職員名簿'!AC101="●"),IF($E101="正規職員","正",IF($E101="契約上の就業時間を記載","","見込を入力")),"-"))</f>
        <v/>
      </c>
      <c r="G101" s="10" t="str">
        <f>IF($B101="","",IF(OR('②-1職員名簿'!AD101="○",'②-1職員名簿'!AD101="●"),IF($E101="正規職員","正",IF($E101="契約上の就業時間を記載","","実績を入力")),"-"))</f>
        <v/>
      </c>
      <c r="H101" s="10" t="str">
        <f>IF($B101="","",IF(OR('②-1職員名簿'!AE101="○",'②-1職員名簿'!AE101="●"),IF($E101="正規職員","正",IF($E101="契約上の就業時間を記載","","実績を入力")),"-"))</f>
        <v/>
      </c>
      <c r="I101" s="10" t="str">
        <f>IF($B101="","",IF(OR('②-1職員名簿'!AF101="○",'②-1職員名簿'!AF101="●"),IF($E101="正規職員","正",IF($E101="契約上の就業時間を記載","","実績を入力")),"-"))</f>
        <v/>
      </c>
      <c r="J101" s="10" t="str">
        <f>IF($B101="","",IF(OR('②-1職員名簿'!AG101="○",'②-1職員名簿'!AG101="●"),IF($E101="正規職員","正",IF($E101="契約上の就業時間を記載","","実績を入力")),"-"))</f>
        <v/>
      </c>
      <c r="K101" s="10" t="str">
        <f>IF($B101="","",IF(OR('②-1職員名簿'!AH101="○",'②-1職員名簿'!AH101="●"),IF($E101="正規職員","正",IF($E101="契約上の就業時間を記載","","実績を入力")),"-"))</f>
        <v/>
      </c>
      <c r="L101" s="10" t="str">
        <f>IF($B101="","",IF(OR('②-1職員名簿'!AI101="○",'②-1職員名簿'!AI101="●"),IF($E101="正規職員","正",IF($E101="契約上の就業時間を記載","","実績を入力")),"-"))</f>
        <v/>
      </c>
      <c r="M101" s="10" t="str">
        <f>IF($B101="","",IF(OR('②-1職員名簿'!AJ101="○",'②-1職員名簿'!AJ101="●"),IF($E101="正規職員","正",IF($E101="契約上の就業時間を記載","","実績を入力")),"-"))</f>
        <v/>
      </c>
      <c r="N101" s="10" t="str">
        <f>IF($B101="","",IF(OR('②-1職員名簿'!AK101="○",'②-1職員名簿'!AK101="●"),IF($E101="正規職員","正",IF($E101="契約上の就業時間を記載","","実績を入力")),"-"))</f>
        <v/>
      </c>
      <c r="O101" s="10" t="str">
        <f>IF($B101="","",IF(OR('②-1職員名簿'!AL101="○",'②-1職員名簿'!AL101="●"),IF($E101="正規職員","正",IF($E101="契約上の就業時間を記載","","実績を入力")),"-"))</f>
        <v/>
      </c>
      <c r="P101" s="10" t="str">
        <f>IF($B101="","",IF(OR('②-1職員名簿'!AM101="○",'②-1職員名簿'!AM101="●"),IF($E101="正規職員","正",IF($E101="契約上の就業時間を記載","","実績を入力")),"-"))</f>
        <v/>
      </c>
      <c r="Q101" s="10" t="str">
        <f>IF($B101="","",IF(OR('②-1職員名簿'!AN101="○",'②-1職員名簿'!AN101="●"),IF($E101="正規職員","正",IF($E101="契約上の就業時間を記載","","実績を入力")),"-"))</f>
        <v/>
      </c>
      <c r="R101" s="101" t="str">
        <f>IF($B101="","",IF(OR('②-1職員名簿'!AC101="○",'②-1職員名簿'!AC101="●"),IF($E101="正規職員","正",IF($E101="契約上の就業時間を記載","",IF($E101&gt;=F$5,"常",F101))),"-"))</f>
        <v/>
      </c>
      <c r="S101" s="101" t="str">
        <f>IF($B101="","",IF(OR('②-1職員名簿'!AD101="○",'②-1職員名簿'!AD101="●"),IF($E101="正規職員","正",IF($E101="契約上の就業時間を記載","",IF($E101&gt;=G$5,"常",G101))),"-"))</f>
        <v/>
      </c>
      <c r="T101" s="101" t="str">
        <f>IF($B101="","",IF(OR('②-1職員名簿'!AE101="○",'②-1職員名簿'!AE101="●"),IF($E101="正規職員","正",IF($E101="契約上の就業時間を記載","",IF($E101&gt;=H$5,"常",H101))),"-"))</f>
        <v/>
      </c>
      <c r="U101" s="101" t="str">
        <f>IF($B101="","",IF(OR('②-1職員名簿'!AF101="○",'②-1職員名簿'!AF101="●"),IF($E101="正規職員","正",IF($E101="契約上の就業時間を記載","",IF($E101&gt;=I$5,"常",I101))),"-"))</f>
        <v/>
      </c>
      <c r="V101" s="101" t="str">
        <f>IF($B101="","",IF(OR('②-1職員名簿'!AG101="○",'②-1職員名簿'!AG101="●"),IF($E101="正規職員","正",IF($E101="契約上の就業時間を記載","",IF($E101&gt;=J$5,"常",J101))),"-"))</f>
        <v/>
      </c>
      <c r="W101" s="101" t="str">
        <f>IF($B101="","",IF(OR('②-1職員名簿'!AH101="○",'②-1職員名簿'!AH101="●"),IF($E101="正規職員","正",IF($E101="契約上の就業時間を記載","",IF($E101&gt;=K$5,"常",K101))),"-"))</f>
        <v/>
      </c>
      <c r="X101" s="101" t="str">
        <f>IF($B101="","",IF(OR('②-1職員名簿'!AI101="○",'②-1職員名簿'!AI101="●"),IF($E101="正規職員","正",IF($E101="契約上の就業時間を記載","",IF($E101&gt;=L$5,"常",L101))),"-"))</f>
        <v/>
      </c>
      <c r="Y101" s="101" t="str">
        <f>IF($B101="","",IF(OR('②-1職員名簿'!AJ101="○",'②-1職員名簿'!AJ101="●"),IF($E101="正規職員","正",IF($E101="契約上の就業時間を記載","",IF($E101&gt;=M$5,"常",M101))),"-"))</f>
        <v/>
      </c>
      <c r="Z101" s="101" t="str">
        <f>IF($B101="","",IF(OR('②-1職員名簿'!AK101="○",'②-1職員名簿'!AK101="●"),IF($E101="正規職員","正",IF($E101="契約上の就業時間を記載","",IF($E101&gt;=N$5,"常",N101))),"-"))</f>
        <v/>
      </c>
      <c r="AA101" s="101" t="str">
        <f>IF($B101="","",IF(OR('②-1職員名簿'!AL101="○",'②-1職員名簿'!AL101="●"),IF($E101="正規職員","正",IF($E101="契約上の就業時間を記載","",IF($E101&gt;=O$5,"常",O101))),"-"))</f>
        <v/>
      </c>
      <c r="AB101" s="101" t="str">
        <f>IF($B101="","",IF(OR('②-1職員名簿'!AM101="○",'②-1職員名簿'!AM101="●"),IF($E101="正規職員","正",IF($E101="契約上の就業時間を記載","",IF($E101&gt;=P$5,"常",P101))),"-"))</f>
        <v/>
      </c>
      <c r="AC101" s="101" t="str">
        <f>IF($B101="","",IF(OR('②-1職員名簿'!AN101="○",'②-1職員名簿'!AN101="●"),IF($E101="正規職員","正",IF($E101="契約上の就業時間を記載","",IF($E101&gt;=Q$5,"常",Q101))),"-"))</f>
        <v/>
      </c>
      <c r="AE101" s="98" t="str">
        <f>IF('②-1職員名簿'!W101="","",'②-1職員名簿'!W101)</f>
        <v/>
      </c>
      <c r="AJ101" s="18" t="str">
        <f t="shared" si="25"/>
        <v>○</v>
      </c>
      <c r="AK101" s="18" t="str">
        <f t="shared" si="26"/>
        <v>○</v>
      </c>
      <c r="AL101" s="18" t="str">
        <f t="shared" si="27"/>
        <v>○</v>
      </c>
      <c r="AM101" s="18" t="str">
        <f t="shared" si="28"/>
        <v>○</v>
      </c>
      <c r="AN101" s="18" t="str">
        <f t="shared" si="29"/>
        <v>○</v>
      </c>
      <c r="AO101" s="18" t="str">
        <f t="shared" si="30"/>
        <v>○</v>
      </c>
      <c r="AP101" s="18" t="str">
        <f t="shared" si="31"/>
        <v>○</v>
      </c>
      <c r="AQ101" s="18" t="str">
        <f t="shared" si="32"/>
        <v>○</v>
      </c>
      <c r="AR101" s="18" t="str">
        <f t="shared" si="33"/>
        <v>○</v>
      </c>
      <c r="AS101" s="18" t="str">
        <f t="shared" si="34"/>
        <v>○</v>
      </c>
      <c r="AT101" s="18" t="str">
        <f t="shared" si="35"/>
        <v>○</v>
      </c>
      <c r="AU101" s="18" t="str">
        <f t="shared" si="36"/>
        <v>○</v>
      </c>
    </row>
    <row r="102" spans="1:47" s="103" customFormat="1" ht="23.15" customHeight="1">
      <c r="A102" s="99">
        <v>96</v>
      </c>
      <c r="B102" s="98" t="str">
        <f>IF('②-1職員名簿'!E102="","",'②-1職員名簿'!Y102)</f>
        <v/>
      </c>
      <c r="C102" s="101" t="str">
        <f>'②-1職員名簿'!BE102</f>
        <v/>
      </c>
      <c r="D102" s="132" t="str">
        <f t="shared" si="24"/>
        <v/>
      </c>
      <c r="E102" s="19" t="str">
        <f>IF($B102="","",IF(AND('②-1職員名簿'!C102="正",'②-1職員名簿'!D102="常"),"正規職員","契約上の就業時間を記載"))</f>
        <v/>
      </c>
      <c r="F102" s="10" t="str">
        <f>IF($B102="","",IF(OR('②-1職員名簿'!AC102="○",'②-1職員名簿'!AC102="●"),IF($E102="正規職員","正",IF($E102="契約上の就業時間を記載","","見込を入力")),"-"))</f>
        <v/>
      </c>
      <c r="G102" s="10" t="str">
        <f>IF($B102="","",IF(OR('②-1職員名簿'!AD102="○",'②-1職員名簿'!AD102="●"),IF($E102="正規職員","正",IF($E102="契約上の就業時間を記載","","実績を入力")),"-"))</f>
        <v/>
      </c>
      <c r="H102" s="10" t="str">
        <f>IF($B102="","",IF(OR('②-1職員名簿'!AE102="○",'②-1職員名簿'!AE102="●"),IF($E102="正規職員","正",IF($E102="契約上の就業時間を記載","","実績を入力")),"-"))</f>
        <v/>
      </c>
      <c r="I102" s="10" t="str">
        <f>IF($B102="","",IF(OR('②-1職員名簿'!AF102="○",'②-1職員名簿'!AF102="●"),IF($E102="正規職員","正",IF($E102="契約上の就業時間を記載","","実績を入力")),"-"))</f>
        <v/>
      </c>
      <c r="J102" s="10" t="str">
        <f>IF($B102="","",IF(OR('②-1職員名簿'!AG102="○",'②-1職員名簿'!AG102="●"),IF($E102="正規職員","正",IF($E102="契約上の就業時間を記載","","実績を入力")),"-"))</f>
        <v/>
      </c>
      <c r="K102" s="10" t="str">
        <f>IF($B102="","",IF(OR('②-1職員名簿'!AH102="○",'②-1職員名簿'!AH102="●"),IF($E102="正規職員","正",IF($E102="契約上の就業時間を記載","","実績を入力")),"-"))</f>
        <v/>
      </c>
      <c r="L102" s="10" t="str">
        <f>IF($B102="","",IF(OR('②-1職員名簿'!AI102="○",'②-1職員名簿'!AI102="●"),IF($E102="正規職員","正",IF($E102="契約上の就業時間を記載","","実績を入力")),"-"))</f>
        <v/>
      </c>
      <c r="M102" s="10" t="str">
        <f>IF($B102="","",IF(OR('②-1職員名簿'!AJ102="○",'②-1職員名簿'!AJ102="●"),IF($E102="正規職員","正",IF($E102="契約上の就業時間を記載","","実績を入力")),"-"))</f>
        <v/>
      </c>
      <c r="N102" s="10" t="str">
        <f>IF($B102="","",IF(OR('②-1職員名簿'!AK102="○",'②-1職員名簿'!AK102="●"),IF($E102="正規職員","正",IF($E102="契約上の就業時間を記載","","実績を入力")),"-"))</f>
        <v/>
      </c>
      <c r="O102" s="10" t="str">
        <f>IF($B102="","",IF(OR('②-1職員名簿'!AL102="○",'②-1職員名簿'!AL102="●"),IF($E102="正規職員","正",IF($E102="契約上の就業時間を記載","","実績を入力")),"-"))</f>
        <v/>
      </c>
      <c r="P102" s="10" t="str">
        <f>IF($B102="","",IF(OR('②-1職員名簿'!AM102="○",'②-1職員名簿'!AM102="●"),IF($E102="正規職員","正",IF($E102="契約上の就業時間を記載","","実績を入力")),"-"))</f>
        <v/>
      </c>
      <c r="Q102" s="10" t="str">
        <f>IF($B102="","",IF(OR('②-1職員名簿'!AN102="○",'②-1職員名簿'!AN102="●"),IF($E102="正規職員","正",IF($E102="契約上の就業時間を記載","","実績を入力")),"-"))</f>
        <v/>
      </c>
      <c r="R102" s="101" t="str">
        <f>IF($B102="","",IF(OR('②-1職員名簿'!AC102="○",'②-1職員名簿'!AC102="●"),IF($E102="正規職員","正",IF($E102="契約上の就業時間を記載","",IF($E102&gt;=F$5,"常",F102))),"-"))</f>
        <v/>
      </c>
      <c r="S102" s="101" t="str">
        <f>IF($B102="","",IF(OR('②-1職員名簿'!AD102="○",'②-1職員名簿'!AD102="●"),IF($E102="正規職員","正",IF($E102="契約上の就業時間を記載","",IF($E102&gt;=G$5,"常",G102))),"-"))</f>
        <v/>
      </c>
      <c r="T102" s="101" t="str">
        <f>IF($B102="","",IF(OR('②-1職員名簿'!AE102="○",'②-1職員名簿'!AE102="●"),IF($E102="正規職員","正",IF($E102="契約上の就業時間を記載","",IF($E102&gt;=H$5,"常",H102))),"-"))</f>
        <v/>
      </c>
      <c r="U102" s="101" t="str">
        <f>IF($B102="","",IF(OR('②-1職員名簿'!AF102="○",'②-1職員名簿'!AF102="●"),IF($E102="正規職員","正",IF($E102="契約上の就業時間を記載","",IF($E102&gt;=I$5,"常",I102))),"-"))</f>
        <v/>
      </c>
      <c r="V102" s="101" t="str">
        <f>IF($B102="","",IF(OR('②-1職員名簿'!AG102="○",'②-1職員名簿'!AG102="●"),IF($E102="正規職員","正",IF($E102="契約上の就業時間を記載","",IF($E102&gt;=J$5,"常",J102))),"-"))</f>
        <v/>
      </c>
      <c r="W102" s="101" t="str">
        <f>IF($B102="","",IF(OR('②-1職員名簿'!AH102="○",'②-1職員名簿'!AH102="●"),IF($E102="正規職員","正",IF($E102="契約上の就業時間を記載","",IF($E102&gt;=K$5,"常",K102))),"-"))</f>
        <v/>
      </c>
      <c r="X102" s="101" t="str">
        <f>IF($B102="","",IF(OR('②-1職員名簿'!AI102="○",'②-1職員名簿'!AI102="●"),IF($E102="正規職員","正",IF($E102="契約上の就業時間を記載","",IF($E102&gt;=L$5,"常",L102))),"-"))</f>
        <v/>
      </c>
      <c r="Y102" s="101" t="str">
        <f>IF($B102="","",IF(OR('②-1職員名簿'!AJ102="○",'②-1職員名簿'!AJ102="●"),IF($E102="正規職員","正",IF($E102="契約上の就業時間を記載","",IF($E102&gt;=M$5,"常",M102))),"-"))</f>
        <v/>
      </c>
      <c r="Z102" s="101" t="str">
        <f>IF($B102="","",IF(OR('②-1職員名簿'!AK102="○",'②-1職員名簿'!AK102="●"),IF($E102="正規職員","正",IF($E102="契約上の就業時間を記載","",IF($E102&gt;=N$5,"常",N102))),"-"))</f>
        <v/>
      </c>
      <c r="AA102" s="101" t="str">
        <f>IF($B102="","",IF(OR('②-1職員名簿'!AL102="○",'②-1職員名簿'!AL102="●"),IF($E102="正規職員","正",IF($E102="契約上の就業時間を記載","",IF($E102&gt;=O$5,"常",O102))),"-"))</f>
        <v/>
      </c>
      <c r="AB102" s="101" t="str">
        <f>IF($B102="","",IF(OR('②-1職員名簿'!AM102="○",'②-1職員名簿'!AM102="●"),IF($E102="正規職員","正",IF($E102="契約上の就業時間を記載","",IF($E102&gt;=P$5,"常",P102))),"-"))</f>
        <v/>
      </c>
      <c r="AC102" s="101" t="str">
        <f>IF($B102="","",IF(OR('②-1職員名簿'!AN102="○",'②-1職員名簿'!AN102="●"),IF($E102="正規職員","正",IF($E102="契約上の就業時間を記載","",IF($E102&gt;=Q$5,"常",Q102))),"-"))</f>
        <v/>
      </c>
      <c r="AE102" s="98" t="str">
        <f>IF('②-1職員名簿'!W102="","",'②-1職員名簿'!W102)</f>
        <v/>
      </c>
      <c r="AJ102" s="18" t="str">
        <f t="shared" si="25"/>
        <v>○</v>
      </c>
      <c r="AK102" s="18" t="str">
        <f t="shared" si="26"/>
        <v>○</v>
      </c>
      <c r="AL102" s="18" t="str">
        <f t="shared" si="27"/>
        <v>○</v>
      </c>
      <c r="AM102" s="18" t="str">
        <f t="shared" si="28"/>
        <v>○</v>
      </c>
      <c r="AN102" s="18" t="str">
        <f t="shared" si="29"/>
        <v>○</v>
      </c>
      <c r="AO102" s="18" t="str">
        <f t="shared" si="30"/>
        <v>○</v>
      </c>
      <c r="AP102" s="18" t="str">
        <f t="shared" si="31"/>
        <v>○</v>
      </c>
      <c r="AQ102" s="18" t="str">
        <f t="shared" si="32"/>
        <v>○</v>
      </c>
      <c r="AR102" s="18" t="str">
        <f t="shared" si="33"/>
        <v>○</v>
      </c>
      <c r="AS102" s="18" t="str">
        <f t="shared" si="34"/>
        <v>○</v>
      </c>
      <c r="AT102" s="18" t="str">
        <f t="shared" si="35"/>
        <v>○</v>
      </c>
      <c r="AU102" s="18" t="str">
        <f t="shared" si="36"/>
        <v>○</v>
      </c>
    </row>
    <row r="103" spans="1:47" s="103" customFormat="1" ht="23.15" customHeight="1">
      <c r="A103" s="99">
        <v>97</v>
      </c>
      <c r="B103" s="98" t="str">
        <f>IF('②-1職員名簿'!E103="","",'②-1職員名簿'!Y103)</f>
        <v/>
      </c>
      <c r="C103" s="101" t="str">
        <f>'②-1職員名簿'!BE103</f>
        <v/>
      </c>
      <c r="D103" s="132" t="str">
        <f t="shared" si="24"/>
        <v/>
      </c>
      <c r="E103" s="19" t="str">
        <f>IF($B103="","",IF(AND('②-1職員名簿'!C103="正",'②-1職員名簿'!D103="常"),"正規職員","契約上の就業時間を記載"))</f>
        <v/>
      </c>
      <c r="F103" s="10" t="str">
        <f>IF($B103="","",IF(OR('②-1職員名簿'!AC103="○",'②-1職員名簿'!AC103="●"),IF($E103="正規職員","正",IF($E103="契約上の就業時間を記載","","見込を入力")),"-"))</f>
        <v/>
      </c>
      <c r="G103" s="10" t="str">
        <f>IF($B103="","",IF(OR('②-1職員名簿'!AD103="○",'②-1職員名簿'!AD103="●"),IF($E103="正規職員","正",IF($E103="契約上の就業時間を記載","","実績を入力")),"-"))</f>
        <v/>
      </c>
      <c r="H103" s="10" t="str">
        <f>IF($B103="","",IF(OR('②-1職員名簿'!AE103="○",'②-1職員名簿'!AE103="●"),IF($E103="正規職員","正",IF($E103="契約上の就業時間を記載","","実績を入力")),"-"))</f>
        <v/>
      </c>
      <c r="I103" s="10" t="str">
        <f>IF($B103="","",IF(OR('②-1職員名簿'!AF103="○",'②-1職員名簿'!AF103="●"),IF($E103="正規職員","正",IF($E103="契約上の就業時間を記載","","実績を入力")),"-"))</f>
        <v/>
      </c>
      <c r="J103" s="10" t="str">
        <f>IF($B103="","",IF(OR('②-1職員名簿'!AG103="○",'②-1職員名簿'!AG103="●"),IF($E103="正規職員","正",IF($E103="契約上の就業時間を記載","","実績を入力")),"-"))</f>
        <v/>
      </c>
      <c r="K103" s="10" t="str">
        <f>IF($B103="","",IF(OR('②-1職員名簿'!AH103="○",'②-1職員名簿'!AH103="●"),IF($E103="正規職員","正",IF($E103="契約上の就業時間を記載","","実績を入力")),"-"))</f>
        <v/>
      </c>
      <c r="L103" s="10" t="str">
        <f>IF($B103="","",IF(OR('②-1職員名簿'!AI103="○",'②-1職員名簿'!AI103="●"),IF($E103="正規職員","正",IF($E103="契約上の就業時間を記載","","実績を入力")),"-"))</f>
        <v/>
      </c>
      <c r="M103" s="10" t="str">
        <f>IF($B103="","",IF(OR('②-1職員名簿'!AJ103="○",'②-1職員名簿'!AJ103="●"),IF($E103="正規職員","正",IF($E103="契約上の就業時間を記載","","実績を入力")),"-"))</f>
        <v/>
      </c>
      <c r="N103" s="10" t="str">
        <f>IF($B103="","",IF(OR('②-1職員名簿'!AK103="○",'②-1職員名簿'!AK103="●"),IF($E103="正規職員","正",IF($E103="契約上の就業時間を記載","","実績を入力")),"-"))</f>
        <v/>
      </c>
      <c r="O103" s="10" t="str">
        <f>IF($B103="","",IF(OR('②-1職員名簿'!AL103="○",'②-1職員名簿'!AL103="●"),IF($E103="正規職員","正",IF($E103="契約上の就業時間を記載","","実績を入力")),"-"))</f>
        <v/>
      </c>
      <c r="P103" s="10" t="str">
        <f>IF($B103="","",IF(OR('②-1職員名簿'!AM103="○",'②-1職員名簿'!AM103="●"),IF($E103="正規職員","正",IF($E103="契約上の就業時間を記載","","実績を入力")),"-"))</f>
        <v/>
      </c>
      <c r="Q103" s="10" t="str">
        <f>IF($B103="","",IF(OR('②-1職員名簿'!AN103="○",'②-1職員名簿'!AN103="●"),IF($E103="正規職員","正",IF($E103="契約上の就業時間を記載","","実績を入力")),"-"))</f>
        <v/>
      </c>
      <c r="R103" s="101" t="str">
        <f>IF($B103="","",IF(OR('②-1職員名簿'!AC103="○",'②-1職員名簿'!AC103="●"),IF($E103="正規職員","正",IF($E103="契約上の就業時間を記載","",IF($E103&gt;=F$5,"常",F103))),"-"))</f>
        <v/>
      </c>
      <c r="S103" s="101" t="str">
        <f>IF($B103="","",IF(OR('②-1職員名簿'!AD103="○",'②-1職員名簿'!AD103="●"),IF($E103="正規職員","正",IF($E103="契約上の就業時間を記載","",IF($E103&gt;=G$5,"常",G103))),"-"))</f>
        <v/>
      </c>
      <c r="T103" s="101" t="str">
        <f>IF($B103="","",IF(OR('②-1職員名簿'!AE103="○",'②-1職員名簿'!AE103="●"),IF($E103="正規職員","正",IF($E103="契約上の就業時間を記載","",IF($E103&gt;=H$5,"常",H103))),"-"))</f>
        <v/>
      </c>
      <c r="U103" s="101" t="str">
        <f>IF($B103="","",IF(OR('②-1職員名簿'!AF103="○",'②-1職員名簿'!AF103="●"),IF($E103="正規職員","正",IF($E103="契約上の就業時間を記載","",IF($E103&gt;=I$5,"常",I103))),"-"))</f>
        <v/>
      </c>
      <c r="V103" s="101" t="str">
        <f>IF($B103="","",IF(OR('②-1職員名簿'!AG103="○",'②-1職員名簿'!AG103="●"),IF($E103="正規職員","正",IF($E103="契約上の就業時間を記載","",IF($E103&gt;=J$5,"常",J103))),"-"))</f>
        <v/>
      </c>
      <c r="W103" s="101" t="str">
        <f>IF($B103="","",IF(OR('②-1職員名簿'!AH103="○",'②-1職員名簿'!AH103="●"),IF($E103="正規職員","正",IF($E103="契約上の就業時間を記載","",IF($E103&gt;=K$5,"常",K103))),"-"))</f>
        <v/>
      </c>
      <c r="X103" s="101" t="str">
        <f>IF($B103="","",IF(OR('②-1職員名簿'!AI103="○",'②-1職員名簿'!AI103="●"),IF($E103="正規職員","正",IF($E103="契約上の就業時間を記載","",IF($E103&gt;=L$5,"常",L103))),"-"))</f>
        <v/>
      </c>
      <c r="Y103" s="101" t="str">
        <f>IF($B103="","",IF(OR('②-1職員名簿'!AJ103="○",'②-1職員名簿'!AJ103="●"),IF($E103="正規職員","正",IF($E103="契約上の就業時間を記載","",IF($E103&gt;=M$5,"常",M103))),"-"))</f>
        <v/>
      </c>
      <c r="Z103" s="101" t="str">
        <f>IF($B103="","",IF(OR('②-1職員名簿'!AK103="○",'②-1職員名簿'!AK103="●"),IF($E103="正規職員","正",IF($E103="契約上の就業時間を記載","",IF($E103&gt;=N$5,"常",N103))),"-"))</f>
        <v/>
      </c>
      <c r="AA103" s="101" t="str">
        <f>IF($B103="","",IF(OR('②-1職員名簿'!AL103="○",'②-1職員名簿'!AL103="●"),IF($E103="正規職員","正",IF($E103="契約上の就業時間を記載","",IF($E103&gt;=O$5,"常",O103))),"-"))</f>
        <v/>
      </c>
      <c r="AB103" s="101" t="str">
        <f>IF($B103="","",IF(OR('②-1職員名簿'!AM103="○",'②-1職員名簿'!AM103="●"),IF($E103="正規職員","正",IF($E103="契約上の就業時間を記載","",IF($E103&gt;=P$5,"常",P103))),"-"))</f>
        <v/>
      </c>
      <c r="AC103" s="101" t="str">
        <f>IF($B103="","",IF(OR('②-1職員名簿'!AN103="○",'②-1職員名簿'!AN103="●"),IF($E103="正規職員","正",IF($E103="契約上の就業時間を記載","",IF($E103&gt;=Q$5,"常",Q103))),"-"))</f>
        <v/>
      </c>
      <c r="AE103" s="98" t="str">
        <f>IF('②-1職員名簿'!W103="","",'②-1職員名簿'!W103)</f>
        <v/>
      </c>
      <c r="AJ103" s="18" t="str">
        <f t="shared" si="25"/>
        <v>○</v>
      </c>
      <c r="AK103" s="18" t="str">
        <f t="shared" si="26"/>
        <v>○</v>
      </c>
      <c r="AL103" s="18" t="str">
        <f t="shared" si="27"/>
        <v>○</v>
      </c>
      <c r="AM103" s="18" t="str">
        <f t="shared" si="28"/>
        <v>○</v>
      </c>
      <c r="AN103" s="18" t="str">
        <f t="shared" si="29"/>
        <v>○</v>
      </c>
      <c r="AO103" s="18" t="str">
        <f t="shared" si="30"/>
        <v>○</v>
      </c>
      <c r="AP103" s="18" t="str">
        <f t="shared" si="31"/>
        <v>○</v>
      </c>
      <c r="AQ103" s="18" t="str">
        <f t="shared" si="32"/>
        <v>○</v>
      </c>
      <c r="AR103" s="18" t="str">
        <f t="shared" si="33"/>
        <v>○</v>
      </c>
      <c r="AS103" s="18" t="str">
        <f t="shared" si="34"/>
        <v>○</v>
      </c>
      <c r="AT103" s="18" t="str">
        <f t="shared" si="35"/>
        <v>○</v>
      </c>
      <c r="AU103" s="18" t="str">
        <f t="shared" si="36"/>
        <v>○</v>
      </c>
    </row>
    <row r="104" spans="1:47" s="103" customFormat="1" ht="23.15" customHeight="1">
      <c r="A104" s="99">
        <v>98</v>
      </c>
      <c r="B104" s="98" t="str">
        <f>IF('②-1職員名簿'!E104="","",'②-1職員名簿'!Y104)</f>
        <v/>
      </c>
      <c r="C104" s="101" t="str">
        <f>'②-1職員名簿'!BE104</f>
        <v/>
      </c>
      <c r="D104" s="132" t="str">
        <f t="shared" si="24"/>
        <v/>
      </c>
      <c r="E104" s="19" t="str">
        <f>IF($B104="","",IF(AND('②-1職員名簿'!C104="正",'②-1職員名簿'!D104="常"),"正規職員","契約上の就業時間を記載"))</f>
        <v/>
      </c>
      <c r="F104" s="10" t="str">
        <f>IF($B104="","",IF(OR('②-1職員名簿'!AC104="○",'②-1職員名簿'!AC104="●"),IF($E104="正規職員","正",IF($E104="契約上の就業時間を記載","","見込を入力")),"-"))</f>
        <v/>
      </c>
      <c r="G104" s="10" t="str">
        <f>IF($B104="","",IF(OR('②-1職員名簿'!AD104="○",'②-1職員名簿'!AD104="●"),IF($E104="正規職員","正",IF($E104="契約上の就業時間を記載","","実績を入力")),"-"))</f>
        <v/>
      </c>
      <c r="H104" s="10" t="str">
        <f>IF($B104="","",IF(OR('②-1職員名簿'!AE104="○",'②-1職員名簿'!AE104="●"),IF($E104="正規職員","正",IF($E104="契約上の就業時間を記載","","実績を入力")),"-"))</f>
        <v/>
      </c>
      <c r="I104" s="10" t="str">
        <f>IF($B104="","",IF(OR('②-1職員名簿'!AF104="○",'②-1職員名簿'!AF104="●"),IF($E104="正規職員","正",IF($E104="契約上の就業時間を記載","","実績を入力")),"-"))</f>
        <v/>
      </c>
      <c r="J104" s="10" t="str">
        <f>IF($B104="","",IF(OR('②-1職員名簿'!AG104="○",'②-1職員名簿'!AG104="●"),IF($E104="正規職員","正",IF($E104="契約上の就業時間を記載","","実績を入力")),"-"))</f>
        <v/>
      </c>
      <c r="K104" s="10" t="str">
        <f>IF($B104="","",IF(OR('②-1職員名簿'!AH104="○",'②-1職員名簿'!AH104="●"),IF($E104="正規職員","正",IF($E104="契約上の就業時間を記載","","実績を入力")),"-"))</f>
        <v/>
      </c>
      <c r="L104" s="10" t="str">
        <f>IF($B104="","",IF(OR('②-1職員名簿'!AI104="○",'②-1職員名簿'!AI104="●"),IF($E104="正規職員","正",IF($E104="契約上の就業時間を記載","","実績を入力")),"-"))</f>
        <v/>
      </c>
      <c r="M104" s="10" t="str">
        <f>IF($B104="","",IF(OR('②-1職員名簿'!AJ104="○",'②-1職員名簿'!AJ104="●"),IF($E104="正規職員","正",IF($E104="契約上の就業時間を記載","","実績を入力")),"-"))</f>
        <v/>
      </c>
      <c r="N104" s="10" t="str">
        <f>IF($B104="","",IF(OR('②-1職員名簿'!AK104="○",'②-1職員名簿'!AK104="●"),IF($E104="正規職員","正",IF($E104="契約上の就業時間を記載","","実績を入力")),"-"))</f>
        <v/>
      </c>
      <c r="O104" s="10" t="str">
        <f>IF($B104="","",IF(OR('②-1職員名簿'!AL104="○",'②-1職員名簿'!AL104="●"),IF($E104="正規職員","正",IF($E104="契約上の就業時間を記載","","実績を入力")),"-"))</f>
        <v/>
      </c>
      <c r="P104" s="10" t="str">
        <f>IF($B104="","",IF(OR('②-1職員名簿'!AM104="○",'②-1職員名簿'!AM104="●"),IF($E104="正規職員","正",IF($E104="契約上の就業時間を記載","","実績を入力")),"-"))</f>
        <v/>
      </c>
      <c r="Q104" s="10" t="str">
        <f>IF($B104="","",IF(OR('②-1職員名簿'!AN104="○",'②-1職員名簿'!AN104="●"),IF($E104="正規職員","正",IF($E104="契約上の就業時間を記載","","実績を入力")),"-"))</f>
        <v/>
      </c>
      <c r="R104" s="101" t="str">
        <f>IF($B104="","",IF(OR('②-1職員名簿'!AC104="○",'②-1職員名簿'!AC104="●"),IF($E104="正規職員","正",IF($E104="契約上の就業時間を記載","",IF($E104&gt;=F$5,"常",F104))),"-"))</f>
        <v/>
      </c>
      <c r="S104" s="101" t="str">
        <f>IF($B104="","",IF(OR('②-1職員名簿'!AD104="○",'②-1職員名簿'!AD104="●"),IF($E104="正規職員","正",IF($E104="契約上の就業時間を記載","",IF($E104&gt;=G$5,"常",G104))),"-"))</f>
        <v/>
      </c>
      <c r="T104" s="101" t="str">
        <f>IF($B104="","",IF(OR('②-1職員名簿'!AE104="○",'②-1職員名簿'!AE104="●"),IF($E104="正規職員","正",IF($E104="契約上の就業時間を記載","",IF($E104&gt;=H$5,"常",H104))),"-"))</f>
        <v/>
      </c>
      <c r="U104" s="101" t="str">
        <f>IF($B104="","",IF(OR('②-1職員名簿'!AF104="○",'②-1職員名簿'!AF104="●"),IF($E104="正規職員","正",IF($E104="契約上の就業時間を記載","",IF($E104&gt;=I$5,"常",I104))),"-"))</f>
        <v/>
      </c>
      <c r="V104" s="101" t="str">
        <f>IF($B104="","",IF(OR('②-1職員名簿'!AG104="○",'②-1職員名簿'!AG104="●"),IF($E104="正規職員","正",IF($E104="契約上の就業時間を記載","",IF($E104&gt;=J$5,"常",J104))),"-"))</f>
        <v/>
      </c>
      <c r="W104" s="101" t="str">
        <f>IF($B104="","",IF(OR('②-1職員名簿'!AH104="○",'②-1職員名簿'!AH104="●"),IF($E104="正規職員","正",IF($E104="契約上の就業時間を記載","",IF($E104&gt;=K$5,"常",K104))),"-"))</f>
        <v/>
      </c>
      <c r="X104" s="101" t="str">
        <f>IF($B104="","",IF(OR('②-1職員名簿'!AI104="○",'②-1職員名簿'!AI104="●"),IF($E104="正規職員","正",IF($E104="契約上の就業時間を記載","",IF($E104&gt;=L$5,"常",L104))),"-"))</f>
        <v/>
      </c>
      <c r="Y104" s="101" t="str">
        <f>IF($B104="","",IF(OR('②-1職員名簿'!AJ104="○",'②-1職員名簿'!AJ104="●"),IF($E104="正規職員","正",IF($E104="契約上の就業時間を記載","",IF($E104&gt;=M$5,"常",M104))),"-"))</f>
        <v/>
      </c>
      <c r="Z104" s="101" t="str">
        <f>IF($B104="","",IF(OR('②-1職員名簿'!AK104="○",'②-1職員名簿'!AK104="●"),IF($E104="正規職員","正",IF($E104="契約上の就業時間を記載","",IF($E104&gt;=N$5,"常",N104))),"-"))</f>
        <v/>
      </c>
      <c r="AA104" s="101" t="str">
        <f>IF($B104="","",IF(OR('②-1職員名簿'!AL104="○",'②-1職員名簿'!AL104="●"),IF($E104="正規職員","正",IF($E104="契約上の就業時間を記載","",IF($E104&gt;=O$5,"常",O104))),"-"))</f>
        <v/>
      </c>
      <c r="AB104" s="101" t="str">
        <f>IF($B104="","",IF(OR('②-1職員名簿'!AM104="○",'②-1職員名簿'!AM104="●"),IF($E104="正規職員","正",IF($E104="契約上の就業時間を記載","",IF($E104&gt;=P$5,"常",P104))),"-"))</f>
        <v/>
      </c>
      <c r="AC104" s="101" t="str">
        <f>IF($B104="","",IF(OR('②-1職員名簿'!AN104="○",'②-1職員名簿'!AN104="●"),IF($E104="正規職員","正",IF($E104="契約上の就業時間を記載","",IF($E104&gt;=Q$5,"常",Q104))),"-"))</f>
        <v/>
      </c>
      <c r="AE104" s="98" t="str">
        <f>IF('②-1職員名簿'!W104="","",'②-1職員名簿'!W104)</f>
        <v/>
      </c>
      <c r="AJ104" s="18" t="str">
        <f t="shared" si="25"/>
        <v>○</v>
      </c>
      <c r="AK104" s="18" t="str">
        <f t="shared" si="26"/>
        <v>○</v>
      </c>
      <c r="AL104" s="18" t="str">
        <f t="shared" si="27"/>
        <v>○</v>
      </c>
      <c r="AM104" s="18" t="str">
        <f t="shared" si="28"/>
        <v>○</v>
      </c>
      <c r="AN104" s="18" t="str">
        <f t="shared" si="29"/>
        <v>○</v>
      </c>
      <c r="AO104" s="18" t="str">
        <f t="shared" si="30"/>
        <v>○</v>
      </c>
      <c r="AP104" s="18" t="str">
        <f t="shared" si="31"/>
        <v>○</v>
      </c>
      <c r="AQ104" s="18" t="str">
        <f t="shared" si="32"/>
        <v>○</v>
      </c>
      <c r="AR104" s="18" t="str">
        <f t="shared" si="33"/>
        <v>○</v>
      </c>
      <c r="AS104" s="18" t="str">
        <f t="shared" si="34"/>
        <v>○</v>
      </c>
      <c r="AT104" s="18" t="str">
        <f t="shared" si="35"/>
        <v>○</v>
      </c>
      <c r="AU104" s="18" t="str">
        <f t="shared" si="36"/>
        <v>○</v>
      </c>
    </row>
    <row r="105" spans="1:47" s="103" customFormat="1" ht="23.15" customHeight="1">
      <c r="A105" s="99">
        <v>99</v>
      </c>
      <c r="B105" s="98" t="str">
        <f>IF('②-1職員名簿'!E105="","",'②-1職員名簿'!Y105)</f>
        <v/>
      </c>
      <c r="C105" s="101" t="str">
        <f>'②-1職員名簿'!BE105</f>
        <v/>
      </c>
      <c r="D105" s="132" t="str">
        <f t="shared" si="24"/>
        <v/>
      </c>
      <c r="E105" s="19" t="str">
        <f>IF($B105="","",IF(AND('②-1職員名簿'!C105="正",'②-1職員名簿'!D105="常"),"正規職員","契約上の就業時間を記載"))</f>
        <v/>
      </c>
      <c r="F105" s="10" t="str">
        <f>IF($B105="","",IF(OR('②-1職員名簿'!AC105="○",'②-1職員名簿'!AC105="●"),IF($E105="正規職員","正",IF($E105="契約上の就業時間を記載","","見込を入力")),"-"))</f>
        <v/>
      </c>
      <c r="G105" s="10" t="str">
        <f>IF($B105="","",IF(OR('②-1職員名簿'!AD105="○",'②-1職員名簿'!AD105="●"),IF($E105="正規職員","正",IF($E105="契約上の就業時間を記載","","実績を入力")),"-"))</f>
        <v/>
      </c>
      <c r="H105" s="10" t="str">
        <f>IF($B105="","",IF(OR('②-1職員名簿'!AE105="○",'②-1職員名簿'!AE105="●"),IF($E105="正規職員","正",IF($E105="契約上の就業時間を記載","","実績を入力")),"-"))</f>
        <v/>
      </c>
      <c r="I105" s="10" t="str">
        <f>IF($B105="","",IF(OR('②-1職員名簿'!AF105="○",'②-1職員名簿'!AF105="●"),IF($E105="正規職員","正",IF($E105="契約上の就業時間を記載","","実績を入力")),"-"))</f>
        <v/>
      </c>
      <c r="J105" s="10" t="str">
        <f>IF($B105="","",IF(OR('②-1職員名簿'!AG105="○",'②-1職員名簿'!AG105="●"),IF($E105="正規職員","正",IF($E105="契約上の就業時間を記載","","実績を入力")),"-"))</f>
        <v/>
      </c>
      <c r="K105" s="10" t="str">
        <f>IF($B105="","",IF(OR('②-1職員名簿'!AH105="○",'②-1職員名簿'!AH105="●"),IF($E105="正規職員","正",IF($E105="契約上の就業時間を記載","","実績を入力")),"-"))</f>
        <v/>
      </c>
      <c r="L105" s="10" t="str">
        <f>IF($B105="","",IF(OR('②-1職員名簿'!AI105="○",'②-1職員名簿'!AI105="●"),IF($E105="正規職員","正",IF($E105="契約上の就業時間を記載","","実績を入力")),"-"))</f>
        <v/>
      </c>
      <c r="M105" s="10" t="str">
        <f>IF($B105="","",IF(OR('②-1職員名簿'!AJ105="○",'②-1職員名簿'!AJ105="●"),IF($E105="正規職員","正",IF($E105="契約上の就業時間を記載","","実績を入力")),"-"))</f>
        <v/>
      </c>
      <c r="N105" s="10" t="str">
        <f>IF($B105="","",IF(OR('②-1職員名簿'!AK105="○",'②-1職員名簿'!AK105="●"),IF($E105="正規職員","正",IF($E105="契約上の就業時間を記載","","実績を入力")),"-"))</f>
        <v/>
      </c>
      <c r="O105" s="10" t="str">
        <f>IF($B105="","",IF(OR('②-1職員名簿'!AL105="○",'②-1職員名簿'!AL105="●"),IF($E105="正規職員","正",IF($E105="契約上の就業時間を記載","","実績を入力")),"-"))</f>
        <v/>
      </c>
      <c r="P105" s="10" t="str">
        <f>IF($B105="","",IF(OR('②-1職員名簿'!AM105="○",'②-1職員名簿'!AM105="●"),IF($E105="正規職員","正",IF($E105="契約上の就業時間を記載","","実績を入力")),"-"))</f>
        <v/>
      </c>
      <c r="Q105" s="10" t="str">
        <f>IF($B105="","",IF(OR('②-1職員名簿'!AN105="○",'②-1職員名簿'!AN105="●"),IF($E105="正規職員","正",IF($E105="契約上の就業時間を記載","","実績を入力")),"-"))</f>
        <v/>
      </c>
      <c r="R105" s="101" t="str">
        <f>IF($B105="","",IF(OR('②-1職員名簿'!AC105="○",'②-1職員名簿'!AC105="●"),IF($E105="正規職員","正",IF($E105="契約上の就業時間を記載","",IF($E105&gt;=F$5,"常",F105))),"-"))</f>
        <v/>
      </c>
      <c r="S105" s="101" t="str">
        <f>IF($B105="","",IF(OR('②-1職員名簿'!AD105="○",'②-1職員名簿'!AD105="●"),IF($E105="正規職員","正",IF($E105="契約上の就業時間を記載","",IF($E105&gt;=G$5,"常",G105))),"-"))</f>
        <v/>
      </c>
      <c r="T105" s="101" t="str">
        <f>IF($B105="","",IF(OR('②-1職員名簿'!AE105="○",'②-1職員名簿'!AE105="●"),IF($E105="正規職員","正",IF($E105="契約上の就業時間を記載","",IF($E105&gt;=H$5,"常",H105))),"-"))</f>
        <v/>
      </c>
      <c r="U105" s="101" t="str">
        <f>IF($B105="","",IF(OR('②-1職員名簿'!AF105="○",'②-1職員名簿'!AF105="●"),IF($E105="正規職員","正",IF($E105="契約上の就業時間を記載","",IF($E105&gt;=I$5,"常",I105))),"-"))</f>
        <v/>
      </c>
      <c r="V105" s="101" t="str">
        <f>IF($B105="","",IF(OR('②-1職員名簿'!AG105="○",'②-1職員名簿'!AG105="●"),IF($E105="正規職員","正",IF($E105="契約上の就業時間を記載","",IF($E105&gt;=J$5,"常",J105))),"-"))</f>
        <v/>
      </c>
      <c r="W105" s="101" t="str">
        <f>IF($B105="","",IF(OR('②-1職員名簿'!AH105="○",'②-1職員名簿'!AH105="●"),IF($E105="正規職員","正",IF($E105="契約上の就業時間を記載","",IF($E105&gt;=K$5,"常",K105))),"-"))</f>
        <v/>
      </c>
      <c r="X105" s="101" t="str">
        <f>IF($B105="","",IF(OR('②-1職員名簿'!AI105="○",'②-1職員名簿'!AI105="●"),IF($E105="正規職員","正",IF($E105="契約上の就業時間を記載","",IF($E105&gt;=L$5,"常",L105))),"-"))</f>
        <v/>
      </c>
      <c r="Y105" s="101" t="str">
        <f>IF($B105="","",IF(OR('②-1職員名簿'!AJ105="○",'②-1職員名簿'!AJ105="●"),IF($E105="正規職員","正",IF($E105="契約上の就業時間を記載","",IF($E105&gt;=M$5,"常",M105))),"-"))</f>
        <v/>
      </c>
      <c r="Z105" s="101" t="str">
        <f>IF($B105="","",IF(OR('②-1職員名簿'!AK105="○",'②-1職員名簿'!AK105="●"),IF($E105="正規職員","正",IF($E105="契約上の就業時間を記載","",IF($E105&gt;=N$5,"常",N105))),"-"))</f>
        <v/>
      </c>
      <c r="AA105" s="101" t="str">
        <f>IF($B105="","",IF(OR('②-1職員名簿'!AL105="○",'②-1職員名簿'!AL105="●"),IF($E105="正規職員","正",IF($E105="契約上の就業時間を記載","",IF($E105&gt;=O$5,"常",O105))),"-"))</f>
        <v/>
      </c>
      <c r="AB105" s="101" t="str">
        <f>IF($B105="","",IF(OR('②-1職員名簿'!AM105="○",'②-1職員名簿'!AM105="●"),IF($E105="正規職員","正",IF($E105="契約上の就業時間を記載","",IF($E105&gt;=P$5,"常",P105))),"-"))</f>
        <v/>
      </c>
      <c r="AC105" s="101" t="str">
        <f>IF($B105="","",IF(OR('②-1職員名簿'!AN105="○",'②-1職員名簿'!AN105="●"),IF($E105="正規職員","正",IF($E105="契約上の就業時間を記載","",IF($E105&gt;=Q$5,"常",Q105))),"-"))</f>
        <v/>
      </c>
      <c r="AE105" s="98" t="str">
        <f>IF('②-1職員名簿'!W105="","",'②-1職員名簿'!W105)</f>
        <v/>
      </c>
      <c r="AJ105" s="18" t="str">
        <f t="shared" si="25"/>
        <v>○</v>
      </c>
      <c r="AK105" s="18" t="str">
        <f t="shared" si="26"/>
        <v>○</v>
      </c>
      <c r="AL105" s="18" t="str">
        <f t="shared" si="27"/>
        <v>○</v>
      </c>
      <c r="AM105" s="18" t="str">
        <f t="shared" si="28"/>
        <v>○</v>
      </c>
      <c r="AN105" s="18" t="str">
        <f t="shared" si="29"/>
        <v>○</v>
      </c>
      <c r="AO105" s="18" t="str">
        <f t="shared" si="30"/>
        <v>○</v>
      </c>
      <c r="AP105" s="18" t="str">
        <f t="shared" si="31"/>
        <v>○</v>
      </c>
      <c r="AQ105" s="18" t="str">
        <f t="shared" si="32"/>
        <v>○</v>
      </c>
      <c r="AR105" s="18" t="str">
        <f t="shared" si="33"/>
        <v>○</v>
      </c>
      <c r="AS105" s="18" t="str">
        <f t="shared" si="34"/>
        <v>○</v>
      </c>
      <c r="AT105" s="18" t="str">
        <f t="shared" si="35"/>
        <v>○</v>
      </c>
      <c r="AU105" s="18" t="str">
        <f t="shared" si="36"/>
        <v>○</v>
      </c>
    </row>
    <row r="106" spans="1:47" s="103" customFormat="1" ht="23.15" customHeight="1">
      <c r="A106" s="99">
        <v>100</v>
      </c>
      <c r="B106" s="98" t="str">
        <f>IF('②-1職員名簿'!E106="","",'②-1職員名簿'!Y106)</f>
        <v/>
      </c>
      <c r="C106" s="101" t="str">
        <f>'②-1職員名簿'!BE106</f>
        <v/>
      </c>
      <c r="D106" s="132" t="str">
        <f t="shared" si="24"/>
        <v/>
      </c>
      <c r="E106" s="19" t="str">
        <f>IF($B106="","",IF(AND('②-1職員名簿'!C106="正",'②-1職員名簿'!D106="常"),"正規職員","契約上の就業時間を記載"))</f>
        <v/>
      </c>
      <c r="F106" s="10" t="str">
        <f>IF($B106="","",IF(OR('②-1職員名簿'!AC106="○",'②-1職員名簿'!AC106="●"),IF($E106="正規職員","正",IF($E106="契約上の就業時間を記載","","見込を入力")),"-"))</f>
        <v/>
      </c>
      <c r="G106" s="10" t="str">
        <f>IF($B106="","",IF(OR('②-1職員名簿'!AD106="○",'②-1職員名簿'!AD106="●"),IF($E106="正規職員","正",IF($E106="契約上の就業時間を記載","","実績を入力")),"-"))</f>
        <v/>
      </c>
      <c r="H106" s="10" t="str">
        <f>IF($B106="","",IF(OR('②-1職員名簿'!AE106="○",'②-1職員名簿'!AE106="●"),IF($E106="正規職員","正",IF($E106="契約上の就業時間を記載","","実績を入力")),"-"))</f>
        <v/>
      </c>
      <c r="I106" s="10" t="str">
        <f>IF($B106="","",IF(OR('②-1職員名簿'!AF106="○",'②-1職員名簿'!AF106="●"),IF($E106="正規職員","正",IF($E106="契約上の就業時間を記載","","実績を入力")),"-"))</f>
        <v/>
      </c>
      <c r="J106" s="10" t="str">
        <f>IF($B106="","",IF(OR('②-1職員名簿'!AG106="○",'②-1職員名簿'!AG106="●"),IF($E106="正規職員","正",IF($E106="契約上の就業時間を記載","","実績を入力")),"-"))</f>
        <v/>
      </c>
      <c r="K106" s="10" t="str">
        <f>IF($B106="","",IF(OR('②-1職員名簿'!AH106="○",'②-1職員名簿'!AH106="●"),IF($E106="正規職員","正",IF($E106="契約上の就業時間を記載","","実績を入力")),"-"))</f>
        <v/>
      </c>
      <c r="L106" s="10" t="str">
        <f>IF($B106="","",IF(OR('②-1職員名簿'!AI106="○",'②-1職員名簿'!AI106="●"),IF($E106="正規職員","正",IF($E106="契約上の就業時間を記載","","実績を入力")),"-"))</f>
        <v/>
      </c>
      <c r="M106" s="10" t="str">
        <f>IF($B106="","",IF(OR('②-1職員名簿'!AJ106="○",'②-1職員名簿'!AJ106="●"),IF($E106="正規職員","正",IF($E106="契約上の就業時間を記載","","実績を入力")),"-"))</f>
        <v/>
      </c>
      <c r="N106" s="10" t="str">
        <f>IF($B106="","",IF(OR('②-1職員名簿'!AK106="○",'②-1職員名簿'!AK106="●"),IF($E106="正規職員","正",IF($E106="契約上の就業時間を記載","","実績を入力")),"-"))</f>
        <v/>
      </c>
      <c r="O106" s="10" t="str">
        <f>IF($B106="","",IF(OR('②-1職員名簿'!AL106="○",'②-1職員名簿'!AL106="●"),IF($E106="正規職員","正",IF($E106="契約上の就業時間を記載","","実績を入力")),"-"))</f>
        <v/>
      </c>
      <c r="P106" s="10" t="str">
        <f>IF($B106="","",IF(OR('②-1職員名簿'!AM106="○",'②-1職員名簿'!AM106="●"),IF($E106="正規職員","正",IF($E106="契約上の就業時間を記載","","実績を入力")),"-"))</f>
        <v/>
      </c>
      <c r="Q106" s="10" t="str">
        <f>IF($B106="","",IF(OR('②-1職員名簿'!AN106="○",'②-1職員名簿'!AN106="●"),IF($E106="正規職員","正",IF($E106="契約上の就業時間を記載","","実績を入力")),"-"))</f>
        <v/>
      </c>
      <c r="R106" s="101" t="str">
        <f>IF($B106="","",IF(OR('②-1職員名簿'!AC106="○",'②-1職員名簿'!AC106="●"),IF($E106="正規職員","正",IF($E106="契約上の就業時間を記載","",IF($E106&gt;=F$5,"常",F106))),"-"))</f>
        <v/>
      </c>
      <c r="S106" s="101" t="str">
        <f>IF($B106="","",IF(OR('②-1職員名簿'!AD106="○",'②-1職員名簿'!AD106="●"),IF($E106="正規職員","正",IF($E106="契約上の就業時間を記載","",IF($E106&gt;=G$5,"常",G106))),"-"))</f>
        <v/>
      </c>
      <c r="T106" s="101" t="str">
        <f>IF($B106="","",IF(OR('②-1職員名簿'!AE106="○",'②-1職員名簿'!AE106="●"),IF($E106="正規職員","正",IF($E106="契約上の就業時間を記載","",IF($E106&gt;=H$5,"常",H106))),"-"))</f>
        <v/>
      </c>
      <c r="U106" s="101" t="str">
        <f>IF($B106="","",IF(OR('②-1職員名簿'!AF106="○",'②-1職員名簿'!AF106="●"),IF($E106="正規職員","正",IF($E106="契約上の就業時間を記載","",IF($E106&gt;=I$5,"常",I106))),"-"))</f>
        <v/>
      </c>
      <c r="V106" s="101" t="str">
        <f>IF($B106="","",IF(OR('②-1職員名簿'!AG106="○",'②-1職員名簿'!AG106="●"),IF($E106="正規職員","正",IF($E106="契約上の就業時間を記載","",IF($E106&gt;=J$5,"常",J106))),"-"))</f>
        <v/>
      </c>
      <c r="W106" s="101" t="str">
        <f>IF($B106="","",IF(OR('②-1職員名簿'!AH106="○",'②-1職員名簿'!AH106="●"),IF($E106="正規職員","正",IF($E106="契約上の就業時間を記載","",IF($E106&gt;=K$5,"常",K106))),"-"))</f>
        <v/>
      </c>
      <c r="X106" s="101" t="str">
        <f>IF($B106="","",IF(OR('②-1職員名簿'!AI106="○",'②-1職員名簿'!AI106="●"),IF($E106="正規職員","正",IF($E106="契約上の就業時間を記載","",IF($E106&gt;=L$5,"常",L106))),"-"))</f>
        <v/>
      </c>
      <c r="Y106" s="101" t="str">
        <f>IF($B106="","",IF(OR('②-1職員名簿'!AJ106="○",'②-1職員名簿'!AJ106="●"),IF($E106="正規職員","正",IF($E106="契約上の就業時間を記載","",IF($E106&gt;=M$5,"常",M106))),"-"))</f>
        <v/>
      </c>
      <c r="Z106" s="101" t="str">
        <f>IF($B106="","",IF(OR('②-1職員名簿'!AK106="○",'②-1職員名簿'!AK106="●"),IF($E106="正規職員","正",IF($E106="契約上の就業時間を記載","",IF($E106&gt;=N$5,"常",N106))),"-"))</f>
        <v/>
      </c>
      <c r="AA106" s="101" t="str">
        <f>IF($B106="","",IF(OR('②-1職員名簿'!AL106="○",'②-1職員名簿'!AL106="●"),IF($E106="正規職員","正",IF($E106="契約上の就業時間を記載","",IF($E106&gt;=O$5,"常",O106))),"-"))</f>
        <v/>
      </c>
      <c r="AB106" s="101" t="str">
        <f>IF($B106="","",IF(OR('②-1職員名簿'!AM106="○",'②-1職員名簿'!AM106="●"),IF($E106="正規職員","正",IF($E106="契約上の就業時間を記載","",IF($E106&gt;=P$5,"常",P106))),"-"))</f>
        <v/>
      </c>
      <c r="AC106" s="101" t="str">
        <f>IF($B106="","",IF(OR('②-1職員名簿'!AN106="○",'②-1職員名簿'!AN106="●"),IF($E106="正規職員","正",IF($E106="契約上の就業時間を記載","",IF($E106&gt;=Q$5,"常",Q106))),"-"))</f>
        <v/>
      </c>
      <c r="AE106" s="98" t="str">
        <f>IF('②-1職員名簿'!W106="","",'②-1職員名簿'!W106)</f>
        <v/>
      </c>
      <c r="AJ106" s="18" t="str">
        <f t="shared" si="25"/>
        <v>○</v>
      </c>
      <c r="AK106" s="18" t="str">
        <f t="shared" si="26"/>
        <v>○</v>
      </c>
      <c r="AL106" s="18" t="str">
        <f t="shared" si="27"/>
        <v>○</v>
      </c>
      <c r="AM106" s="18" t="str">
        <f t="shared" si="28"/>
        <v>○</v>
      </c>
      <c r="AN106" s="18" t="str">
        <f t="shared" si="29"/>
        <v>○</v>
      </c>
      <c r="AO106" s="18" t="str">
        <f t="shared" si="30"/>
        <v>○</v>
      </c>
      <c r="AP106" s="18" t="str">
        <f t="shared" si="31"/>
        <v>○</v>
      </c>
      <c r="AQ106" s="18" t="str">
        <f t="shared" si="32"/>
        <v>○</v>
      </c>
      <c r="AR106" s="18" t="str">
        <f t="shared" si="33"/>
        <v>○</v>
      </c>
      <c r="AS106" s="18" t="str">
        <f t="shared" si="34"/>
        <v>○</v>
      </c>
      <c r="AT106" s="18" t="str">
        <f t="shared" si="35"/>
        <v>○</v>
      </c>
      <c r="AU106" s="18" t="str">
        <f t="shared" si="36"/>
        <v>○</v>
      </c>
    </row>
    <row r="115" spans="6:20">
      <c r="F115" t="s">
        <v>1315</v>
      </c>
    </row>
    <row r="116" spans="6:20" ht="20">
      <c r="F116" s="134" t="s">
        <v>343</v>
      </c>
      <c r="G116" s="134"/>
      <c r="H116" s="134"/>
      <c r="I116" s="134"/>
      <c r="J116" s="134"/>
      <c r="K116" s="134"/>
      <c r="L116" s="134"/>
      <c r="M116" s="134"/>
      <c r="N116" s="134"/>
      <c r="O116" s="134"/>
      <c r="P116" s="134"/>
      <c r="Q116" s="134"/>
      <c r="R116" s="82"/>
      <c r="S116" s="82"/>
      <c r="T116" s="82"/>
    </row>
    <row r="117" spans="6:20" ht="61.5" customHeight="1">
      <c r="F117" s="787" t="s">
        <v>1245</v>
      </c>
      <c r="G117" s="787"/>
      <c r="H117" s="787" t="s">
        <v>344</v>
      </c>
      <c r="I117" s="787"/>
      <c r="J117" s="787"/>
      <c r="K117" s="787"/>
      <c r="L117" s="787"/>
      <c r="M117" s="787"/>
      <c r="N117" s="787"/>
      <c r="O117" s="787"/>
      <c r="P117" s="787"/>
      <c r="Q117" s="787"/>
    </row>
    <row r="118" spans="6:20" ht="197.25" customHeight="1">
      <c r="F118" s="788" t="s">
        <v>323</v>
      </c>
      <c r="G118" s="788"/>
      <c r="H118" s="787" t="s">
        <v>1091</v>
      </c>
      <c r="I118" s="787"/>
      <c r="J118" s="787"/>
      <c r="K118" s="787"/>
      <c r="L118" s="787"/>
      <c r="M118" s="787"/>
      <c r="N118" s="787"/>
      <c r="O118" s="787"/>
      <c r="P118" s="787"/>
      <c r="Q118" s="787"/>
    </row>
    <row r="119" spans="6:20" ht="129.75" customHeight="1">
      <c r="F119" s="787" t="s">
        <v>1246</v>
      </c>
      <c r="G119" s="787"/>
      <c r="H119" s="787" t="s">
        <v>1247</v>
      </c>
      <c r="I119" s="787"/>
      <c r="J119" s="787"/>
      <c r="K119" s="787"/>
      <c r="L119" s="787"/>
      <c r="M119" s="787"/>
      <c r="N119" s="787"/>
      <c r="O119" s="787"/>
      <c r="P119" s="787"/>
      <c r="Q119" s="787"/>
    </row>
    <row r="121" spans="6:20">
      <c r="F121" s="608" t="s">
        <v>1316</v>
      </c>
      <c r="G121" s="608"/>
      <c r="H121" s="608"/>
      <c r="I121" s="608"/>
      <c r="J121" s="608"/>
      <c r="K121" s="608"/>
      <c r="L121" s="608"/>
      <c r="M121" s="608"/>
      <c r="N121" s="608"/>
      <c r="O121" s="608"/>
      <c r="P121" s="608"/>
      <c r="Q121" s="608"/>
    </row>
    <row r="122" spans="6:20">
      <c r="F122" s="599" t="s">
        <v>343</v>
      </c>
      <c r="G122" s="599"/>
      <c r="H122" s="599"/>
      <c r="I122" s="599"/>
      <c r="J122" s="599"/>
      <c r="K122" s="599"/>
      <c r="L122" s="599"/>
      <c r="M122" s="599"/>
      <c r="N122" s="599"/>
      <c r="O122" s="599"/>
      <c r="P122" s="599"/>
      <c r="Q122" s="599"/>
      <c r="R122" s="82"/>
      <c r="S122" s="82"/>
      <c r="T122" s="82"/>
    </row>
    <row r="123" spans="6:20" ht="19" customHeight="1">
      <c r="F123" s="789" t="s">
        <v>1317</v>
      </c>
      <c r="G123" s="789"/>
      <c r="H123" s="789" t="s">
        <v>1742</v>
      </c>
      <c r="I123" s="789"/>
      <c r="J123" s="789"/>
      <c r="K123" s="789"/>
      <c r="L123" s="789"/>
      <c r="M123" s="789"/>
      <c r="N123" s="789"/>
      <c r="O123" s="789"/>
      <c r="P123" s="789"/>
      <c r="Q123" s="789"/>
    </row>
    <row r="124" spans="6:20" ht="129.5" customHeight="1">
      <c r="F124" s="790" t="s">
        <v>323</v>
      </c>
      <c r="G124" s="790"/>
      <c r="H124" s="789" t="s">
        <v>1091</v>
      </c>
      <c r="I124" s="789"/>
      <c r="J124" s="789"/>
      <c r="K124" s="789"/>
      <c r="L124" s="789"/>
      <c r="M124" s="789"/>
      <c r="N124" s="789"/>
      <c r="O124" s="789"/>
      <c r="P124" s="789"/>
      <c r="Q124" s="789"/>
    </row>
    <row r="125" spans="6:20" ht="79.5" customHeight="1">
      <c r="F125" s="789" t="s">
        <v>1318</v>
      </c>
      <c r="G125" s="789"/>
      <c r="H125" s="789" t="s">
        <v>1741</v>
      </c>
      <c r="I125" s="789"/>
      <c r="J125" s="789"/>
      <c r="K125" s="789"/>
      <c r="L125" s="789"/>
      <c r="M125" s="789"/>
      <c r="N125" s="789"/>
      <c r="O125" s="789"/>
      <c r="P125" s="789"/>
      <c r="Q125" s="789"/>
    </row>
  </sheetData>
  <sheetProtection algorithmName="SHA-512" hashValue="SQk/MEPbuPXqplxFa0cGm1fE+BGl6VEI1cyryABojHPU8pEm5Z+i4xFR0cJ6712lwgPFpWHv8DMMbiY18YTS4g==" saltValue="odm+KgxYlFn97tMXX0VCdw==" spinCount="100000" sheet="1" selectLockedCells="1"/>
  <mergeCells count="18">
    <mergeCell ref="F123:G123"/>
    <mergeCell ref="H123:Q123"/>
    <mergeCell ref="F124:G124"/>
    <mergeCell ref="H124:Q124"/>
    <mergeCell ref="F125:G125"/>
    <mergeCell ref="H125:Q125"/>
    <mergeCell ref="F119:G119"/>
    <mergeCell ref="H119:Q119"/>
    <mergeCell ref="H117:Q117"/>
    <mergeCell ref="F117:G117"/>
    <mergeCell ref="H118:Q118"/>
    <mergeCell ref="F118:G118"/>
    <mergeCell ref="A1:O1"/>
    <mergeCell ref="L2:Q2"/>
    <mergeCell ref="A5:A6"/>
    <mergeCell ref="B5:B6"/>
    <mergeCell ref="C5:C6"/>
    <mergeCell ref="D5:D6"/>
  </mergeCells>
  <phoneticPr fontId="1"/>
  <conditionalFormatting sqref="E7:E106">
    <cfRule type="containsText" dxfId="78" priority="4" operator="containsText" text="契約上の就業時間を記載">
      <formula>NOT(ISERROR(SEARCH("契約上の就業時間を記載",E7)))</formula>
    </cfRule>
  </conditionalFormatting>
  <conditionalFormatting sqref="F5">
    <cfRule type="containsBlanks" dxfId="77" priority="1">
      <formula>LEN(TRIM(F5))=0</formula>
    </cfRule>
  </conditionalFormatting>
  <conditionalFormatting sqref="F7:F106">
    <cfRule type="containsText" dxfId="76" priority="3" operator="containsText" text="見込を入力">
      <formula>NOT(ISERROR(SEARCH("見込を入力",F7)))</formula>
    </cfRule>
  </conditionalFormatting>
  <conditionalFormatting sqref="F116:F119">
    <cfRule type="containsText" dxfId="75" priority="14" operator="containsText" text="見込を入力">
      <formula>NOT(ISERROR(SEARCH("見込を入力",F116)))</formula>
    </cfRule>
  </conditionalFormatting>
  <conditionalFormatting sqref="F122:F125">
    <cfRule type="containsText" dxfId="74" priority="12" operator="containsText" text="見込を入力">
      <formula>NOT(ISERROR(SEARCH("見込を入力",F122)))</formula>
    </cfRule>
  </conditionalFormatting>
  <conditionalFormatting sqref="F5:Q5">
    <cfRule type="containsText" dxfId="73" priority="2" operator="containsText" text="常勤時間数">
      <formula>NOT(ISERROR(SEARCH("常勤時間数",F5)))</formula>
    </cfRule>
  </conditionalFormatting>
  <conditionalFormatting sqref="F7:AC106">
    <cfRule type="containsText" dxfId="72" priority="5" operator="containsText" text="実績を入力">
      <formula>NOT(ISERROR(SEARCH("実績を入力",F7)))</formula>
    </cfRule>
    <cfRule type="expression" dxfId="71" priority="6">
      <formula>$C7="パート非常勤　時間数入力→"</formula>
    </cfRule>
  </conditionalFormatting>
  <dataValidations count="1">
    <dataValidation type="list" errorStyle="warning" allowBlank="1" showInputMessage="1" showErrorMessage="1" sqref="H983087:H983111 H917551:H917575 H852015:H852039 H786479:H786503 H720943:H720967 H655407:H655431 H589871:H589895 H524335:H524359 H458799:H458823 H393263:H393287 H327727:H327751 H262191:H262215 H196655:H196679 H131119:H131143 H65583:H65607 F983087:F983111 F917551:F917575 F852015:F852039 F786479:F786503 F720943:F720967 F655407:F655431 F589871:F589895 F524335:F524359 F458799:F458823 F393263:F393287 F327727:F327751 F262191:F262215 F196655:F196679 F131119:F131143 F65583:F65607 B65583:D65607 B131119:D131143 B196655:D196679 B262191:D262215 B327727:D327751 B393263:D393287 B458799:D458823 B524335:D524359 B589871:D589895 B655407:D655431 B720943:D720967 B786479:D786503 B852015:D852039 B917551:D917575 B983087:D983111" xr:uid="{9353E635-8007-4312-8E3A-14AD131BD501}">
      <formula1>#REF!</formula1>
    </dataValidation>
  </dataValidations>
  <pageMargins left="0.59055118110236227" right="0.31496062992125984" top="0.43307086614173229" bottom="0.35433070866141736" header="0.39370078740157483" footer="0.31496062992125984"/>
  <pageSetup paperSize="9" scale="69" orientation="landscape" r:id="rId1"/>
  <headerFooter alignWithMargins="0"/>
  <rowBreaks count="1" manualBreakCount="1">
    <brk id="25" max="16383" man="1"/>
  </rowBreaks>
  <colBreaks count="1" manualBreakCount="1">
    <brk id="17" max="106" man="1"/>
  </col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E458-0902-4C83-BDB4-29898497C321}">
  <sheetPr codeName="Sheet8">
    <tabColor rgb="FF00B050"/>
  </sheetPr>
  <dimension ref="A1:Z21"/>
  <sheetViews>
    <sheetView view="pageBreakPreview" zoomScale="85" zoomScaleNormal="85" zoomScaleSheetLayoutView="85" zoomScalePageLayoutView="75" workbookViewId="0">
      <selection activeCell="B10" sqref="B10:H10"/>
    </sheetView>
  </sheetViews>
  <sheetFormatPr defaultColWidth="9" defaultRowHeight="13"/>
  <cols>
    <col min="1" max="5" width="7.5" style="39" customWidth="1"/>
    <col min="6" max="6" width="7.5" style="39" hidden="1" customWidth="1"/>
    <col min="7" max="8" width="7.5" style="39" customWidth="1"/>
    <col min="9" max="10" width="8.83203125" style="39" customWidth="1"/>
    <col min="11" max="11" width="12.5" style="39" customWidth="1"/>
    <col min="12" max="14" width="8.83203125" style="39" customWidth="1"/>
    <col min="15" max="18" width="8.08203125" style="39" customWidth="1"/>
    <col min="19" max="21" width="8.83203125" style="39" customWidth="1"/>
    <col min="22" max="22" width="6.83203125" style="39" customWidth="1"/>
    <col min="23" max="23" width="11.83203125" style="39" customWidth="1"/>
    <col min="24" max="16384" width="9" style="39"/>
  </cols>
  <sheetData>
    <row r="1" spans="1:26" s="68" customFormat="1" ht="25" customHeight="1">
      <c r="A1" s="68" t="s">
        <v>107</v>
      </c>
      <c r="L1" s="800" t="s">
        <v>939</v>
      </c>
      <c r="M1" s="801"/>
      <c r="N1" s="801"/>
      <c r="O1" s="801"/>
      <c r="P1" s="801"/>
      <c r="Q1" s="802"/>
      <c r="R1" s="793" t="s">
        <v>110</v>
      </c>
      <c r="S1" s="793"/>
      <c r="T1" s="261" t="s">
        <v>938</v>
      </c>
      <c r="U1" s="261" t="s">
        <v>937</v>
      </c>
      <c r="W1" s="68" t="s">
        <v>938</v>
      </c>
      <c r="X1" s="68" t="s">
        <v>937</v>
      </c>
      <c r="Z1" s="39" t="e">
        <f>①基本情報!S8</f>
        <v>#N/A</v>
      </c>
    </row>
    <row r="2" spans="1:26" s="68" customFormat="1" ht="25" customHeight="1">
      <c r="A2" s="68" t="s">
        <v>108</v>
      </c>
      <c r="K2" s="69"/>
      <c r="L2" s="799">
        <f>①基本情報!D6</f>
        <v>0</v>
      </c>
      <c r="M2" s="799"/>
      <c r="N2" s="799"/>
      <c r="O2" s="799"/>
      <c r="P2" s="799"/>
      <c r="Q2" s="799"/>
      <c r="R2" s="798" t="s">
        <v>934</v>
      </c>
      <c r="S2" s="798"/>
      <c r="T2" s="259" t="e">
        <f>①基本情報!F10</f>
        <v>#N/A</v>
      </c>
      <c r="U2" s="259" t="e">
        <f>①基本情報!F11</f>
        <v>#N/A</v>
      </c>
      <c r="W2" s="260" t="e">
        <f>SUM(T3:T4)</f>
        <v>#N/A</v>
      </c>
      <c r="X2" s="260" t="e">
        <f>SUM(U3:U4)</f>
        <v>#N/A</v>
      </c>
      <c r="Y2" s="70"/>
    </row>
    <row r="3" spans="1:26" s="68" customFormat="1" ht="25" customHeight="1">
      <c r="L3" s="799"/>
      <c r="M3" s="799"/>
      <c r="N3" s="799"/>
      <c r="O3" s="799"/>
      <c r="P3" s="799"/>
      <c r="Q3" s="799"/>
      <c r="R3" s="798" t="s">
        <v>935</v>
      </c>
      <c r="S3" s="798"/>
      <c r="T3" s="259" t="e">
        <f>①基本情報!G10</f>
        <v>#N/A</v>
      </c>
      <c r="U3" s="259" t="e">
        <f>①基本情報!G11</f>
        <v>#N/A</v>
      </c>
      <c r="X3" s="70"/>
    </row>
    <row r="4" spans="1:26" s="68" customFormat="1" ht="25" customHeight="1">
      <c r="M4" s="71"/>
      <c r="N4" s="256"/>
      <c r="O4" s="256"/>
      <c r="P4" s="256"/>
      <c r="Q4" s="257" t="e">
        <f>①基本情報!J5</f>
        <v>#N/A</v>
      </c>
      <c r="R4" s="798" t="s">
        <v>936</v>
      </c>
      <c r="S4" s="798"/>
      <c r="T4" s="259" t="e">
        <f>①基本情報!H10</f>
        <v>#N/A</v>
      </c>
      <c r="U4" s="259" t="e">
        <f>①基本情報!H11</f>
        <v>#N/A</v>
      </c>
      <c r="V4" s="71"/>
      <c r="Y4" s="70"/>
    </row>
    <row r="5" spans="1:26" s="68" customFormat="1" ht="16.5" customHeight="1" thickBot="1"/>
    <row r="6" spans="1:26" ht="22.5" customHeight="1">
      <c r="A6" s="803"/>
      <c r="B6" s="805" t="s">
        <v>976</v>
      </c>
      <c r="C6" s="804"/>
      <c r="D6" s="804"/>
      <c r="E6" s="804"/>
      <c r="F6" s="804"/>
      <c r="G6" s="804"/>
      <c r="H6" s="804"/>
      <c r="I6" s="805" t="s">
        <v>111</v>
      </c>
      <c r="J6" s="806" t="s">
        <v>977</v>
      </c>
      <c r="K6" s="804"/>
      <c r="L6" s="804"/>
      <c r="M6" s="804"/>
      <c r="N6" s="804"/>
      <c r="O6" s="796" t="s">
        <v>978</v>
      </c>
      <c r="P6" s="796"/>
      <c r="Q6" s="796" t="s">
        <v>979</v>
      </c>
      <c r="R6" s="796"/>
      <c r="S6" s="797" t="s">
        <v>980</v>
      </c>
      <c r="T6" s="794" t="s">
        <v>945</v>
      </c>
      <c r="U6" s="791" t="s">
        <v>944</v>
      </c>
      <c r="W6" s="68"/>
    </row>
    <row r="7" spans="1:26" ht="22.5" customHeight="1">
      <c r="A7" s="804"/>
      <c r="B7" s="803" t="s">
        <v>112</v>
      </c>
      <c r="C7" s="803" t="s">
        <v>113</v>
      </c>
      <c r="D7" s="806" t="s">
        <v>1239</v>
      </c>
      <c r="E7" s="806" t="s">
        <v>940</v>
      </c>
      <c r="F7" s="806" t="s">
        <v>943</v>
      </c>
      <c r="G7" s="806" t="s">
        <v>941</v>
      </c>
      <c r="H7" s="806" t="s">
        <v>942</v>
      </c>
      <c r="I7" s="804"/>
      <c r="J7" s="804"/>
      <c r="K7" s="804"/>
      <c r="L7" s="804"/>
      <c r="M7" s="804"/>
      <c r="N7" s="804"/>
      <c r="O7" s="796"/>
      <c r="P7" s="796"/>
      <c r="Q7" s="796"/>
      <c r="R7" s="796"/>
      <c r="S7" s="797"/>
      <c r="T7" s="795"/>
      <c r="U7" s="792"/>
      <c r="W7" s="68"/>
    </row>
    <row r="8" spans="1:26" ht="22.5" customHeight="1">
      <c r="A8" s="804"/>
      <c r="B8" s="804"/>
      <c r="C8" s="804"/>
      <c r="D8" s="804"/>
      <c r="E8" s="804"/>
      <c r="F8" s="804"/>
      <c r="G8" s="804"/>
      <c r="H8" s="804"/>
      <c r="I8" s="804"/>
      <c r="J8" s="81" t="s">
        <v>114</v>
      </c>
      <c r="K8" s="81" t="s">
        <v>946</v>
      </c>
      <c r="L8" s="81" t="s">
        <v>115</v>
      </c>
      <c r="M8" s="72" t="s">
        <v>115</v>
      </c>
      <c r="N8" s="81" t="s">
        <v>116</v>
      </c>
      <c r="O8" s="796"/>
      <c r="P8" s="796"/>
      <c r="Q8" s="796"/>
      <c r="R8" s="796"/>
      <c r="S8" s="797"/>
      <c r="T8" s="795"/>
      <c r="U8" s="792"/>
    </row>
    <row r="9" spans="1:26" ht="22.5" customHeight="1">
      <c r="A9" s="804"/>
      <c r="B9" s="804"/>
      <c r="C9" s="804"/>
      <c r="D9" s="804"/>
      <c r="E9" s="804"/>
      <c r="F9" s="804"/>
      <c r="G9" s="804"/>
      <c r="H9" s="804"/>
      <c r="I9" s="804"/>
      <c r="J9" s="81" t="s">
        <v>117</v>
      </c>
      <c r="K9" s="81" t="s">
        <v>118</v>
      </c>
      <c r="L9" s="81" t="s">
        <v>119</v>
      </c>
      <c r="M9" s="72" t="s">
        <v>120</v>
      </c>
      <c r="N9" s="81" t="s">
        <v>121</v>
      </c>
      <c r="O9" s="81" t="s">
        <v>895</v>
      </c>
      <c r="P9" s="81" t="s">
        <v>896</v>
      </c>
      <c r="Q9" s="81" t="s">
        <v>895</v>
      </c>
      <c r="R9" s="81" t="s">
        <v>896</v>
      </c>
      <c r="S9" s="797"/>
      <c r="T9" s="795"/>
      <c r="U9" s="792"/>
    </row>
    <row r="10" spans="1:26" ht="22.5" customHeight="1">
      <c r="A10" s="80" t="s">
        <v>122</v>
      </c>
      <c r="B10" s="79"/>
      <c r="C10" s="79"/>
      <c r="D10" s="79"/>
      <c r="E10" s="79"/>
      <c r="F10" s="427"/>
      <c r="G10" s="79"/>
      <c r="H10" s="79"/>
      <c r="I10" s="73">
        <f>SUM(B10:H10)</f>
        <v>0</v>
      </c>
      <c r="J10" s="73">
        <f t="shared" ref="J10:J21" si="0">ROUNDDOWN(B10/3,1)</f>
        <v>0</v>
      </c>
      <c r="K10" s="73">
        <f>ROUNDDOWN((C10+D10+F10)/6,1)</f>
        <v>0</v>
      </c>
      <c r="L10" s="73">
        <f t="shared" ref="L10:L21" si="1">ROUNDDOWN(E10/15,1)</f>
        <v>0</v>
      </c>
      <c r="M10" s="74">
        <f t="shared" ref="M10:M21" si="2">ROUNDDOWN(E10/20,1)</f>
        <v>0</v>
      </c>
      <c r="N10" s="73">
        <f t="shared" ref="N10:N21" si="3">ROUNDDOWN((G10+H10)/30,1)</f>
        <v>0</v>
      </c>
      <c r="O10" s="73" t="e">
        <f>IF($W$2&lt;=90,1,0)</f>
        <v>#N/A</v>
      </c>
      <c r="P10" s="73" t="e">
        <f>IF($Z$1="有",IF($X$2&lt;=90,1,0),0)</f>
        <v>#N/A</v>
      </c>
      <c r="Q10" s="73">
        <f>IF(①基本情報!F23="有",1,"")</f>
        <v>1</v>
      </c>
      <c r="R10" s="73" t="e">
        <f>IF(AND($Z$1="有",Q10=1),1,0)</f>
        <v>#N/A</v>
      </c>
      <c r="S10" s="75">
        <v>2</v>
      </c>
      <c r="T10" s="76" t="e">
        <f>ROUND(J10+K10+L10+N10,0)+SUM(O10:S10)</f>
        <v>#N/A</v>
      </c>
      <c r="U10" s="77" t="e">
        <f>ROUND(J10+K10+M10+N10,0)+SUM(O10:S10)</f>
        <v>#N/A</v>
      </c>
    </row>
    <row r="11" spans="1:26" ht="22.5" hidden="1" customHeight="1">
      <c r="A11" s="80" t="s">
        <v>123</v>
      </c>
      <c r="B11" s="79">
        <f>B10</f>
        <v>0</v>
      </c>
      <c r="C11" s="79">
        <f t="shared" ref="C11:H11" si="4">C10</f>
        <v>0</v>
      </c>
      <c r="D11" s="79">
        <f t="shared" si="4"/>
        <v>0</v>
      </c>
      <c r="E11" s="79">
        <f t="shared" si="4"/>
        <v>0</v>
      </c>
      <c r="F11" s="427">
        <f t="shared" si="4"/>
        <v>0</v>
      </c>
      <c r="G11" s="79">
        <f t="shared" si="4"/>
        <v>0</v>
      </c>
      <c r="H11" s="79">
        <f t="shared" si="4"/>
        <v>0</v>
      </c>
      <c r="I11" s="73">
        <f t="shared" ref="I11:I21" si="5">SUM(B11:H11)</f>
        <v>0</v>
      </c>
      <c r="J11" s="73">
        <f t="shared" si="0"/>
        <v>0</v>
      </c>
      <c r="K11" s="73">
        <f t="shared" ref="K11:K21" si="6">ROUNDDOWN((C11+D11+F11)/6,1)</f>
        <v>0</v>
      </c>
      <c r="L11" s="73">
        <f t="shared" si="1"/>
        <v>0</v>
      </c>
      <c r="M11" s="74">
        <f t="shared" si="2"/>
        <v>0</v>
      </c>
      <c r="N11" s="73">
        <f t="shared" si="3"/>
        <v>0</v>
      </c>
      <c r="O11" s="73" t="e">
        <f>O10</f>
        <v>#N/A</v>
      </c>
      <c r="P11" s="73" t="e">
        <f t="shared" ref="P11" si="7">P10</f>
        <v>#N/A</v>
      </c>
      <c r="Q11" s="73">
        <f t="shared" ref="Q11:R11" si="8">Q10</f>
        <v>1</v>
      </c>
      <c r="R11" s="73" t="e">
        <f t="shared" si="8"/>
        <v>#N/A</v>
      </c>
      <c r="S11" s="75">
        <f>S10</f>
        <v>2</v>
      </c>
      <c r="T11" s="76" t="e">
        <f t="shared" ref="T11:T21" si="9">ROUND(J11+K11+L11+N11,0)+SUM(O11:S11)</f>
        <v>#N/A</v>
      </c>
      <c r="U11" s="77" t="e">
        <f t="shared" ref="U11:U21" si="10">ROUND(J11+K11+M11+N11,0)+SUM(O11:S11)</f>
        <v>#N/A</v>
      </c>
    </row>
    <row r="12" spans="1:26" ht="22.5" hidden="1" customHeight="1">
      <c r="A12" s="80" t="s">
        <v>124</v>
      </c>
      <c r="B12" s="79">
        <f t="shared" ref="B12:B21" si="11">B11</f>
        <v>0</v>
      </c>
      <c r="C12" s="79">
        <f t="shared" ref="C12:C21" si="12">C11</f>
        <v>0</v>
      </c>
      <c r="D12" s="79">
        <f t="shared" ref="D12:D21" si="13">D11</f>
        <v>0</v>
      </c>
      <c r="E12" s="79">
        <f t="shared" ref="E12:E21" si="14">E11</f>
        <v>0</v>
      </c>
      <c r="F12" s="427">
        <f t="shared" ref="F12:F21" si="15">F11</f>
        <v>0</v>
      </c>
      <c r="G12" s="79">
        <f t="shared" ref="G12:G21" si="16">G11</f>
        <v>0</v>
      </c>
      <c r="H12" s="79">
        <f t="shared" ref="H12:H21" si="17">H11</f>
        <v>0</v>
      </c>
      <c r="I12" s="73">
        <f t="shared" si="5"/>
        <v>0</v>
      </c>
      <c r="J12" s="73">
        <f t="shared" si="0"/>
        <v>0</v>
      </c>
      <c r="K12" s="73">
        <f t="shared" si="6"/>
        <v>0</v>
      </c>
      <c r="L12" s="73">
        <f t="shared" si="1"/>
        <v>0</v>
      </c>
      <c r="M12" s="74">
        <f t="shared" si="2"/>
        <v>0</v>
      </c>
      <c r="N12" s="73">
        <f t="shared" si="3"/>
        <v>0</v>
      </c>
      <c r="O12" s="73" t="e">
        <f t="shared" ref="O12:O21" si="18">O11</f>
        <v>#N/A</v>
      </c>
      <c r="P12" s="73" t="e">
        <f t="shared" ref="P12:P21" si="19">P11</f>
        <v>#N/A</v>
      </c>
      <c r="Q12" s="73">
        <f t="shared" ref="Q12:R21" si="20">Q11</f>
        <v>1</v>
      </c>
      <c r="R12" s="73" t="e">
        <f t="shared" si="20"/>
        <v>#N/A</v>
      </c>
      <c r="S12" s="75">
        <f t="shared" ref="S12:S21" si="21">S11</f>
        <v>2</v>
      </c>
      <c r="T12" s="76" t="e">
        <f t="shared" si="9"/>
        <v>#N/A</v>
      </c>
      <c r="U12" s="77" t="e">
        <f t="shared" si="10"/>
        <v>#N/A</v>
      </c>
    </row>
    <row r="13" spans="1:26" ht="22.5" hidden="1" customHeight="1">
      <c r="A13" s="80" t="s">
        <v>125</v>
      </c>
      <c r="B13" s="79">
        <f t="shared" si="11"/>
        <v>0</v>
      </c>
      <c r="C13" s="79">
        <f t="shared" si="12"/>
        <v>0</v>
      </c>
      <c r="D13" s="79">
        <f t="shared" si="13"/>
        <v>0</v>
      </c>
      <c r="E13" s="79">
        <f t="shared" si="14"/>
        <v>0</v>
      </c>
      <c r="F13" s="427">
        <f t="shared" si="15"/>
        <v>0</v>
      </c>
      <c r="G13" s="79">
        <f t="shared" si="16"/>
        <v>0</v>
      </c>
      <c r="H13" s="79">
        <f t="shared" si="17"/>
        <v>0</v>
      </c>
      <c r="I13" s="73">
        <f t="shared" si="5"/>
        <v>0</v>
      </c>
      <c r="J13" s="73">
        <f t="shared" si="0"/>
        <v>0</v>
      </c>
      <c r="K13" s="73">
        <f t="shared" si="6"/>
        <v>0</v>
      </c>
      <c r="L13" s="73">
        <f t="shared" si="1"/>
        <v>0</v>
      </c>
      <c r="M13" s="74">
        <f t="shared" si="2"/>
        <v>0</v>
      </c>
      <c r="N13" s="73">
        <f t="shared" si="3"/>
        <v>0</v>
      </c>
      <c r="O13" s="73" t="e">
        <f t="shared" si="18"/>
        <v>#N/A</v>
      </c>
      <c r="P13" s="73" t="e">
        <f t="shared" si="19"/>
        <v>#N/A</v>
      </c>
      <c r="Q13" s="73">
        <f t="shared" si="20"/>
        <v>1</v>
      </c>
      <c r="R13" s="73" t="e">
        <f t="shared" si="20"/>
        <v>#N/A</v>
      </c>
      <c r="S13" s="75">
        <f t="shared" si="21"/>
        <v>2</v>
      </c>
      <c r="T13" s="76" t="e">
        <f t="shared" si="9"/>
        <v>#N/A</v>
      </c>
      <c r="U13" s="77" t="e">
        <f t="shared" si="10"/>
        <v>#N/A</v>
      </c>
    </row>
    <row r="14" spans="1:26" ht="22.5" hidden="1" customHeight="1">
      <c r="A14" s="80" t="s">
        <v>126</v>
      </c>
      <c r="B14" s="79">
        <f t="shared" si="11"/>
        <v>0</v>
      </c>
      <c r="C14" s="79">
        <f t="shared" si="12"/>
        <v>0</v>
      </c>
      <c r="D14" s="79">
        <f t="shared" si="13"/>
        <v>0</v>
      </c>
      <c r="E14" s="79">
        <f t="shared" si="14"/>
        <v>0</v>
      </c>
      <c r="F14" s="427">
        <f t="shared" si="15"/>
        <v>0</v>
      </c>
      <c r="G14" s="79">
        <f t="shared" si="16"/>
        <v>0</v>
      </c>
      <c r="H14" s="79">
        <f t="shared" si="17"/>
        <v>0</v>
      </c>
      <c r="I14" s="73">
        <f t="shared" si="5"/>
        <v>0</v>
      </c>
      <c r="J14" s="73">
        <f t="shared" si="0"/>
        <v>0</v>
      </c>
      <c r="K14" s="73">
        <f t="shared" si="6"/>
        <v>0</v>
      </c>
      <c r="L14" s="73">
        <f t="shared" si="1"/>
        <v>0</v>
      </c>
      <c r="M14" s="74">
        <f t="shared" si="2"/>
        <v>0</v>
      </c>
      <c r="N14" s="73">
        <f t="shared" si="3"/>
        <v>0</v>
      </c>
      <c r="O14" s="73" t="e">
        <f t="shared" si="18"/>
        <v>#N/A</v>
      </c>
      <c r="P14" s="73" t="e">
        <f t="shared" si="19"/>
        <v>#N/A</v>
      </c>
      <c r="Q14" s="73">
        <f t="shared" si="20"/>
        <v>1</v>
      </c>
      <c r="R14" s="73" t="e">
        <f t="shared" si="20"/>
        <v>#N/A</v>
      </c>
      <c r="S14" s="75">
        <f t="shared" si="21"/>
        <v>2</v>
      </c>
      <c r="T14" s="76" t="e">
        <f t="shared" si="9"/>
        <v>#N/A</v>
      </c>
      <c r="U14" s="77" t="e">
        <f t="shared" si="10"/>
        <v>#N/A</v>
      </c>
    </row>
    <row r="15" spans="1:26" ht="22.5" hidden="1" customHeight="1">
      <c r="A15" s="80" t="s">
        <v>127</v>
      </c>
      <c r="B15" s="79">
        <f t="shared" si="11"/>
        <v>0</v>
      </c>
      <c r="C15" s="79">
        <f t="shared" si="12"/>
        <v>0</v>
      </c>
      <c r="D15" s="79">
        <f t="shared" si="13"/>
        <v>0</v>
      </c>
      <c r="E15" s="79">
        <f t="shared" si="14"/>
        <v>0</v>
      </c>
      <c r="F15" s="427">
        <f t="shared" si="15"/>
        <v>0</v>
      </c>
      <c r="G15" s="79">
        <f t="shared" si="16"/>
        <v>0</v>
      </c>
      <c r="H15" s="79">
        <f t="shared" si="17"/>
        <v>0</v>
      </c>
      <c r="I15" s="73">
        <f t="shared" si="5"/>
        <v>0</v>
      </c>
      <c r="J15" s="73">
        <f t="shared" si="0"/>
        <v>0</v>
      </c>
      <c r="K15" s="73">
        <f t="shared" si="6"/>
        <v>0</v>
      </c>
      <c r="L15" s="73">
        <f t="shared" si="1"/>
        <v>0</v>
      </c>
      <c r="M15" s="74">
        <f t="shared" si="2"/>
        <v>0</v>
      </c>
      <c r="N15" s="73">
        <f t="shared" si="3"/>
        <v>0</v>
      </c>
      <c r="O15" s="73" t="e">
        <f t="shared" si="18"/>
        <v>#N/A</v>
      </c>
      <c r="P15" s="73" t="e">
        <f t="shared" si="19"/>
        <v>#N/A</v>
      </c>
      <c r="Q15" s="73">
        <f t="shared" si="20"/>
        <v>1</v>
      </c>
      <c r="R15" s="73" t="e">
        <f t="shared" si="20"/>
        <v>#N/A</v>
      </c>
      <c r="S15" s="75">
        <f t="shared" si="21"/>
        <v>2</v>
      </c>
      <c r="T15" s="76" t="e">
        <f t="shared" si="9"/>
        <v>#N/A</v>
      </c>
      <c r="U15" s="77" t="e">
        <f t="shared" si="10"/>
        <v>#N/A</v>
      </c>
    </row>
    <row r="16" spans="1:26" ht="22.5" hidden="1" customHeight="1">
      <c r="A16" s="80" t="s">
        <v>128</v>
      </c>
      <c r="B16" s="79">
        <f t="shared" si="11"/>
        <v>0</v>
      </c>
      <c r="C16" s="79">
        <f t="shared" si="12"/>
        <v>0</v>
      </c>
      <c r="D16" s="79">
        <f t="shared" si="13"/>
        <v>0</v>
      </c>
      <c r="E16" s="79">
        <f t="shared" si="14"/>
        <v>0</v>
      </c>
      <c r="F16" s="79">
        <f t="shared" si="15"/>
        <v>0</v>
      </c>
      <c r="G16" s="79">
        <f t="shared" si="16"/>
        <v>0</v>
      </c>
      <c r="H16" s="79">
        <f t="shared" si="17"/>
        <v>0</v>
      </c>
      <c r="I16" s="73">
        <f t="shared" si="5"/>
        <v>0</v>
      </c>
      <c r="J16" s="73">
        <f t="shared" si="0"/>
        <v>0</v>
      </c>
      <c r="K16" s="73">
        <f t="shared" si="6"/>
        <v>0</v>
      </c>
      <c r="L16" s="73">
        <f t="shared" si="1"/>
        <v>0</v>
      </c>
      <c r="M16" s="74">
        <f t="shared" si="2"/>
        <v>0</v>
      </c>
      <c r="N16" s="73">
        <f t="shared" si="3"/>
        <v>0</v>
      </c>
      <c r="O16" s="73" t="e">
        <f t="shared" si="18"/>
        <v>#N/A</v>
      </c>
      <c r="P16" s="73" t="e">
        <f t="shared" si="19"/>
        <v>#N/A</v>
      </c>
      <c r="Q16" s="73">
        <f t="shared" si="20"/>
        <v>1</v>
      </c>
      <c r="R16" s="73" t="e">
        <f t="shared" si="20"/>
        <v>#N/A</v>
      </c>
      <c r="S16" s="75">
        <f t="shared" si="21"/>
        <v>2</v>
      </c>
      <c r="T16" s="76" t="e">
        <f t="shared" si="9"/>
        <v>#N/A</v>
      </c>
      <c r="U16" s="77" t="e">
        <f t="shared" si="10"/>
        <v>#N/A</v>
      </c>
    </row>
    <row r="17" spans="1:21" ht="22.5" hidden="1" customHeight="1">
      <c r="A17" s="80" t="s">
        <v>129</v>
      </c>
      <c r="B17" s="79">
        <f t="shared" si="11"/>
        <v>0</v>
      </c>
      <c r="C17" s="79">
        <f t="shared" si="12"/>
        <v>0</v>
      </c>
      <c r="D17" s="79">
        <f t="shared" si="13"/>
        <v>0</v>
      </c>
      <c r="E17" s="79">
        <f t="shared" si="14"/>
        <v>0</v>
      </c>
      <c r="F17" s="79">
        <f t="shared" si="15"/>
        <v>0</v>
      </c>
      <c r="G17" s="79">
        <f t="shared" si="16"/>
        <v>0</v>
      </c>
      <c r="H17" s="79">
        <f t="shared" si="17"/>
        <v>0</v>
      </c>
      <c r="I17" s="73">
        <f t="shared" si="5"/>
        <v>0</v>
      </c>
      <c r="J17" s="73">
        <f t="shared" si="0"/>
        <v>0</v>
      </c>
      <c r="K17" s="73">
        <f t="shared" si="6"/>
        <v>0</v>
      </c>
      <c r="L17" s="73">
        <f t="shared" si="1"/>
        <v>0</v>
      </c>
      <c r="M17" s="74">
        <f t="shared" si="2"/>
        <v>0</v>
      </c>
      <c r="N17" s="73">
        <f t="shared" si="3"/>
        <v>0</v>
      </c>
      <c r="O17" s="73" t="e">
        <f t="shared" si="18"/>
        <v>#N/A</v>
      </c>
      <c r="P17" s="73" t="e">
        <f t="shared" si="19"/>
        <v>#N/A</v>
      </c>
      <c r="Q17" s="73">
        <f t="shared" si="20"/>
        <v>1</v>
      </c>
      <c r="R17" s="73" t="e">
        <f t="shared" si="20"/>
        <v>#N/A</v>
      </c>
      <c r="S17" s="75">
        <f t="shared" si="21"/>
        <v>2</v>
      </c>
      <c r="T17" s="76" t="e">
        <f t="shared" si="9"/>
        <v>#N/A</v>
      </c>
      <c r="U17" s="77" t="e">
        <f t="shared" si="10"/>
        <v>#N/A</v>
      </c>
    </row>
    <row r="18" spans="1:21" ht="22.5" hidden="1" customHeight="1">
      <c r="A18" s="80" t="s">
        <v>130</v>
      </c>
      <c r="B18" s="79">
        <f t="shared" si="11"/>
        <v>0</v>
      </c>
      <c r="C18" s="79">
        <f t="shared" si="12"/>
        <v>0</v>
      </c>
      <c r="D18" s="79">
        <f t="shared" si="13"/>
        <v>0</v>
      </c>
      <c r="E18" s="79">
        <f t="shared" si="14"/>
        <v>0</v>
      </c>
      <c r="F18" s="79">
        <f t="shared" si="15"/>
        <v>0</v>
      </c>
      <c r="G18" s="79">
        <f t="shared" si="16"/>
        <v>0</v>
      </c>
      <c r="H18" s="79">
        <f t="shared" si="17"/>
        <v>0</v>
      </c>
      <c r="I18" s="73">
        <f t="shared" si="5"/>
        <v>0</v>
      </c>
      <c r="J18" s="73">
        <f t="shared" si="0"/>
        <v>0</v>
      </c>
      <c r="K18" s="73">
        <f t="shared" si="6"/>
        <v>0</v>
      </c>
      <c r="L18" s="73">
        <f t="shared" si="1"/>
        <v>0</v>
      </c>
      <c r="M18" s="74">
        <f t="shared" si="2"/>
        <v>0</v>
      </c>
      <c r="N18" s="73">
        <f t="shared" si="3"/>
        <v>0</v>
      </c>
      <c r="O18" s="73" t="e">
        <f t="shared" si="18"/>
        <v>#N/A</v>
      </c>
      <c r="P18" s="73" t="e">
        <f t="shared" si="19"/>
        <v>#N/A</v>
      </c>
      <c r="Q18" s="73">
        <f t="shared" si="20"/>
        <v>1</v>
      </c>
      <c r="R18" s="73" t="e">
        <f t="shared" si="20"/>
        <v>#N/A</v>
      </c>
      <c r="S18" s="75">
        <f t="shared" si="21"/>
        <v>2</v>
      </c>
      <c r="T18" s="76" t="e">
        <f t="shared" si="9"/>
        <v>#N/A</v>
      </c>
      <c r="U18" s="77" t="e">
        <f t="shared" si="10"/>
        <v>#N/A</v>
      </c>
    </row>
    <row r="19" spans="1:21" ht="22.5" hidden="1" customHeight="1">
      <c r="A19" s="80" t="s">
        <v>131</v>
      </c>
      <c r="B19" s="79">
        <f t="shared" si="11"/>
        <v>0</v>
      </c>
      <c r="C19" s="79">
        <f t="shared" si="12"/>
        <v>0</v>
      </c>
      <c r="D19" s="79">
        <f t="shared" si="13"/>
        <v>0</v>
      </c>
      <c r="E19" s="79">
        <f t="shared" si="14"/>
        <v>0</v>
      </c>
      <c r="F19" s="79">
        <f t="shared" si="15"/>
        <v>0</v>
      </c>
      <c r="G19" s="79">
        <f t="shared" si="16"/>
        <v>0</v>
      </c>
      <c r="H19" s="79">
        <f t="shared" si="17"/>
        <v>0</v>
      </c>
      <c r="I19" s="73">
        <f t="shared" si="5"/>
        <v>0</v>
      </c>
      <c r="J19" s="73">
        <f t="shared" si="0"/>
        <v>0</v>
      </c>
      <c r="K19" s="73">
        <f t="shared" si="6"/>
        <v>0</v>
      </c>
      <c r="L19" s="73">
        <f t="shared" si="1"/>
        <v>0</v>
      </c>
      <c r="M19" s="74">
        <f t="shared" si="2"/>
        <v>0</v>
      </c>
      <c r="N19" s="73">
        <f t="shared" si="3"/>
        <v>0</v>
      </c>
      <c r="O19" s="73" t="e">
        <f t="shared" si="18"/>
        <v>#N/A</v>
      </c>
      <c r="P19" s="73" t="e">
        <f t="shared" si="19"/>
        <v>#N/A</v>
      </c>
      <c r="Q19" s="73">
        <f t="shared" si="20"/>
        <v>1</v>
      </c>
      <c r="R19" s="73" t="e">
        <f t="shared" si="20"/>
        <v>#N/A</v>
      </c>
      <c r="S19" s="75">
        <f t="shared" si="21"/>
        <v>2</v>
      </c>
      <c r="T19" s="76" t="e">
        <f t="shared" si="9"/>
        <v>#N/A</v>
      </c>
      <c r="U19" s="77" t="e">
        <f t="shared" si="10"/>
        <v>#N/A</v>
      </c>
    </row>
    <row r="20" spans="1:21" ht="22.5" hidden="1" customHeight="1">
      <c r="A20" s="80" t="s">
        <v>132</v>
      </c>
      <c r="B20" s="79">
        <f t="shared" si="11"/>
        <v>0</v>
      </c>
      <c r="C20" s="79">
        <f t="shared" si="12"/>
        <v>0</v>
      </c>
      <c r="D20" s="79">
        <f t="shared" si="13"/>
        <v>0</v>
      </c>
      <c r="E20" s="79">
        <f t="shared" si="14"/>
        <v>0</v>
      </c>
      <c r="F20" s="79">
        <f t="shared" si="15"/>
        <v>0</v>
      </c>
      <c r="G20" s="79">
        <f t="shared" si="16"/>
        <v>0</v>
      </c>
      <c r="H20" s="79">
        <f t="shared" si="17"/>
        <v>0</v>
      </c>
      <c r="I20" s="73">
        <f t="shared" si="5"/>
        <v>0</v>
      </c>
      <c r="J20" s="73">
        <f t="shared" si="0"/>
        <v>0</v>
      </c>
      <c r="K20" s="73">
        <f t="shared" si="6"/>
        <v>0</v>
      </c>
      <c r="L20" s="73">
        <f t="shared" si="1"/>
        <v>0</v>
      </c>
      <c r="M20" s="74">
        <f t="shared" si="2"/>
        <v>0</v>
      </c>
      <c r="N20" s="73">
        <f t="shared" si="3"/>
        <v>0</v>
      </c>
      <c r="O20" s="73" t="e">
        <f t="shared" si="18"/>
        <v>#N/A</v>
      </c>
      <c r="P20" s="73" t="e">
        <f t="shared" si="19"/>
        <v>#N/A</v>
      </c>
      <c r="Q20" s="73">
        <f t="shared" si="20"/>
        <v>1</v>
      </c>
      <c r="R20" s="73" t="e">
        <f t="shared" si="20"/>
        <v>#N/A</v>
      </c>
      <c r="S20" s="75">
        <f t="shared" si="21"/>
        <v>2</v>
      </c>
      <c r="T20" s="76" t="e">
        <f t="shared" si="9"/>
        <v>#N/A</v>
      </c>
      <c r="U20" s="77" t="e">
        <f t="shared" si="10"/>
        <v>#N/A</v>
      </c>
    </row>
    <row r="21" spans="1:21" ht="22.5" hidden="1" customHeight="1" thickBot="1">
      <c r="A21" s="80" t="s">
        <v>133</v>
      </c>
      <c r="B21" s="79">
        <f t="shared" si="11"/>
        <v>0</v>
      </c>
      <c r="C21" s="79">
        <f t="shared" si="12"/>
        <v>0</v>
      </c>
      <c r="D21" s="79">
        <f t="shared" si="13"/>
        <v>0</v>
      </c>
      <c r="E21" s="79">
        <f t="shared" si="14"/>
        <v>0</v>
      </c>
      <c r="F21" s="79">
        <f t="shared" si="15"/>
        <v>0</v>
      </c>
      <c r="G21" s="79">
        <f t="shared" si="16"/>
        <v>0</v>
      </c>
      <c r="H21" s="79">
        <f t="shared" si="17"/>
        <v>0</v>
      </c>
      <c r="I21" s="73">
        <f t="shared" si="5"/>
        <v>0</v>
      </c>
      <c r="J21" s="73">
        <f t="shared" si="0"/>
        <v>0</v>
      </c>
      <c r="K21" s="73">
        <f t="shared" si="6"/>
        <v>0</v>
      </c>
      <c r="L21" s="73">
        <f t="shared" si="1"/>
        <v>0</v>
      </c>
      <c r="M21" s="74">
        <f t="shared" si="2"/>
        <v>0</v>
      </c>
      <c r="N21" s="73">
        <f t="shared" si="3"/>
        <v>0</v>
      </c>
      <c r="O21" s="73" t="e">
        <f t="shared" si="18"/>
        <v>#N/A</v>
      </c>
      <c r="P21" s="73" t="e">
        <f t="shared" si="19"/>
        <v>#N/A</v>
      </c>
      <c r="Q21" s="73">
        <f t="shared" si="20"/>
        <v>1</v>
      </c>
      <c r="R21" s="73" t="e">
        <f t="shared" si="20"/>
        <v>#N/A</v>
      </c>
      <c r="S21" s="75">
        <f t="shared" si="21"/>
        <v>2</v>
      </c>
      <c r="T21" s="78" t="e">
        <f t="shared" si="9"/>
        <v>#N/A</v>
      </c>
      <c r="U21" s="77" t="e">
        <f t="shared" si="10"/>
        <v>#N/A</v>
      </c>
    </row>
  </sheetData>
  <sheetProtection algorithmName="SHA-512" hashValue="dJ85c/M31dqVSjCB0+C4x7kz1lO/9QG/vKQ842KctT23hwDG3XLot7OQbapHhKudEiDfKGg3OogyOKIFmDMvzw==" saltValue="cPUioQEuvMte1wnblu+B3A==" spinCount="100000" sheet="1" selectLockedCells="1"/>
  <mergeCells count="22">
    <mergeCell ref="A6:A9"/>
    <mergeCell ref="B6:H6"/>
    <mergeCell ref="I6:I9"/>
    <mergeCell ref="J6:N7"/>
    <mergeCell ref="B7:B9"/>
    <mergeCell ref="C7:C9"/>
    <mergeCell ref="D7:D9"/>
    <mergeCell ref="E7:E9"/>
    <mergeCell ref="G7:G9"/>
    <mergeCell ref="H7:H9"/>
    <mergeCell ref="F7:F9"/>
    <mergeCell ref="U6:U9"/>
    <mergeCell ref="R1:S1"/>
    <mergeCell ref="T6:T9"/>
    <mergeCell ref="O6:P8"/>
    <mergeCell ref="Q6:R8"/>
    <mergeCell ref="S6:S9"/>
    <mergeCell ref="R3:S3"/>
    <mergeCell ref="R4:S4"/>
    <mergeCell ref="R2:S2"/>
    <mergeCell ref="L2:Q3"/>
    <mergeCell ref="L1:Q1"/>
  </mergeCells>
  <phoneticPr fontId="1"/>
  <conditionalFormatting sqref="B10:E15 G10:H15">
    <cfRule type="containsBlanks" dxfId="70" priority="1">
      <formula>LEN(TRIM(B10))=0</formula>
    </cfRule>
  </conditionalFormatting>
  <conditionalFormatting sqref="B16:H21">
    <cfRule type="containsBlanks" dxfId="69" priority="2">
      <formula>LEN(TRIM(B16))=0</formula>
    </cfRule>
  </conditionalFormatting>
  <dataValidations disablePrompts="1" count="4">
    <dataValidation type="whole" allowBlank="1" showInputMessage="1" showErrorMessage="1" sqref="W65417 W130953 W196489 W262025 W327561 W393097 W458633 W524169 W589705 W655241 W720777 W786313 W851849 W917385 W982921" xr:uid="{A4B92BBE-4F5B-4A56-9C4B-02D9B1F175FB}">
      <formula1>0</formula1>
      <formula2>300</formula2>
    </dataValidation>
    <dataValidation allowBlank="1" showInputMessage="1" showErrorMessage="1" promptTitle="年齢別児童数" prompt="通常保育を行っている児童を入力してください！_x000a_（一時預かり、障害児保育を行っている児童は除きます！）_x000a_縦割り保育をしているクラスは、同じ横軸に異年齢がいる形になります。" sqref="B65426:H65435 B130962:H130971 B196498:H196507 B262034:H262043 B327570:H327579 B393106:H393115 B458642:H458651 B524178:H524187 B589714:H589723 B655250:H655259 B720786:H720795 B786322:H786331 B851858:H851867 B917394:H917403 B982930:H982939 B65437:H65446 B130973:H130982 B196509:H196518 B262045:H262054 B327581:H327590 B393117:H393126 B458653:H458662 B524189:H524198 B589725:H589734 B655261:H655270 B720797:H720806 B786333:H786342 B851869:H851878 B917405:H917414 B982941:H982950 B65448:H65457 B130984:H130993 B196520:H196529 B262056:H262065 B327592:H327601 B393128:H393137 B458664:H458673 B524200:H524209 B589736:H589745 B655272:H655281 B720808:H720817 B786344:H786353 B851880:H851889 B917416:H917425 B982952:H982961 B65459:H65468 B130995:H131004 B196531:H196540 B262067:H262076 B327603:H327612 B393139:H393148 B458675:H458684 B524211:H524220 B589747:H589756 B655283:H655292 B720819:H720828 B786355:H786364 B851891:H851900 B917427:H917436 B982963:H982972 B65470:H65479 B131006:H131015 B196542:H196551 B262078:H262087 B327614:H327623 B393150:H393159 B458686:H458695 B524222:H524231 B589758:H589767 B655294:H655303 B720830:H720839 B786366:H786375 B851902:H851911 B917438:H917447 B982974:H982983 B65481:H65490 B131017:H131026 B196553:H196562 B262089:H262098 B327625:H327634 B393161:H393170 B458697:H458706 B524233:H524242 B589769:H589778 B655305:H655314 B720841:H720850 B786377:H786386 B851913:H851922 B917449:H917458 B982985:H982994 B65492:H65501 B131028:H131037 B196564:H196573 B262100:H262109 B327636:H327645 B393172:H393181 B458708:H458717 B524244:H524253 B589780:H589789 B655316:H655325 B720852:H720861 B786388:H786397 B851924:H851933 B917460:H917469 B982996:H983005 B65503:H65512 B131039:H131048 B196575:H196584 B262111:H262120 B327647:H327656 B393183:H393192 B458719:H458728 B524255:H524264 B589791:H589800 B655327:H655336 B720863:H720872 B786399:H786408 B851935:H851944 B917471:H917480 B983007:H983016 B65514:H65523 B131050:H131059 B196586:H196595 B262122:H262131 B327658:H327667 B393194:H393203 B458730:H458739 B524266:H524275 B589802:H589811 B655338:H655347 B720874:H720883 B786410:H786419 B851946:H851955 B917482:H917491 B983018:H983027 B65525:H65534 B131061:H131070 B196597:H196606 B262133:H262142 B327669:H327678 B393205:H393214 B458741:H458750 B524277:H524286 B589813:H589822 B655349:H655358 B720885:H720894 B786421:H786430 B851957:H851966 B917493:H917502 B983029:H983038 B65536:H65545 B131072:H131081 B196608:H196617 B262144:H262153 B327680:H327689 B393216:H393225 B458752:H458761 B524288:H524297 B589824:H589833 B655360:H655369 B720896:H720905 B786432:H786441 B851968:H851977 B917504:H917513 B983040:H983049 B65547:H65556 B131083:H131092 B196619:H196628 B262155:H262164 B327691:H327700 B393227:H393236 B458763:H458772 B524299:H524308 B589835:H589844 B655371:H655380 B720907:H720916 B786443:H786452 B851979:H851988 B917515:H917524 B983051:H983060" xr:uid="{952F2D61-28BE-4377-BBFE-5D2D56BF8E4D}"/>
    <dataValidation type="whole" allowBlank="1" showInputMessage="1" showErrorMessage="1" error="数字のみ入力できます。_x000a_例えば90人の場合は、「90」と入力してください。" sqref="W2:X2" xr:uid="{6C9193B9-2148-4C12-BAB6-8DFBC8B0CD0C}">
      <formula1>0</formula1>
      <formula2>300</formula2>
    </dataValidation>
    <dataValidation allowBlank="1" showInputMessage="1" showErrorMessage="1" promptTitle="配置保育士" prompt="通常保育を行っている保育士数を入力してください！（主任保育士、一時預かり、障害児保育を行っている保育士は除く！）_x000a_乳児が４人以上で保健師・看護師・准看護師を保育士とみなす場合も入力。_x000a_準保育士→１日６時間以上かつ月２０日以上勤務する非正規職員保育士（雇用形態は正規でなければパート等の時給でもOK）_x000a_短時間保育士→1日６時間未満または月２０日未満の勤務の保育士" sqref="J65426:J65435 K983048:L983057 J983051:J983060 K917512:L917521 J917515:J917524 K851976:L851985 J851979:J851988 K786440:L786449 J786443:J786452 K720904:L720913 J720907:J720916 K655368:L655377 J655371:J655380 K589832:L589841 J589835:J589844 K524296:L524305 J524299:J524308 K458760:L458769 J458763:J458772 K393224:L393233 J393227:J393236 K327688:L327697 J327691:J327700 K262152:L262161 J262155:J262164 K196616:L196625 J196619:J196628 K131080:L131089 J131083:J131092 K65544:L65553 J65547:J65556 K983037:L983046 J983040:J983049 K917501:L917510 J917504:J917513 K851965:L851974 J851968:J851977 K786429:L786438 J786432:J786441 K720893:L720902 J720896:J720905 K655357:L655366 J655360:J655369 K589821:L589830 J589824:J589833 K524285:L524294 J524288:J524297 K458749:L458758 J458752:J458761 K393213:L393222 J393216:J393225 K327677:L327686 J327680:J327689 K262141:L262150 J262144:J262153 K196605:L196614 J196608:J196617 K131069:L131078 J131072:J131081 K65533:L65542 J65536:J65545 K983026:L983035 J983029:J983038 K917490:L917499 J917493:J917502 K851954:L851963 J851957:J851966 K786418:L786427 J786421:J786430 K720882:L720891 J720885:J720894 K655346:L655355 J655349:J655358 K589810:L589819 J589813:J589822 K524274:L524283 J524277:J524286 K458738:L458747 J458741:J458750 K393202:L393211 J393205:J393214 K327666:L327675 J327669:J327678 K262130:L262139 J262133:J262142 K196594:L196603 J196597:J196606 K131058:L131067 J131061:J131070 K65522:L65531 J65525:J65534 K983015:L983024 J983018:J983027 K917479:L917488 J917482:J917491 K851943:L851952 J851946:J851955 K786407:L786416 J786410:J786419 K720871:L720880 J720874:J720883 K655335:L655344 J655338:J655347 K589799:L589808 J589802:J589811 K524263:L524272 J524266:J524275 K458727:L458736 J458730:J458739 K393191:L393200 J393194:J393203 K327655:L327664 J327658:J327667 K262119:L262128 J262122:J262131 K196583:L196592 J196586:J196595 K131047:L131056 J131050:J131059 K65511:L65520 J65514:J65523 K983004:L983013 J983007:J983016 K917468:L917477 J917471:J917480 K851932:L851941 J851935:J851944 K786396:L786405 J786399:J786408 K720860:L720869 J720863:J720872 K655324:L655333 J655327:J655336 K589788:L589797 J589791:J589800 K524252:L524261 J524255:J524264 K458716:L458725 J458719:J458728 K393180:L393189 J393183:J393192 K327644:L327653 J327647:J327656 K262108:L262117 J262111:J262120 K196572:L196581 J196575:J196584 K131036:L131045 J131039:J131048 K65500:L65509 J65503:J65512 K982993:L983002 J982996:J983005 K917457:L917466 J917460:J917469 K851921:L851930 J851924:J851933 K786385:L786394 J786388:J786397 K720849:L720858 J720852:J720861 K655313:L655322 J655316:J655325 K589777:L589786 J589780:J589789 K524241:L524250 J524244:J524253 K458705:L458714 J458708:J458717 K393169:L393178 J393172:J393181 K327633:L327642 J327636:J327645 K262097:L262106 J262100:J262109 K196561:L196570 J196564:J196573 K131025:L131034 J131028:J131037 K65489:L65498 J65492:J65501 K982982:L982991 J982985:J982994 K917446:L917455 J917449:J917458 K851910:L851919 J851913:J851922 K786374:L786383 J786377:J786386 K720838:L720847 J720841:J720850 K655302:L655311 J655305:J655314 K589766:L589775 J589769:J589778 K524230:L524239 J524233:J524242 K458694:L458703 J458697:J458706 K393158:L393167 J393161:J393170 K327622:L327631 J327625:J327634 K262086:L262095 J262089:J262098 K196550:L196559 J196553:J196562 K131014:L131023 J131017:J131026 K65478:L65487 J65481:J65490 K982971:L982980 J982974:J982983 K917435:L917444 J917438:J917447 K851899:L851908 J851902:J851911 K786363:L786372 J786366:J786375 K720827:L720836 J720830:J720839 K655291:L655300 J655294:J655303 K589755:L589764 J589758:J589767 K524219:L524228 J524222:J524231 K458683:L458692 J458686:J458695 K393147:L393156 J393150:J393159 K327611:L327620 J327614:J327623 K262075:L262084 J262078:J262087 K196539:L196548 J196542:J196551 K131003:L131012 J131006:J131015 K65467:L65476 J65470:J65479 K982960:L982969 J982963:J982972 K917424:L917433 J917427:J917436 K851888:L851897 J851891:J851900 K786352:L786361 J786355:J786364 K720816:L720825 J720819:J720828 K655280:L655289 J655283:J655292 K589744:L589753 J589747:J589756 K524208:L524217 J524211:J524220 K458672:L458681 J458675:J458684 K393136:L393145 J393139:J393148 K327600:L327609 J327603:J327612 K262064:L262073 J262067:J262076 K196528:L196537 J196531:J196540 K130992:L131001 J130995:J131004 K65456:L65465 J65459:J65468 K982949:L982958 J982952:J982961 K917413:L917422 J917416:J917425 K851877:L851886 J851880:J851889 K786341:L786350 J786344:J786353 K720805:L720814 J720808:J720817 K655269:L655278 J655272:J655281 K589733:L589742 J589736:J589745 K524197:L524206 J524200:J524209 K458661:L458670 J458664:J458673 K393125:L393134 J393128:J393137 K327589:L327598 J327592:J327601 K262053:L262062 J262056:J262065 K196517:L196526 J196520:J196529 K130981:L130990 J130984:J130993 K65445:L65454 J65448:J65457 K982938:L982947 J982941:J982950 K917402:L917411 J917405:J917414 K851866:L851875 J851869:J851878 K786330:L786339 J786333:J786342 K720794:L720803 J720797:J720806 K655258:L655267 J655261:J655270 K589722:L589731 J589725:J589734 K524186:L524195 J524189:J524198 K458650:L458659 J458653:J458662 K393114:L393123 J393117:J393126 K327578:L327587 J327581:J327590 K262042:L262051 J262045:J262054 K196506:L196515 J196509:J196518 K130970:L130979 J130973:J130982 K65434:L65443 J65437:J65446 K982927:L982936 J982930:J982939 K917391:L917400 J917394:J917403 K851855:L851864 J851858:J851867 K786319:L786328 J786322:J786331 K720783:L720792 J720786:J720795 K655247:L655256 J655250:J655259 K589711:L589720 J589714:J589723 K524175:L524184 J524178:J524187 K458639:L458648 J458642:J458651 K393103:L393112 J393106:J393115 K327567:L327576 J327570:J327579 K262031:L262040 J262034:J262043 K196495:L196504 J196498:J196507 K130959:L130968 J130962:J130971 K65423:L65432" xr:uid="{3320DB09-D98A-4D86-B58E-1581350CD8E8}"/>
  </dataValidations>
  <pageMargins left="0.78740157480314965" right="0.78740157480314965" top="0.98425196850393704" bottom="0.98425196850393704" header="0.51181102362204722" footer="0.51181102362204722"/>
  <pageSetup paperSize="9" scale="65" orientation="landscape" r:id="rId1"/>
  <headerFooter alignWithMargins="0"/>
  <rowBreaks count="1" manualBreakCount="1">
    <brk id="38" max="20" man="1"/>
  </rowBreaks>
  <colBreaks count="1" manualBreakCount="1">
    <brk id="23" max="3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9709C-7730-4B90-BFC2-0B7273B66E01}">
  <sheetPr codeName="Sheet9">
    <tabColor rgb="FF00B050"/>
  </sheetPr>
  <dimension ref="A1:AO57"/>
  <sheetViews>
    <sheetView view="pageBreakPreview" zoomScale="85" zoomScaleNormal="85" zoomScaleSheetLayoutView="85" workbookViewId="0">
      <selection activeCell="AO1" sqref="AO1"/>
    </sheetView>
  </sheetViews>
  <sheetFormatPr defaultColWidth="9" defaultRowHeight="25" customHeight="1"/>
  <cols>
    <col min="1" max="1" width="5.58203125" style="37" customWidth="1"/>
    <col min="2" max="2" width="5" style="37" customWidth="1"/>
    <col min="3" max="21" width="4.58203125" style="37" customWidth="1"/>
    <col min="22" max="24" width="4.5" style="37" customWidth="1"/>
    <col min="25" max="25" width="5" style="37" customWidth="1"/>
    <col min="26" max="28" width="4.83203125" style="37" customWidth="1"/>
    <col min="29" max="29" width="1.08203125" style="37" customWidth="1"/>
    <col min="30" max="30" width="6.25" style="37" customWidth="1"/>
    <col min="31" max="31" width="6.25" style="49" customWidth="1"/>
    <col min="32" max="32" width="1.5" style="37" customWidth="1"/>
    <col min="33" max="33" width="4.58203125" style="37" customWidth="1"/>
    <col min="34" max="34" width="6.75" style="37" customWidth="1"/>
    <col min="35" max="35" width="6.58203125" style="37" customWidth="1"/>
    <col min="36" max="36" width="5.25" style="37" customWidth="1"/>
    <col min="37" max="16384" width="9" style="37"/>
  </cols>
  <sheetData>
    <row r="1" spans="1:41" s="21" customFormat="1" ht="25" customHeight="1">
      <c r="A1" s="20" t="s">
        <v>107</v>
      </c>
      <c r="B1" s="20"/>
      <c r="C1" s="20"/>
      <c r="D1" s="20"/>
      <c r="E1" s="20"/>
      <c r="F1" s="20"/>
      <c r="G1" s="20"/>
      <c r="AG1" s="20"/>
      <c r="AH1" s="20"/>
      <c r="AI1" s="20"/>
    </row>
    <row r="2" spans="1:41" s="20" customFormat="1" ht="25" customHeight="1">
      <c r="A2" s="20" t="s">
        <v>134</v>
      </c>
      <c r="X2" s="808" t="s">
        <v>135</v>
      </c>
      <c r="Y2" s="808"/>
      <c r="Z2" s="808">
        <f>①基本情報!D6</f>
        <v>0</v>
      </c>
      <c r="AA2" s="808"/>
      <c r="AB2" s="808"/>
      <c r="AC2" s="808"/>
      <c r="AD2" s="808"/>
      <c r="AE2" s="808"/>
      <c r="AF2" s="808"/>
      <c r="AG2" s="808"/>
      <c r="AH2" s="808"/>
      <c r="AI2" s="808"/>
      <c r="AJ2" s="20" t="s">
        <v>136</v>
      </c>
    </row>
    <row r="3" spans="1:41" s="20" customFormat="1" ht="19"/>
    <row r="4" spans="1:41" s="25" customFormat="1" ht="25" customHeight="1">
      <c r="A4" s="806" t="s">
        <v>137</v>
      </c>
      <c r="B4" s="809" t="s">
        <v>138</v>
      </c>
      <c r="C4" s="806" t="s">
        <v>955</v>
      </c>
      <c r="D4" s="806"/>
      <c r="E4" s="806"/>
      <c r="F4" s="806"/>
      <c r="G4" s="806"/>
      <c r="H4" s="821" t="s">
        <v>139</v>
      </c>
      <c r="I4" s="814" t="s">
        <v>956</v>
      </c>
      <c r="J4" s="815"/>
      <c r="K4" s="815"/>
      <c r="L4" s="815"/>
      <c r="M4" s="815"/>
      <c r="N4" s="815"/>
      <c r="O4" s="815"/>
      <c r="P4" s="815"/>
      <c r="Q4" s="815"/>
      <c r="R4" s="815"/>
      <c r="S4" s="815"/>
      <c r="T4" s="815"/>
      <c r="U4" s="815"/>
      <c r="V4" s="815"/>
      <c r="W4" s="815"/>
      <c r="X4" s="815"/>
      <c r="Y4" s="815"/>
      <c r="Z4" s="815"/>
      <c r="AA4" s="822"/>
      <c r="AB4" s="809" t="s">
        <v>140</v>
      </c>
      <c r="AC4" s="24"/>
      <c r="AD4" s="160" t="s">
        <v>141</v>
      </c>
      <c r="AE4" s="161" t="s">
        <v>142</v>
      </c>
      <c r="AG4" s="811" t="s">
        <v>143</v>
      </c>
      <c r="AH4" s="811"/>
      <c r="AI4" s="811"/>
      <c r="AK4" s="812" t="s">
        <v>948</v>
      </c>
      <c r="AL4" s="812" t="s">
        <v>947</v>
      </c>
    </row>
    <row r="5" spans="1:41" s="24" customFormat="1" ht="27" customHeight="1">
      <c r="A5" s="806"/>
      <c r="B5" s="810"/>
      <c r="C5" s="806" t="s">
        <v>144</v>
      </c>
      <c r="D5" s="806"/>
      <c r="E5" s="806"/>
      <c r="F5" s="806" t="s">
        <v>764</v>
      </c>
      <c r="G5" s="806"/>
      <c r="H5" s="821"/>
      <c r="I5" s="816" t="s">
        <v>70</v>
      </c>
      <c r="J5" s="813" t="s">
        <v>145</v>
      </c>
      <c r="K5" s="813"/>
      <c r="L5" s="813"/>
      <c r="M5" s="813" t="s">
        <v>1244</v>
      </c>
      <c r="N5" s="813"/>
      <c r="O5" s="813"/>
      <c r="P5" s="813" t="s">
        <v>147</v>
      </c>
      <c r="Q5" s="813"/>
      <c r="R5" s="813"/>
      <c r="S5" s="813" t="s">
        <v>148</v>
      </c>
      <c r="T5" s="813"/>
      <c r="U5" s="813"/>
      <c r="V5" s="814" t="s">
        <v>149</v>
      </c>
      <c r="W5" s="815"/>
      <c r="X5" s="815"/>
      <c r="Y5" s="812" t="s">
        <v>948</v>
      </c>
      <c r="Z5" s="812" t="s">
        <v>947</v>
      </c>
      <c r="AA5" s="824" t="s">
        <v>162</v>
      </c>
      <c r="AB5" s="810"/>
      <c r="AD5" s="806" t="s">
        <v>150</v>
      </c>
      <c r="AE5" s="806" t="s">
        <v>151</v>
      </c>
      <c r="AF5" s="25"/>
      <c r="AG5" s="806" t="s">
        <v>152</v>
      </c>
      <c r="AH5" s="806"/>
      <c r="AI5" s="806"/>
      <c r="AK5" s="812"/>
      <c r="AL5" s="812"/>
    </row>
    <row r="6" spans="1:41" s="24" customFormat="1" ht="100.5" customHeight="1">
      <c r="A6" s="806"/>
      <c r="B6" s="810"/>
      <c r="C6" s="807" t="s">
        <v>153</v>
      </c>
      <c r="D6" s="807" t="s">
        <v>154</v>
      </c>
      <c r="E6" s="807" t="s">
        <v>155</v>
      </c>
      <c r="F6" s="819" t="s">
        <v>156</v>
      </c>
      <c r="G6" s="819" t="s">
        <v>157</v>
      </c>
      <c r="H6" s="821"/>
      <c r="I6" s="817"/>
      <c r="J6" s="807" t="s">
        <v>153</v>
      </c>
      <c r="K6" s="807" t="s">
        <v>159</v>
      </c>
      <c r="L6" s="807" t="s">
        <v>160</v>
      </c>
      <c r="M6" s="807" t="s">
        <v>153</v>
      </c>
      <c r="N6" s="807" t="s">
        <v>159</v>
      </c>
      <c r="O6" s="807" t="s">
        <v>160</v>
      </c>
      <c r="P6" s="807" t="s">
        <v>153</v>
      </c>
      <c r="Q6" s="807" t="s">
        <v>159</v>
      </c>
      <c r="R6" s="807" t="s">
        <v>160</v>
      </c>
      <c r="S6" s="807" t="s">
        <v>153</v>
      </c>
      <c r="T6" s="807" t="s">
        <v>159</v>
      </c>
      <c r="U6" s="807" t="s">
        <v>160</v>
      </c>
      <c r="V6" s="807" t="s">
        <v>153</v>
      </c>
      <c r="W6" s="807" t="s">
        <v>159</v>
      </c>
      <c r="X6" s="823" t="s">
        <v>161</v>
      </c>
      <c r="Y6" s="812"/>
      <c r="Z6" s="812"/>
      <c r="AA6" s="825"/>
      <c r="AB6" s="810"/>
      <c r="AC6" s="27"/>
      <c r="AD6" s="806"/>
      <c r="AE6" s="806"/>
      <c r="AF6" s="28"/>
      <c r="AG6" s="805" t="s">
        <v>137</v>
      </c>
      <c r="AH6" s="812" t="s">
        <v>163</v>
      </c>
      <c r="AI6" s="812" t="s">
        <v>164</v>
      </c>
      <c r="AK6" s="812"/>
      <c r="AL6" s="812"/>
    </row>
    <row r="7" spans="1:41" s="24" customFormat="1" ht="60" customHeight="1">
      <c r="A7" s="806"/>
      <c r="B7" s="29" t="s">
        <v>165</v>
      </c>
      <c r="C7" s="807"/>
      <c r="D7" s="807"/>
      <c r="E7" s="807"/>
      <c r="F7" s="820"/>
      <c r="G7" s="820"/>
      <c r="H7" s="821"/>
      <c r="I7" s="818"/>
      <c r="J7" s="807"/>
      <c r="K7" s="807"/>
      <c r="L7" s="807"/>
      <c r="M7" s="807"/>
      <c r="N7" s="807"/>
      <c r="O7" s="807"/>
      <c r="P7" s="807"/>
      <c r="Q7" s="807"/>
      <c r="R7" s="807"/>
      <c r="S7" s="807"/>
      <c r="T7" s="807"/>
      <c r="U7" s="807"/>
      <c r="V7" s="807"/>
      <c r="W7" s="807"/>
      <c r="X7" s="823"/>
      <c r="Y7" s="812"/>
      <c r="Z7" s="812"/>
      <c r="AA7" s="826"/>
      <c r="AB7" s="30" t="s">
        <v>166</v>
      </c>
      <c r="AD7" s="807" t="s">
        <v>167</v>
      </c>
      <c r="AE7" s="807" t="s">
        <v>167</v>
      </c>
      <c r="AG7" s="805"/>
      <c r="AH7" s="812"/>
      <c r="AI7" s="812"/>
      <c r="AK7" s="812"/>
      <c r="AL7" s="812"/>
    </row>
    <row r="8" spans="1:41" s="24" customFormat="1" ht="38.25" customHeight="1">
      <c r="A8" s="806"/>
      <c r="B8" s="355"/>
      <c r="C8" s="31" t="s">
        <v>169</v>
      </c>
      <c r="D8" s="31" t="s">
        <v>170</v>
      </c>
      <c r="E8" s="31" t="s">
        <v>171</v>
      </c>
      <c r="F8" s="31" t="s">
        <v>172</v>
      </c>
      <c r="G8" s="31" t="s">
        <v>173</v>
      </c>
      <c r="H8" s="32" t="s">
        <v>174</v>
      </c>
      <c r="I8" s="31" t="s">
        <v>175</v>
      </c>
      <c r="J8" s="31" t="s">
        <v>176</v>
      </c>
      <c r="K8" s="31" t="s">
        <v>177</v>
      </c>
      <c r="L8" s="31" t="s">
        <v>178</v>
      </c>
      <c r="M8" s="31" t="s">
        <v>179</v>
      </c>
      <c r="N8" s="31" t="s">
        <v>180</v>
      </c>
      <c r="O8" s="31" t="s">
        <v>181</v>
      </c>
      <c r="P8" s="31" t="s">
        <v>182</v>
      </c>
      <c r="Q8" s="31" t="s">
        <v>183</v>
      </c>
      <c r="R8" s="31" t="s">
        <v>184</v>
      </c>
      <c r="S8" s="31" t="s">
        <v>185</v>
      </c>
      <c r="T8" s="31" t="s">
        <v>186</v>
      </c>
      <c r="U8" s="31" t="s">
        <v>187</v>
      </c>
      <c r="V8" s="31" t="s">
        <v>188</v>
      </c>
      <c r="W8" s="31" t="s">
        <v>189</v>
      </c>
      <c r="X8" s="24" t="s">
        <v>190</v>
      </c>
      <c r="Y8" s="31" t="s">
        <v>957</v>
      </c>
      <c r="Z8" s="31" t="s">
        <v>958</v>
      </c>
      <c r="AB8" s="33" t="s">
        <v>191</v>
      </c>
      <c r="AD8" s="807"/>
      <c r="AE8" s="807"/>
      <c r="AG8" s="805"/>
      <c r="AH8" s="812"/>
      <c r="AI8" s="812"/>
    </row>
    <row r="9" spans="1:41" s="34" customFormat="1" ht="37.5" customHeight="1">
      <c r="A9" s="164">
        <v>4</v>
      </c>
      <c r="B9" s="162" t="e">
        <f>'③児童数及び職員定数 (2)-(1)'!T10</f>
        <v>#N/A</v>
      </c>
      <c r="C9" s="73">
        <f>COUNTIFS('②-1職員名簿'!AP$7:AP$106,"A",'②-2勤務時間数入力'!F$7:F$106,"正")</f>
        <v>0</v>
      </c>
      <c r="D9" s="73">
        <f>COUNTIFS('②-1職員名簿'!AP$7:AP$106,"A",'②-2勤務時間数入力'!$C$7:$C$106,"常勤的非常勤",'②-2勤務時間数入力'!R$7:R$106,"常")</f>
        <v>0</v>
      </c>
      <c r="E9" s="73">
        <f>SUMIFS('②-2勤務時間数入力'!R$7:R$106,'②-1職員名簿'!AP$7:AP$106,"A",'②-1職員名簿'!$C$7:$C$106,"パート")</f>
        <v>0</v>
      </c>
      <c r="F9" s="73">
        <f>COUNTIFS('②-1職員名簿'!AP$7:AP$106,"A",'②-2勤務時間数入力'!$C$7:$C$106,"嘱託常勤",'②-2勤務時間数入力'!R$7:R$106,"常")</f>
        <v>0</v>
      </c>
      <c r="G9" s="73">
        <f>SUMIFS('②-2勤務時間数入力'!R$7:R$106,'②-1職員名簿'!AP$7:AP$106,"A",'②-1職員名簿'!$C$7:$C$106,"嘱託等")</f>
        <v>0</v>
      </c>
      <c r="H9" s="165">
        <f>'②-2勤務時間数入力'!AH7</f>
        <v>0</v>
      </c>
      <c r="I9" s="166">
        <f>COUNTIFS('②-1職員名簿'!W7:W106,"園長",'②-1職員名簿'!AP$7:AP$106,"A",'②-1職員名簿'!AC$7:AC$106,"○")</f>
        <v>0</v>
      </c>
      <c r="J9" s="73">
        <f>COUNTIFS('②-1職員名簿'!AP$7:AP$106,"A",'②-1職員名簿'!$W$7:$W$106,$J$5,'②-2勤務時間数入力'!F$7:F$106,"正")</f>
        <v>0</v>
      </c>
      <c r="K9" s="73">
        <f>COUNTIFS('②-1職員名簿'!AP$7:AP$106,"A",'②-1職員名簿'!$W$7:$W$106,$J$5,'②-2勤務時間数入力'!R$7:R$106,"常")</f>
        <v>0</v>
      </c>
      <c r="L9" s="73">
        <f>SUMIFS('②-2勤務時間数入力'!R$7:R$106,'②-1職員名簿'!AP$7:AP$106,"A",'②-1職員名簿'!$W$7:$W$106,$J$5)</f>
        <v>0</v>
      </c>
      <c r="M9" s="73">
        <f>COUNTIFS('②-1職員名簿'!AP$7:AP$106,"A",'②-1職員名簿'!$W$7:$W$106,$M$5,'②-2勤務時間数入力'!F$7:F$106,"正")</f>
        <v>0</v>
      </c>
      <c r="N9" s="73">
        <f>COUNTIFS('②-1職員名簿'!AP$7:AP$106,"A",'②-1職員名簿'!$W$7:$W$106,$M$5,'②-2勤務時間数入力'!R$7:R$106,"常")</f>
        <v>0</v>
      </c>
      <c r="O9" s="73">
        <f>SUMIFS('②-2勤務時間数入力'!R$7:R$106,'②-1職員名簿'!AP$7:AP$106,"A",'②-1職員名簿'!$W$7:$W$106,$M$5)</f>
        <v>0</v>
      </c>
      <c r="P9" s="73">
        <f>COUNTIFS('②-1職員名簿'!AP$7:AP$106,"A",'②-1職員名簿'!$W$7:$W$106,$P$5,'②-2勤務時間数入力'!F$7:F$106,"正")</f>
        <v>0</v>
      </c>
      <c r="Q9" s="73">
        <f>COUNTIFS('②-1職員名簿'!AP$7:AP$106,"A",'②-1職員名簿'!$W$7:$W$106,$P$5,'②-2勤務時間数入力'!R$7:R$106,"常")</f>
        <v>0</v>
      </c>
      <c r="R9" s="73">
        <f>SUMIFS('②-2勤務時間数入力'!R$7:R$106,'②-1職員名簿'!AP$7:AP$106,"A",'②-1職員名簿'!$W$7:$W$106,$P$5)</f>
        <v>0</v>
      </c>
      <c r="S9" s="73">
        <f>COUNTIFS('②-1職員名簿'!AP$7:AP$106,"A",'②-1職員名簿'!$W$7:$W$106,$S$5,'②-2勤務時間数入力'!F$7:F$106,"正")</f>
        <v>0</v>
      </c>
      <c r="T9" s="73">
        <f>COUNTIFS('②-1職員名簿'!AP$7:AP$106,"A",'②-1職員名簿'!$W$7:$W$106,$S$5,'②-2勤務時間数入力'!R$7:R$106,"常")</f>
        <v>0</v>
      </c>
      <c r="U9" s="73">
        <f>SUMIFS('②-2勤務時間数入力'!R$7:R$106,'②-1職員名簿'!AP$7:AP$106,"A",'②-1職員名簿'!$W$7:$W$106,$S$5)</f>
        <v>0</v>
      </c>
      <c r="V9" s="162">
        <f t="shared" ref="V9:V20" si="0">C9-I9-J9-M9-P9-S9</f>
        <v>0</v>
      </c>
      <c r="W9" s="162">
        <f t="shared" ref="W9:W20" si="1">D9+F9-K9-N9-Q9-T9</f>
        <v>0</v>
      </c>
      <c r="X9" s="174" t="e">
        <f t="shared" ref="X9:X20" si="2">ROUNDDOWN((E9+G9-L9-O9-R9-U9)/H9,3)</f>
        <v>#DIV/0!</v>
      </c>
      <c r="Y9" s="265" t="e">
        <f>IF($AN$11=0,0,IF(AND($AO$11&gt;=36,$AO$11&lt;=300),1,0))</f>
        <v>#N/A</v>
      </c>
      <c r="Z9" s="266" t="e">
        <f>VLOOKUP($AO$11,$AN$13:$AO$19,2,1)</f>
        <v>#N/A</v>
      </c>
      <c r="AA9" s="361" t="e">
        <f>V9+W9+X9-Y9-Z9</f>
        <v>#DIV/0!</v>
      </c>
      <c r="AB9" s="361" t="e">
        <f>AA9-B9</f>
        <v>#DIV/0!</v>
      </c>
      <c r="AC9" s="362"/>
      <c r="AD9" s="361" t="e">
        <f>'④-2月別配置内訳書(2)-(2)-(B)'!AG9</f>
        <v>#N/A</v>
      </c>
      <c r="AE9" s="361" t="e">
        <f>'④-3月別配置内訳書(2)-(2)-(C)・(D)'!W9</f>
        <v>#DIV/0!</v>
      </c>
      <c r="AF9" s="39"/>
      <c r="AG9" s="163">
        <v>4</v>
      </c>
      <c r="AH9" s="192" t="e">
        <f>IF(ROUNDDOWN(SUM(AA9,AD9,AE9),0)&gt;=B9,"○",B9-ROUNDDOWN(SUM(AA9,AD9,AE9),0))</f>
        <v>#DIV/0!</v>
      </c>
      <c r="AI9" s="193" t="e">
        <f>IF(ROUNDDOWN(SUM(AB9:AE9),0)&lt;=0,"×",ROUNDDOWN(SUM(AB9:AE9),0))</f>
        <v>#DIV/0!</v>
      </c>
      <c r="AK9" s="265" t="e">
        <f>IF(ROUNDDOWN(SUM(Y9:AA9)+AD9+AE9-B9,0)&gt;=Y9,Y9,0)</f>
        <v>#N/A</v>
      </c>
      <c r="AL9" s="265" t="e">
        <f>IF(ROUNDDOWN(SUM(Y9:AA9)+AD9+AE9-B9-Y9,0)&gt;=1,MIN(ROUNDDOWN(SUM(Y9:AA9)+AD9+AE9-B9-Y9,0),Z9),0)</f>
        <v>#N/A</v>
      </c>
      <c r="AN9" s="263" t="s">
        <v>948</v>
      </c>
      <c r="AO9" s="24"/>
    </row>
    <row r="10" spans="1:41" s="34" customFormat="1" ht="36" customHeight="1" thickBot="1">
      <c r="A10" s="282">
        <v>5</v>
      </c>
      <c r="B10" s="162" t="e">
        <f>'③児童数及び職員定数 (2)-(1)'!T11</f>
        <v>#N/A</v>
      </c>
      <c r="C10" s="73">
        <f>COUNTIFS('②-1職員名簿'!AQ$7:AQ$106,"A",'②-2勤務時間数入力'!G$7:G$106,"正")</f>
        <v>0</v>
      </c>
      <c r="D10" s="73">
        <f>COUNTIFS('②-1職員名簿'!AQ$7:AQ$106,"A",'②-2勤務時間数入力'!$C$7:$C$106,"常勤的非常勤",'②-2勤務時間数入力'!S$7:S$106,"常")</f>
        <v>0</v>
      </c>
      <c r="E10" s="313">
        <f>SUMIFS('②-2勤務時間数入力'!S$7:S$106,'②-1職員名簿'!AQ$7:AQ$106,"A",'②-1職員名簿'!$C$7:$C$106,"パート")</f>
        <v>0</v>
      </c>
      <c r="F10" s="314">
        <f>COUNTIFS('②-1職員名簿'!AQ$7:AQ$106,"A",'②-2勤務時間数入力'!$C$7:$C$106,"嘱託常勤",'②-2勤務時間数入力'!S$7:S$106,"常")</f>
        <v>0</v>
      </c>
      <c r="G10" s="314">
        <f>SUMIFS('②-2勤務時間数入力'!S$7:S$106,'②-1職員名簿'!AQ$7:AQ$106,"A",'②-1職員名簿'!$C$7:$C$106,"嘱託等")</f>
        <v>0</v>
      </c>
      <c r="H10" s="165">
        <f>'②-2勤務時間数入力'!AH8</f>
        <v>0</v>
      </c>
      <c r="I10" s="166">
        <f>COUNTIFS('②-1職員名簿'!W7:W106,"園長",'②-1職員名簿'!AQ$7:AQ$106,"A",'②-1職員名簿'!AD$7:AD$106,"○")</f>
        <v>0</v>
      </c>
      <c r="J10" s="73">
        <f>COUNTIFS('②-1職員名簿'!AQ$7:AQ$106,"A",'②-1職員名簿'!$W$7:$W$106,$J$5,'②-2勤務時間数入力'!G$7:G$106,"正")</f>
        <v>0</v>
      </c>
      <c r="K10" s="73">
        <f>COUNTIFS('②-1職員名簿'!AQ$7:AQ$106,"A",'②-1職員名簿'!$W$7:$W$106,$J$5,'②-2勤務時間数入力'!S$7:S$106,"常")</f>
        <v>0</v>
      </c>
      <c r="L10" s="73">
        <f>SUMIFS('②-2勤務時間数入力'!S$7:S$106,'②-1職員名簿'!AQ$7:AQ$106,"A",'②-1職員名簿'!$W$7:$W$106,$J$5)</f>
        <v>0</v>
      </c>
      <c r="M10" s="73">
        <f>COUNTIFS('②-1職員名簿'!AQ$7:AQ$106,"A",'②-1職員名簿'!$W$7:$W$106,$M$5,'②-2勤務時間数入力'!G$7:G$106,"正")</f>
        <v>0</v>
      </c>
      <c r="N10" s="73">
        <f>COUNTIFS('②-1職員名簿'!AQ$7:AQ$106,"A",'②-1職員名簿'!$W$7:$W$106,$M$5,'②-2勤務時間数入力'!S$7:S$106,"常")</f>
        <v>0</v>
      </c>
      <c r="O10" s="73">
        <f>SUMIFS('②-2勤務時間数入力'!S$7:S$106,'②-1職員名簿'!AQ$7:AQ$106,"A",'②-1職員名簿'!$W$7:$W$106,$M$5)</f>
        <v>0</v>
      </c>
      <c r="P10" s="73">
        <f>COUNTIFS('②-1職員名簿'!AQ$7:AQ$106,"A",'②-1職員名簿'!$W$7:$W$106,$P$5,'②-2勤務時間数入力'!G$7:G$106,"正")</f>
        <v>0</v>
      </c>
      <c r="Q10" s="73">
        <f>COUNTIFS('②-1職員名簿'!AQ$7:AQ$106,"A",'②-1職員名簿'!$W$7:$W$106,$P$5,'②-2勤務時間数入力'!S$7:S$106,"常")</f>
        <v>0</v>
      </c>
      <c r="R10" s="73">
        <f>SUMIFS('②-2勤務時間数入力'!S$7:S$106,'②-1職員名簿'!AQ$7:AQ$106,"A",'②-1職員名簿'!$W$7:$W$106,$P$5)</f>
        <v>0</v>
      </c>
      <c r="S10" s="73">
        <f>COUNTIFS('②-1職員名簿'!AQ$7:AQ$106,"A",'②-1職員名簿'!$W$7:$W$106,$S$5,'②-2勤務時間数入力'!G$7:G$106,"正")</f>
        <v>0</v>
      </c>
      <c r="T10" s="73">
        <f>COUNTIFS('②-1職員名簿'!AQ$7:AQ$106,"A",'②-1職員名簿'!$W$7:$W$106,$S$5,'②-2勤務時間数入力'!S$7:S$106,"常")</f>
        <v>0</v>
      </c>
      <c r="U10" s="73">
        <f>SUMIFS('②-2勤務時間数入力'!S$7:S$106,'②-1職員名簿'!AQ$7:AQ$106,"A",'②-1職員名簿'!$W$7:$W$106,$S$5)</f>
        <v>0</v>
      </c>
      <c r="V10" s="162">
        <f t="shared" si="0"/>
        <v>0</v>
      </c>
      <c r="W10" s="162">
        <f>D10+F10-K10-N10-Q10-T10</f>
        <v>0</v>
      </c>
      <c r="X10" s="174" t="e">
        <f t="shared" si="2"/>
        <v>#DIV/0!</v>
      </c>
      <c r="Y10" s="265" t="e">
        <f t="shared" ref="Y10:Y20" si="3">IF($AN$11=0,0,IF(AND($AO$11&gt;=36,$AO$11&lt;=300),1,0))</f>
        <v>#N/A</v>
      </c>
      <c r="Z10" s="266" t="e">
        <f t="shared" ref="Z10:Z20" si="4">VLOOKUP($AO$11,$AN$13:$AO$19,2,1)</f>
        <v>#N/A</v>
      </c>
      <c r="AA10" s="361" t="e">
        <f t="shared" ref="AA10:AA20" si="5">V10+W10+X10-Y10-Z10</f>
        <v>#DIV/0!</v>
      </c>
      <c r="AB10" s="361" t="e">
        <f t="shared" ref="AB10:AB20" si="6">AA10-B10</f>
        <v>#DIV/0!</v>
      </c>
      <c r="AC10" s="175"/>
      <c r="AD10" s="176" t="e">
        <f>'④-2月別配置内訳書(2)-(2)-(B)'!AG10</f>
        <v>#N/A</v>
      </c>
      <c r="AE10" s="176" t="e">
        <f>'④-3月別配置内訳書(2)-(2)-(C)・(D)'!W10</f>
        <v>#DIV/0!</v>
      </c>
      <c r="AF10" s="39"/>
      <c r="AG10" s="163">
        <v>5</v>
      </c>
      <c r="AH10" s="431" t="e">
        <f>IF(ROUNDDOWN(SUM(AA10,AD10,AE10),0)&gt;=B10,"○",B10-ROUNDDOWN(SUM(AA10,AD10,AE10),0))</f>
        <v>#DIV/0!</v>
      </c>
      <c r="AI10" s="193" t="e">
        <f>IF(ROUNDDOWN(SUM(AB10:AE10),0)&lt;=0,"×",ROUNDDOWN(SUM(AB10:AE10),0))</f>
        <v>#DIV/0!</v>
      </c>
      <c r="AK10" s="265" t="e">
        <f t="shared" ref="AK10:AK20" si="7">IF(ROUNDDOWN(SUM(Y10:AA10)+AD10+AE10-B10,0)&gt;=Y10,Y10,0)</f>
        <v>#N/A</v>
      </c>
      <c r="AL10" s="265" t="e">
        <f t="shared" ref="AL10:AL20" si="8">IF(ROUNDDOWN(SUM(Y10:AA10)+AD10+AE10-B10-Y10,0)&gt;=1,MIN(ROUNDDOWN(SUM(Y10:AA10)+AD10+AE10-B10-Y10,0),Z10),0)</f>
        <v>#N/A</v>
      </c>
      <c r="AN10" s="34" t="s">
        <v>974</v>
      </c>
      <c r="AO10" s="34" t="s">
        <v>949</v>
      </c>
    </row>
    <row r="11" spans="1:41" s="34" customFormat="1" ht="36" customHeight="1" thickBot="1">
      <c r="A11" s="282">
        <v>6</v>
      </c>
      <c r="B11" s="162" t="e">
        <f>'③児童数及び職員定数 (2)-(1)'!T12</f>
        <v>#N/A</v>
      </c>
      <c r="C11" s="73">
        <f>COUNTIFS('②-1職員名簿'!AR$7:AR$106,"A",'②-2勤務時間数入力'!H$7:H$106,"正")</f>
        <v>0</v>
      </c>
      <c r="D11" s="73">
        <f>COUNTIFS('②-1職員名簿'!AR$7:AR$106,"A",'②-2勤務時間数入力'!$C$7:$C$106,"常勤的非常勤",'②-2勤務時間数入力'!T$7:T$106,"常")</f>
        <v>0</v>
      </c>
      <c r="E11" s="313">
        <f>SUMIFS('②-2勤務時間数入力'!T$7:T$106,'②-1職員名簿'!AR$7:AR$106,"A",'②-1職員名簿'!$C$7:$C$106,"パート")</f>
        <v>0</v>
      </c>
      <c r="F11" s="314">
        <f>COUNTIFS('②-1職員名簿'!AR$7:AR$106,"A",'②-2勤務時間数入力'!$C$7:$C$106,"嘱託常勤",'②-2勤務時間数入力'!T$7:T$106,"常")</f>
        <v>0</v>
      </c>
      <c r="G11" s="314">
        <f>SUMIFS('②-2勤務時間数入力'!T$7:T$106,'②-1職員名簿'!AR$7:AR$106,"A",'②-1職員名簿'!$C$7:$C$106,"嘱託等")</f>
        <v>0</v>
      </c>
      <c r="H11" s="165">
        <f>'②-2勤務時間数入力'!AH9</f>
        <v>0</v>
      </c>
      <c r="I11" s="166">
        <f>COUNTIFS('②-1職員名簿'!W7:W106,"園長",'②-1職員名簿'!AR$7:AR$106,"A",'②-1職員名簿'!AE$7:AE$106,"○")</f>
        <v>0</v>
      </c>
      <c r="J11" s="73">
        <f>COUNTIFS('②-1職員名簿'!AR$7:AR$106,"A",'②-1職員名簿'!$W$7:$W$106,$J$5,'②-2勤務時間数入力'!H$7:H$106,"正")</f>
        <v>0</v>
      </c>
      <c r="K11" s="73">
        <f>COUNTIFS('②-1職員名簿'!AR$7:AR$106,"A",'②-1職員名簿'!$W$7:$W$106,$J$5,'②-2勤務時間数入力'!T$7:T$106,"常")</f>
        <v>0</v>
      </c>
      <c r="L11" s="73">
        <f>SUMIFS('②-2勤務時間数入力'!T$7:T$106,'②-1職員名簿'!AR$7:AR$106,"A",'②-1職員名簿'!$W$7:$W$106,$J$5)</f>
        <v>0</v>
      </c>
      <c r="M11" s="73">
        <f>COUNTIFS('②-1職員名簿'!AR$7:AR$106,"A",'②-1職員名簿'!$W$7:$W$106,$M$5,'②-2勤務時間数入力'!H$7:H$106,"正")</f>
        <v>0</v>
      </c>
      <c r="N11" s="73">
        <f>COUNTIFS('②-1職員名簿'!AR$7:AR$106,"A",'②-1職員名簿'!$W$7:$W$106,$M$5,'②-2勤務時間数入力'!T$7:T$106,"常")</f>
        <v>0</v>
      </c>
      <c r="O11" s="73">
        <f>SUMIFS('②-2勤務時間数入力'!T$7:T$106,'②-1職員名簿'!AR$7:AR$106,"A",'②-1職員名簿'!$W$7:$W$106,$M$5)</f>
        <v>0</v>
      </c>
      <c r="P11" s="73">
        <f>COUNTIFS('②-1職員名簿'!AR$7:AR$106,"A",'②-1職員名簿'!$W$7:$W$106,$P$5,'②-2勤務時間数入力'!H$7:H$106,"正")</f>
        <v>0</v>
      </c>
      <c r="Q11" s="73">
        <f>COUNTIFS('②-1職員名簿'!AR$7:AR$106,"A",'②-1職員名簿'!$W$7:$W$106,$P$5,'②-2勤務時間数入力'!T$7:T$106,"常")</f>
        <v>0</v>
      </c>
      <c r="R11" s="73">
        <f>SUMIFS('②-2勤務時間数入力'!T$7:T$106,'②-1職員名簿'!AR$7:AR$106,"A",'②-1職員名簿'!$W$7:$W$106,$P$5)</f>
        <v>0</v>
      </c>
      <c r="S11" s="73">
        <f>COUNTIFS('②-1職員名簿'!AR$7:AR$106,"A",'②-1職員名簿'!$W$7:$W$106,$S$5,'②-2勤務時間数入力'!H$7:H$106,"正")</f>
        <v>0</v>
      </c>
      <c r="T11" s="73">
        <f>COUNTIFS('②-1職員名簿'!AR$7:AR$106,"A",'②-1職員名簿'!$W$7:$W$106,$S$5,'②-2勤務時間数入力'!T$7:T$106,"常")</f>
        <v>0</v>
      </c>
      <c r="U11" s="73">
        <f>SUMIFS('②-2勤務時間数入力'!T$7:T$106,'②-1職員名簿'!AR$7:AR$106,"A",'②-1職員名簿'!$W$7:$W$106,$S$5)</f>
        <v>0</v>
      </c>
      <c r="V11" s="162">
        <f t="shared" si="0"/>
        <v>0</v>
      </c>
      <c r="W11" s="162">
        <f t="shared" si="1"/>
        <v>0</v>
      </c>
      <c r="X11" s="174" t="e">
        <f t="shared" si="2"/>
        <v>#DIV/0!</v>
      </c>
      <c r="Y11" s="265" t="e">
        <f t="shared" si="3"/>
        <v>#N/A</v>
      </c>
      <c r="Z11" s="266" t="e">
        <f t="shared" si="4"/>
        <v>#N/A</v>
      </c>
      <c r="AA11" s="361" t="e">
        <f t="shared" si="5"/>
        <v>#DIV/0!</v>
      </c>
      <c r="AB11" s="361" t="e">
        <f t="shared" si="6"/>
        <v>#DIV/0!</v>
      </c>
      <c r="AC11" s="175"/>
      <c r="AD11" s="176" t="e">
        <f>'④-2月別配置内訳書(2)-(2)-(B)'!AG11</f>
        <v>#N/A</v>
      </c>
      <c r="AE11" s="176" t="e">
        <f>'④-3月別配置内訳書(2)-(2)-(C)・(D)'!W11</f>
        <v>#DIV/0!</v>
      </c>
      <c r="AF11" s="39"/>
      <c r="AG11" s="163">
        <v>6</v>
      </c>
      <c r="AH11" s="431" t="e">
        <f t="shared" ref="AH11:AH20" si="9">IF(ROUNDDOWN(SUM(AA11,AD11,AE11),0)&gt;=B11,"○",B11-ROUNDDOWN(SUM(AA11,AD11,AE11),0))</f>
        <v>#DIV/0!</v>
      </c>
      <c r="AI11" s="193" t="e">
        <f t="shared" ref="AI11:AI20" si="10">IF(ROUNDDOWN(SUM(AB11:AE11),0)&lt;=0,"×",ROUNDDOWN(SUM(AB11:AE11),0))</f>
        <v>#DIV/0!</v>
      </c>
      <c r="AK11" s="265" t="e">
        <f t="shared" si="7"/>
        <v>#N/A</v>
      </c>
      <c r="AL11" s="265" t="e">
        <f t="shared" si="8"/>
        <v>#N/A</v>
      </c>
      <c r="AN11" s="264" t="e">
        <f>SUM(①基本情報!F10:F11)</f>
        <v>#N/A</v>
      </c>
      <c r="AO11" s="264" t="e">
        <f>SUM(①基本情報!$F$10:$G$11)</f>
        <v>#N/A</v>
      </c>
    </row>
    <row r="12" spans="1:41" s="34" customFormat="1" ht="36" customHeight="1">
      <c r="A12" s="282">
        <v>7</v>
      </c>
      <c r="B12" s="162" t="e">
        <f>'③児童数及び職員定数 (2)-(1)'!T13</f>
        <v>#N/A</v>
      </c>
      <c r="C12" s="73">
        <f>COUNTIFS('②-1職員名簿'!AS$7:AS$106,"A",'②-2勤務時間数入力'!I$7:I$106,"正")</f>
        <v>0</v>
      </c>
      <c r="D12" s="73">
        <f>COUNTIFS('②-1職員名簿'!AS$7:AS$106,"A",'②-2勤務時間数入力'!$C$7:$C$106,"常勤的非常勤",'②-2勤務時間数入力'!U$7:U$106,"常")</f>
        <v>0</v>
      </c>
      <c r="E12" s="313">
        <f>SUMIFS('②-2勤務時間数入力'!U$7:U$106,'②-1職員名簿'!AS$7:AS$106,"A",'②-1職員名簿'!$C$7:$C$106,"パート")</f>
        <v>0</v>
      </c>
      <c r="F12" s="314">
        <f>COUNTIFS('②-1職員名簿'!AS$7:AS$106,"A",'②-2勤務時間数入力'!$C$7:$C$106,"嘱託常勤",'②-2勤務時間数入力'!U$7:U$106,"常")</f>
        <v>0</v>
      </c>
      <c r="G12" s="314">
        <f>SUMIFS('②-2勤務時間数入力'!U$7:U$106,'②-1職員名簿'!AS$7:AS$106,"A",'②-1職員名簿'!$C$7:$C$106,"嘱託等")</f>
        <v>0</v>
      </c>
      <c r="H12" s="165">
        <f>'②-2勤務時間数入力'!AH10</f>
        <v>0</v>
      </c>
      <c r="I12" s="166">
        <f>COUNTIFS('②-1職員名簿'!W7:W106,"園長",'②-1職員名簿'!AS$7:AS$106,"A",'②-1職員名簿'!AF$7:AF$106,"○")</f>
        <v>0</v>
      </c>
      <c r="J12" s="73">
        <f>COUNTIFS('②-1職員名簿'!AS$7:AS$106,"A",'②-1職員名簿'!$W$7:$W$106,$J$5,'②-2勤務時間数入力'!I$7:I$106,"正")</f>
        <v>0</v>
      </c>
      <c r="K12" s="73">
        <f>COUNTIFS('②-1職員名簿'!AS$7:AS$106,"A",'②-1職員名簿'!$W$7:$W$106,$J$5,'②-2勤務時間数入力'!U$7:U$106,"常")</f>
        <v>0</v>
      </c>
      <c r="L12" s="73">
        <f>SUMIFS('②-2勤務時間数入力'!U$7:U$106,'②-1職員名簿'!AS$7:AS$106,"A",'②-1職員名簿'!$W$7:$W$106,$J$5)</f>
        <v>0</v>
      </c>
      <c r="M12" s="73">
        <f>COUNTIFS('②-1職員名簿'!AS$7:AS$106,"A",'②-1職員名簿'!$W$7:$W$106,$M$5,'②-2勤務時間数入力'!I$7:I$106,"正")</f>
        <v>0</v>
      </c>
      <c r="N12" s="73">
        <f>COUNTIFS('②-1職員名簿'!AS$7:AS$106,"A",'②-1職員名簿'!$W$7:$W$106,$M$5,'②-2勤務時間数入力'!U$7:U$106,"常")</f>
        <v>0</v>
      </c>
      <c r="O12" s="73">
        <f>SUMIFS('②-2勤務時間数入力'!U$7:U$106,'②-1職員名簿'!AS$7:AS$106,"A",'②-1職員名簿'!$W$7:$W$106,$M$5)</f>
        <v>0</v>
      </c>
      <c r="P12" s="73">
        <f>COUNTIFS('②-1職員名簿'!AS$7:AS$106,"A",'②-1職員名簿'!$W$7:$W$106,$P$5,'②-2勤務時間数入力'!I$7:I$106,"正")</f>
        <v>0</v>
      </c>
      <c r="Q12" s="73">
        <f>COUNTIFS('②-1職員名簿'!AS$7:AS$106,"A",'②-1職員名簿'!$W$7:$W$106,$P$5,'②-2勤務時間数入力'!U$7:U$106,"常")</f>
        <v>0</v>
      </c>
      <c r="R12" s="73">
        <f>SUMIFS('②-2勤務時間数入力'!U$7:U$106,'②-1職員名簿'!AS$7:AS$106,"A",'②-1職員名簿'!$W$7:$W$106,$P$5)</f>
        <v>0</v>
      </c>
      <c r="S12" s="73">
        <f>COUNTIFS('②-1職員名簿'!AS$7:AS$106,"A",'②-1職員名簿'!$W$7:$W$106,$S$5,'②-2勤務時間数入力'!I$7:I$106,"正")</f>
        <v>0</v>
      </c>
      <c r="T12" s="73">
        <f>COUNTIFS('②-1職員名簿'!AS$7:AS$106,"A",'②-1職員名簿'!$W$7:$W$106,$S$5,'②-2勤務時間数入力'!U$7:U$106,"常")</f>
        <v>0</v>
      </c>
      <c r="U12" s="73">
        <f>SUMIFS('②-2勤務時間数入力'!U$7:U$106,'②-1職員名簿'!AS$7:AS$106,"A",'②-1職員名簿'!$W$7:$W$106,$S$5)</f>
        <v>0</v>
      </c>
      <c r="V12" s="162">
        <f t="shared" si="0"/>
        <v>0</v>
      </c>
      <c r="W12" s="162">
        <f t="shared" si="1"/>
        <v>0</v>
      </c>
      <c r="X12" s="174" t="e">
        <f t="shared" si="2"/>
        <v>#DIV/0!</v>
      </c>
      <c r="Y12" s="265" t="e">
        <f t="shared" si="3"/>
        <v>#N/A</v>
      </c>
      <c r="Z12" s="266" t="e">
        <f t="shared" si="4"/>
        <v>#N/A</v>
      </c>
      <c r="AA12" s="361" t="e">
        <f t="shared" si="5"/>
        <v>#DIV/0!</v>
      </c>
      <c r="AB12" s="361" t="e">
        <f t="shared" si="6"/>
        <v>#DIV/0!</v>
      </c>
      <c r="AC12" s="175"/>
      <c r="AD12" s="176" t="e">
        <f>'④-2月別配置内訳書(2)-(2)-(B)'!AG12</f>
        <v>#N/A</v>
      </c>
      <c r="AE12" s="176" t="e">
        <f>'④-3月別配置内訳書(2)-(2)-(C)・(D)'!W12</f>
        <v>#DIV/0!</v>
      </c>
      <c r="AF12" s="39"/>
      <c r="AG12" s="163">
        <v>7</v>
      </c>
      <c r="AH12" s="431" t="e">
        <f t="shared" si="9"/>
        <v>#DIV/0!</v>
      </c>
      <c r="AI12" s="193" t="e">
        <f t="shared" si="10"/>
        <v>#DIV/0!</v>
      </c>
      <c r="AK12" s="265" t="e">
        <f t="shared" si="7"/>
        <v>#N/A</v>
      </c>
      <c r="AL12" s="265" t="e">
        <f t="shared" si="8"/>
        <v>#N/A</v>
      </c>
      <c r="AN12" s="34" t="s">
        <v>947</v>
      </c>
    </row>
    <row r="13" spans="1:41" s="34" customFormat="1" ht="36" customHeight="1">
      <c r="A13" s="282">
        <v>8</v>
      </c>
      <c r="B13" s="162" t="e">
        <f>'③児童数及び職員定数 (2)-(1)'!T14</f>
        <v>#N/A</v>
      </c>
      <c r="C13" s="73">
        <f>COUNTIFS('②-1職員名簿'!AT$7:AT$106,"A",'②-2勤務時間数入力'!J$7:J$106,"正")</f>
        <v>0</v>
      </c>
      <c r="D13" s="73">
        <f>COUNTIFS('②-1職員名簿'!AT$7:AT$106,"A",'②-2勤務時間数入力'!$C$7:$C$106,"常勤的非常勤",'②-2勤務時間数入力'!V$7:V$106,"常")</f>
        <v>0</v>
      </c>
      <c r="E13" s="73">
        <f>SUMIFS('②-2勤務時間数入力'!V$7:V$106,'②-1職員名簿'!AT$7:AT$106,"A",'②-1職員名簿'!$C$7:$C$106,"パート")</f>
        <v>0</v>
      </c>
      <c r="F13" s="73">
        <f>COUNTIFS('②-1職員名簿'!AT$7:AT$106,"A",'②-2勤務時間数入力'!$C$7:$C$106,"嘱託常勤",'②-2勤務時間数入力'!V$7:V$106,"常")</f>
        <v>0</v>
      </c>
      <c r="G13" s="73">
        <f>SUMIFS('②-2勤務時間数入力'!V$7:V$106,'②-1職員名簿'!AT$7:AT$106,"A",'②-1職員名簿'!$C$7:$C$106,"嘱託等")</f>
        <v>0</v>
      </c>
      <c r="H13" s="165">
        <f>'②-2勤務時間数入力'!AH11</f>
        <v>0</v>
      </c>
      <c r="I13" s="166">
        <f>COUNTIFS('②-1職員名簿'!W7:W106,"園長",'②-1職員名簿'!AT$7:AT$106,"A",'②-1職員名簿'!AG$7:AG$106,"○")</f>
        <v>0</v>
      </c>
      <c r="J13" s="73">
        <f>COUNTIFS('②-1職員名簿'!AT$7:AT$106,"A",'②-1職員名簿'!$W$7:$W$106,$J$5,'②-2勤務時間数入力'!J$7:J$106,"正")</f>
        <v>0</v>
      </c>
      <c r="K13" s="73">
        <f>COUNTIFS('②-1職員名簿'!AT$7:AT$106,"A",'②-1職員名簿'!$W$7:$W$106,$J$5,'②-2勤務時間数入力'!V$7:V$106,"常")</f>
        <v>0</v>
      </c>
      <c r="L13" s="73">
        <f>SUMIFS('②-2勤務時間数入力'!V$7:V$106,'②-1職員名簿'!AT$7:AT$106,"A",'②-1職員名簿'!$W$7:$W$106,$J$5)</f>
        <v>0</v>
      </c>
      <c r="M13" s="73">
        <f>COUNTIFS('②-1職員名簿'!AT$7:AT$106,"A",'②-1職員名簿'!$W$7:$W$106,$M$5,'②-2勤務時間数入力'!J$7:J$106,"正")</f>
        <v>0</v>
      </c>
      <c r="N13" s="73">
        <f>COUNTIFS('②-1職員名簿'!AT$7:AT$106,"A",'②-1職員名簿'!$W$7:$W$106,$M$5,'②-2勤務時間数入力'!V$7:V$106,"常")</f>
        <v>0</v>
      </c>
      <c r="O13" s="73">
        <f>SUMIFS('②-2勤務時間数入力'!V$7:V$106,'②-1職員名簿'!AT$7:AT$106,"A",'②-1職員名簿'!$W$7:$W$106,$M$5)</f>
        <v>0</v>
      </c>
      <c r="P13" s="73">
        <f>COUNTIFS('②-1職員名簿'!AT$7:AT$106,"A",'②-1職員名簿'!$W$7:$W$106,$P$5,'②-2勤務時間数入力'!J$7:J$106,"正")</f>
        <v>0</v>
      </c>
      <c r="Q13" s="73">
        <f>COUNTIFS('②-1職員名簿'!AT$7:AT$106,"A",'②-1職員名簿'!$W$7:$W$106,$P$5,'②-2勤務時間数入力'!V$7:V$106,"常")</f>
        <v>0</v>
      </c>
      <c r="R13" s="73">
        <f>SUMIFS('②-2勤務時間数入力'!V$7:V$106,'②-1職員名簿'!AT$7:AT$106,"A",'②-1職員名簿'!$W$7:$W$106,$P$5)</f>
        <v>0</v>
      </c>
      <c r="S13" s="73">
        <f>COUNTIFS('②-1職員名簿'!AT$7:AT$106,"A",'②-1職員名簿'!$W$7:$W$106,$S$5,'②-2勤務時間数入力'!J$7:J$106,"正")</f>
        <v>0</v>
      </c>
      <c r="T13" s="73">
        <f>COUNTIFS('②-1職員名簿'!AT$7:AT$106,"A",'②-1職員名簿'!$W$7:$W$106,$S$5,'②-2勤務時間数入力'!V$7:V$106,"常")</f>
        <v>0</v>
      </c>
      <c r="U13" s="73">
        <f>SUMIFS('②-2勤務時間数入力'!V$7:V$106,'②-1職員名簿'!AT$7:AT$106,"A",'②-1職員名簿'!$W$7:$W$106,$S$5)</f>
        <v>0</v>
      </c>
      <c r="V13" s="162">
        <f t="shared" si="0"/>
        <v>0</v>
      </c>
      <c r="W13" s="162">
        <f t="shared" si="1"/>
        <v>0</v>
      </c>
      <c r="X13" s="174" t="e">
        <f t="shared" si="2"/>
        <v>#DIV/0!</v>
      </c>
      <c r="Y13" s="265" t="e">
        <f t="shared" si="3"/>
        <v>#N/A</v>
      </c>
      <c r="Z13" s="266" t="e">
        <f t="shared" si="4"/>
        <v>#N/A</v>
      </c>
      <c r="AA13" s="361" t="e">
        <f t="shared" si="5"/>
        <v>#DIV/0!</v>
      </c>
      <c r="AB13" s="361" t="e">
        <f t="shared" si="6"/>
        <v>#DIV/0!</v>
      </c>
      <c r="AC13" s="175"/>
      <c r="AD13" s="176" t="e">
        <f>'④-2月別配置内訳書(2)-(2)-(B)'!AG13</f>
        <v>#N/A</v>
      </c>
      <c r="AE13" s="176" t="e">
        <f>'④-3月別配置内訳書(2)-(2)-(C)・(D)'!W13</f>
        <v>#DIV/0!</v>
      </c>
      <c r="AF13" s="39"/>
      <c r="AG13" s="163">
        <v>8</v>
      </c>
      <c r="AH13" s="431" t="e">
        <f t="shared" si="9"/>
        <v>#DIV/0!</v>
      </c>
      <c r="AI13" s="193" t="e">
        <f t="shared" si="10"/>
        <v>#DIV/0!</v>
      </c>
      <c r="AK13" s="265" t="e">
        <f t="shared" si="7"/>
        <v>#N/A</v>
      </c>
      <c r="AL13" s="265" t="e">
        <f t="shared" si="8"/>
        <v>#N/A</v>
      </c>
      <c r="AN13" s="262">
        <v>0</v>
      </c>
      <c r="AO13" s="262">
        <v>1</v>
      </c>
    </row>
    <row r="14" spans="1:41" s="34" customFormat="1" ht="36" customHeight="1">
      <c r="A14" s="282">
        <v>9</v>
      </c>
      <c r="B14" s="162" t="e">
        <f>'③児童数及び職員定数 (2)-(1)'!T15</f>
        <v>#N/A</v>
      </c>
      <c r="C14" s="73">
        <f>COUNTIFS('②-1職員名簿'!AU$7:AU$106,"A",'②-2勤務時間数入力'!K$7:K$106,"正")</f>
        <v>0</v>
      </c>
      <c r="D14" s="73">
        <f>COUNTIFS('②-1職員名簿'!AU$7:AU$106,"A",'②-2勤務時間数入力'!$C$7:$C$106,"常勤的非常勤",'②-2勤務時間数入力'!W$7:W$106,"常")</f>
        <v>0</v>
      </c>
      <c r="E14" s="73">
        <f>SUMIFS('②-2勤務時間数入力'!W$7:W$106,'②-1職員名簿'!AU$7:AU$106,"A",'②-1職員名簿'!$C$7:$C$106,"パート")</f>
        <v>0</v>
      </c>
      <c r="F14" s="73">
        <f>COUNTIFS('②-1職員名簿'!AU$7:AU$106,"A",'②-2勤務時間数入力'!$C$7:$C$106,"嘱託常勤",'②-2勤務時間数入力'!W$7:W$106,"常")</f>
        <v>0</v>
      </c>
      <c r="G14" s="73">
        <f>SUMIFS('②-2勤務時間数入力'!W$7:W$106,'②-1職員名簿'!AU$7:AU$106,"A",'②-1職員名簿'!$C$7:$C$106,"嘱託等")</f>
        <v>0</v>
      </c>
      <c r="H14" s="165">
        <f>'②-2勤務時間数入力'!AH12</f>
        <v>0</v>
      </c>
      <c r="I14" s="166">
        <f>COUNTIFS('②-1職員名簿'!W7:W106,"園長",'②-1職員名簿'!AU$7:AU$106,"A",'②-1職員名簿'!AH$7:AH$106,"○")</f>
        <v>0</v>
      </c>
      <c r="J14" s="73">
        <f>COUNTIFS('②-1職員名簿'!AU$7:AU$106,"A",'②-1職員名簿'!$W$7:$W$106,$J$5,'②-2勤務時間数入力'!K$7:K$106,"正")</f>
        <v>0</v>
      </c>
      <c r="K14" s="73">
        <f>COUNTIFS('②-1職員名簿'!AU$7:AU$106,"A",'②-1職員名簿'!$W$7:$W$106,$J$5,'②-2勤務時間数入力'!W$7:W$106,"常")</f>
        <v>0</v>
      </c>
      <c r="L14" s="73">
        <f>SUMIFS('②-2勤務時間数入力'!W$7:W$106,'②-1職員名簿'!AU$7:AU$106,"A",'②-1職員名簿'!$W$7:$W$106,$J$5)</f>
        <v>0</v>
      </c>
      <c r="M14" s="73">
        <f>COUNTIFS('②-1職員名簿'!AU$7:AU$106,"A",'②-1職員名簿'!$W$7:$W$106,$M$5,'②-2勤務時間数入力'!K$7:K$106,"正")</f>
        <v>0</v>
      </c>
      <c r="N14" s="73">
        <f>COUNTIFS('②-1職員名簿'!AU$7:AU$106,"A",'②-1職員名簿'!$W$7:$W$106,$M$5,'②-2勤務時間数入力'!W$7:W$106,"常")</f>
        <v>0</v>
      </c>
      <c r="O14" s="73">
        <f>SUMIFS('②-2勤務時間数入力'!W$7:W$106,'②-1職員名簿'!AU$7:AU$106,"A",'②-1職員名簿'!$W$7:$W$106,$M$5)</f>
        <v>0</v>
      </c>
      <c r="P14" s="73">
        <f>COUNTIFS('②-1職員名簿'!AU$7:AU$106,"A",'②-1職員名簿'!$W$7:$W$106,$P$5,'②-2勤務時間数入力'!K$7:K$106,"正")</f>
        <v>0</v>
      </c>
      <c r="Q14" s="73">
        <f>COUNTIFS('②-1職員名簿'!AU$7:AU$106,"A",'②-1職員名簿'!$W$7:$W$106,$P$5,'②-2勤務時間数入力'!W$7:W$106,"常")</f>
        <v>0</v>
      </c>
      <c r="R14" s="73">
        <f>SUMIFS('②-2勤務時間数入力'!W$7:W$106,'②-1職員名簿'!AU$7:AU$106,"A",'②-1職員名簿'!$W$7:$W$106,$P$5)</f>
        <v>0</v>
      </c>
      <c r="S14" s="73">
        <f>COUNTIFS('②-1職員名簿'!AU$7:AU$106,"A",'②-1職員名簿'!$W$7:$W$106,$S$5,'②-2勤務時間数入力'!K$7:K$106,"正")</f>
        <v>0</v>
      </c>
      <c r="T14" s="73">
        <f>COUNTIFS('②-1職員名簿'!AU$7:AU$106,"A",'②-1職員名簿'!$W$7:$W$106,$S$5,'②-2勤務時間数入力'!W$7:W$106,"常")</f>
        <v>0</v>
      </c>
      <c r="U14" s="73">
        <f>SUMIFS('②-2勤務時間数入力'!W$7:W$106,'②-1職員名簿'!AU$7:AU$106,"A",'②-1職員名簿'!$W$7:$W$106,$S$5)</f>
        <v>0</v>
      </c>
      <c r="V14" s="162">
        <f t="shared" si="0"/>
        <v>0</v>
      </c>
      <c r="W14" s="162">
        <f t="shared" si="1"/>
        <v>0</v>
      </c>
      <c r="X14" s="174" t="e">
        <f t="shared" si="2"/>
        <v>#DIV/0!</v>
      </c>
      <c r="Y14" s="265" t="e">
        <f t="shared" si="3"/>
        <v>#N/A</v>
      </c>
      <c r="Z14" s="266" t="e">
        <f t="shared" si="4"/>
        <v>#N/A</v>
      </c>
      <c r="AA14" s="361" t="e">
        <f>V14+W14+X14-Y14-Z14</f>
        <v>#DIV/0!</v>
      </c>
      <c r="AB14" s="361" t="e">
        <f>AA14-B14</f>
        <v>#DIV/0!</v>
      </c>
      <c r="AC14" s="175"/>
      <c r="AD14" s="176" t="e">
        <f>'④-2月別配置内訳書(2)-(2)-(B)'!AG14</f>
        <v>#N/A</v>
      </c>
      <c r="AE14" s="176" t="e">
        <f>'④-3月別配置内訳書(2)-(2)-(C)・(D)'!W14</f>
        <v>#DIV/0!</v>
      </c>
      <c r="AF14" s="39"/>
      <c r="AG14" s="163">
        <v>9</v>
      </c>
      <c r="AH14" s="431" t="e">
        <f>IF(ROUNDDOWN(SUM(AA14,AD14,AE14),0)&gt;=B14,"○",B14-ROUNDDOWN(SUM(AA14,AD14,AE14),0))</f>
        <v>#DIV/0!</v>
      </c>
      <c r="AI14" s="193" t="e">
        <f t="shared" si="10"/>
        <v>#DIV/0!</v>
      </c>
      <c r="AK14" s="265" t="e">
        <f t="shared" si="7"/>
        <v>#N/A</v>
      </c>
      <c r="AL14" s="265" t="e">
        <f t="shared" si="8"/>
        <v>#N/A</v>
      </c>
      <c r="AN14" s="262">
        <v>46</v>
      </c>
      <c r="AO14" s="262">
        <v>2</v>
      </c>
    </row>
    <row r="15" spans="1:41" s="34" customFormat="1" ht="36" customHeight="1">
      <c r="A15" s="282">
        <v>10</v>
      </c>
      <c r="B15" s="162" t="e">
        <f>'③児童数及び職員定数 (2)-(1)'!T16</f>
        <v>#N/A</v>
      </c>
      <c r="C15" s="73">
        <f>COUNTIFS('②-1職員名簿'!AV$7:AV$106,"A",'②-2勤務時間数入力'!L$7:L$106,"正")</f>
        <v>0</v>
      </c>
      <c r="D15" s="73">
        <f>COUNTIFS('②-1職員名簿'!AV$7:AV$106,"A",'②-2勤務時間数入力'!$C$7:$C$106,"常勤的非常勤",'②-2勤務時間数入力'!X$7:X$106,"常")</f>
        <v>0</v>
      </c>
      <c r="E15" s="73">
        <f>SUMIFS('②-2勤務時間数入力'!X$7:X$106,'②-1職員名簿'!AV$7:AV$106,"A",'②-1職員名簿'!$C$7:$C$106,"パート")</f>
        <v>0</v>
      </c>
      <c r="F15" s="73">
        <f>COUNTIFS('②-1職員名簿'!AV$7:AV$106,"A",'②-2勤務時間数入力'!$C$7:$C$106,"嘱託常勤",'②-2勤務時間数入力'!X$7:X$106,"常")</f>
        <v>0</v>
      </c>
      <c r="G15" s="73">
        <f>SUMIFS('②-2勤務時間数入力'!X$7:X$106,'②-1職員名簿'!AV$7:AV$106,"A",'②-1職員名簿'!$C$7:$C$106,"嘱託等")</f>
        <v>0</v>
      </c>
      <c r="H15" s="165">
        <f>'②-2勤務時間数入力'!AH13</f>
        <v>0</v>
      </c>
      <c r="I15" s="166">
        <f>COUNTIFS('②-1職員名簿'!W7:W106,"園長",'②-1職員名簿'!AV$7:AV$106,"A",'②-1職員名簿'!AI$7:AI$106,"○")</f>
        <v>0</v>
      </c>
      <c r="J15" s="73">
        <f>COUNTIFS('②-1職員名簿'!AV$7:AV$106,"A",'②-1職員名簿'!$W$7:$W$106,$J$5,'②-2勤務時間数入力'!L$7:L$106,"正")</f>
        <v>0</v>
      </c>
      <c r="K15" s="73">
        <f>COUNTIFS('②-1職員名簿'!AV$7:AV$106,"A",'②-1職員名簿'!$W$7:$W$106,$J$5,'②-2勤務時間数入力'!X$7:X$106,"常")</f>
        <v>0</v>
      </c>
      <c r="L15" s="73">
        <f>SUMIFS('②-2勤務時間数入力'!X$7:X$106,'②-1職員名簿'!AV$7:AV$106,"A",'②-1職員名簿'!$W$7:$W$106,$J$5)</f>
        <v>0</v>
      </c>
      <c r="M15" s="73">
        <f>COUNTIFS('②-1職員名簿'!AV$7:AV$106,"A",'②-1職員名簿'!$W$7:$W$106,$M$5,'②-2勤務時間数入力'!L$7:L$106,"正")</f>
        <v>0</v>
      </c>
      <c r="N15" s="73">
        <f>COUNTIFS('②-1職員名簿'!AV$7:AV$106,"A",'②-1職員名簿'!$W$7:$W$106,$M$5,'②-2勤務時間数入力'!X$7:X$106,"常")</f>
        <v>0</v>
      </c>
      <c r="O15" s="73">
        <f>SUMIFS('②-2勤務時間数入力'!X$7:X$106,'②-1職員名簿'!AV$7:AV$106,"A",'②-1職員名簿'!$W$7:$W$106,$M$5)</f>
        <v>0</v>
      </c>
      <c r="P15" s="73">
        <f>COUNTIFS('②-1職員名簿'!AV$7:AV$106,"A",'②-1職員名簿'!$W$7:$W$106,$P$5,'②-2勤務時間数入力'!L$7:L$106,"正")</f>
        <v>0</v>
      </c>
      <c r="Q15" s="73">
        <f>COUNTIFS('②-1職員名簿'!AV$7:AV$106,"A",'②-1職員名簿'!$W$7:$W$106,$P$5,'②-2勤務時間数入力'!X$7:X$106,"常")</f>
        <v>0</v>
      </c>
      <c r="R15" s="73">
        <f>SUMIFS('②-2勤務時間数入力'!X$7:X$106,'②-1職員名簿'!AV$7:AV$106,"A",'②-1職員名簿'!$W$7:$W$106,$P$5)</f>
        <v>0</v>
      </c>
      <c r="S15" s="73">
        <f>COUNTIFS('②-1職員名簿'!AV$7:AV$106,"A",'②-1職員名簿'!$W$7:$W$106,$S$5,'②-2勤務時間数入力'!L$7:L$106,"正")</f>
        <v>0</v>
      </c>
      <c r="T15" s="73">
        <f>COUNTIFS('②-1職員名簿'!AV$7:AV$106,"A",'②-1職員名簿'!$W$7:$W$106,$S$5,'②-2勤務時間数入力'!X$7:X$106,"常")</f>
        <v>0</v>
      </c>
      <c r="U15" s="73">
        <f>SUMIFS('②-2勤務時間数入力'!X$7:X$106,'②-1職員名簿'!AV$7:AV$106,"A",'②-1職員名簿'!$W$7:$W$106,$S$5)</f>
        <v>0</v>
      </c>
      <c r="V15" s="162">
        <f t="shared" si="0"/>
        <v>0</v>
      </c>
      <c r="W15" s="162">
        <f t="shared" si="1"/>
        <v>0</v>
      </c>
      <c r="X15" s="174" t="e">
        <f t="shared" si="2"/>
        <v>#DIV/0!</v>
      </c>
      <c r="Y15" s="265" t="e">
        <f t="shared" si="3"/>
        <v>#N/A</v>
      </c>
      <c r="Z15" s="266" t="e">
        <f t="shared" si="4"/>
        <v>#N/A</v>
      </c>
      <c r="AA15" s="361" t="e">
        <f t="shared" si="5"/>
        <v>#DIV/0!</v>
      </c>
      <c r="AB15" s="361" t="e">
        <f t="shared" si="6"/>
        <v>#DIV/0!</v>
      </c>
      <c r="AC15" s="175"/>
      <c r="AD15" s="176" t="e">
        <f>'④-2月別配置内訳書(2)-(2)-(B)'!AG15</f>
        <v>#N/A</v>
      </c>
      <c r="AE15" s="176" t="e">
        <f>'④-3月別配置内訳書(2)-(2)-(C)・(D)'!W15</f>
        <v>#DIV/0!</v>
      </c>
      <c r="AF15" s="39"/>
      <c r="AG15" s="163">
        <v>10</v>
      </c>
      <c r="AH15" s="431" t="e">
        <f t="shared" si="9"/>
        <v>#DIV/0!</v>
      </c>
      <c r="AI15" s="193" t="e">
        <f t="shared" si="10"/>
        <v>#DIV/0!</v>
      </c>
      <c r="AK15" s="265" t="e">
        <f t="shared" si="7"/>
        <v>#N/A</v>
      </c>
      <c r="AL15" s="265" t="e">
        <f t="shared" si="8"/>
        <v>#N/A</v>
      </c>
      <c r="AN15" s="262">
        <v>151</v>
      </c>
      <c r="AO15" s="262">
        <v>3</v>
      </c>
    </row>
    <row r="16" spans="1:41" s="34" customFormat="1" ht="36" customHeight="1">
      <c r="A16" s="282">
        <v>11</v>
      </c>
      <c r="B16" s="162" t="e">
        <f>'③児童数及び職員定数 (2)-(1)'!T17</f>
        <v>#N/A</v>
      </c>
      <c r="C16" s="73">
        <f>COUNTIFS('②-1職員名簿'!AW$7:AW$106,"A",'②-2勤務時間数入力'!M$7:M$106,"正")</f>
        <v>0</v>
      </c>
      <c r="D16" s="73">
        <f>COUNTIFS('②-1職員名簿'!AW$7:AW$106,"A",'②-2勤務時間数入力'!$C$7:$C$106,"常勤的非常勤",'②-2勤務時間数入力'!Y$7:Y$106,"常")</f>
        <v>0</v>
      </c>
      <c r="E16" s="73">
        <f>SUMIFS('②-2勤務時間数入力'!Y$7:Y$106,'②-1職員名簿'!AW$7:AW$106,"A",'②-1職員名簿'!$C$7:$C$106,"パート")</f>
        <v>0</v>
      </c>
      <c r="F16" s="73">
        <f>COUNTIFS('②-1職員名簿'!AW$7:AW$106,"A",'②-2勤務時間数入力'!$C$7:$C$106,"嘱託常勤",'②-2勤務時間数入力'!Y$7:Y$106,"常")</f>
        <v>0</v>
      </c>
      <c r="G16" s="73">
        <f>SUMIFS('②-2勤務時間数入力'!Y$7:Y$106,'②-1職員名簿'!AW$7:AW$106,"A",'②-1職員名簿'!$C$7:$C$106,"嘱託等")</f>
        <v>0</v>
      </c>
      <c r="H16" s="165">
        <f>'②-2勤務時間数入力'!AH14</f>
        <v>0</v>
      </c>
      <c r="I16" s="166">
        <f>COUNTIFS('②-1職員名簿'!W7:W106,"園長",'②-1職員名簿'!AW$7:AW$106,"A",'②-1職員名簿'!AJ$7:AJ$106,"○")</f>
        <v>0</v>
      </c>
      <c r="J16" s="73">
        <f>COUNTIFS('②-1職員名簿'!AW$7:AW$106,"A",'②-1職員名簿'!$W$7:$W$106,$J$5,'②-2勤務時間数入力'!M$7:M$106,"正")</f>
        <v>0</v>
      </c>
      <c r="K16" s="73">
        <f>COUNTIFS('②-1職員名簿'!AW$7:AW$106,"A",'②-1職員名簿'!$W$7:$W$106,$J$5,'②-2勤務時間数入力'!Y$7:Y$106,"常")</f>
        <v>0</v>
      </c>
      <c r="L16" s="73">
        <f>SUMIFS('②-2勤務時間数入力'!Y$7:Y$106,'②-1職員名簿'!AW$7:AW$106,"A",'②-1職員名簿'!$W$7:$W$106,$J$5)</f>
        <v>0</v>
      </c>
      <c r="M16" s="73">
        <f>COUNTIFS('②-1職員名簿'!AW$7:AW$106,"A",'②-1職員名簿'!$W$7:$W$106,$M$5,'②-2勤務時間数入力'!M$7:M$106,"正")</f>
        <v>0</v>
      </c>
      <c r="N16" s="73">
        <f>COUNTIFS('②-1職員名簿'!AW$7:AW$106,"A",'②-1職員名簿'!$W$7:$W$106,$M$5,'②-2勤務時間数入力'!Y$7:Y$106,"常")</f>
        <v>0</v>
      </c>
      <c r="O16" s="73">
        <f>SUMIFS('②-2勤務時間数入力'!Y$7:Y$106,'②-1職員名簿'!AW$7:AW$106,"A",'②-1職員名簿'!$W$7:$W$106,$M$5)</f>
        <v>0</v>
      </c>
      <c r="P16" s="73">
        <f>COUNTIFS('②-1職員名簿'!AW$7:AW$106,"A",'②-1職員名簿'!$W$7:$W$106,$P$5,'②-2勤務時間数入力'!M$7:M$106,"正")</f>
        <v>0</v>
      </c>
      <c r="Q16" s="73">
        <f>COUNTIFS('②-1職員名簿'!AW$7:AW$106,"A",'②-1職員名簿'!$W$7:$W$106,$P$5,'②-2勤務時間数入力'!Y$7:Y$106,"常")</f>
        <v>0</v>
      </c>
      <c r="R16" s="73">
        <f>SUMIFS('②-2勤務時間数入力'!Y$7:Y$106,'②-1職員名簿'!AW$7:AW$106,"A",'②-1職員名簿'!$W$7:$W$106,$P$5)</f>
        <v>0</v>
      </c>
      <c r="S16" s="73">
        <f>COUNTIFS('②-1職員名簿'!AW$7:AW$106,"A",'②-1職員名簿'!$W$7:$W$106,$S$5,'②-2勤務時間数入力'!M$7:M$106,"正")</f>
        <v>0</v>
      </c>
      <c r="T16" s="73">
        <f>COUNTIFS('②-1職員名簿'!AW$7:AW$106,"A",'②-1職員名簿'!$W$7:$W$106,$S$5,'②-2勤務時間数入力'!Y$7:Y$106,"常")</f>
        <v>0</v>
      </c>
      <c r="U16" s="73">
        <f>SUMIFS('②-2勤務時間数入力'!Y$7:Y$106,'②-1職員名簿'!AW$7:AW$106,"A",'②-1職員名簿'!$W$7:$W$106,$S$5)</f>
        <v>0</v>
      </c>
      <c r="V16" s="162">
        <f t="shared" si="0"/>
        <v>0</v>
      </c>
      <c r="W16" s="162">
        <f t="shared" si="1"/>
        <v>0</v>
      </c>
      <c r="X16" s="174" t="e">
        <f t="shared" si="2"/>
        <v>#DIV/0!</v>
      </c>
      <c r="Y16" s="265" t="e">
        <f t="shared" si="3"/>
        <v>#N/A</v>
      </c>
      <c r="Z16" s="266" t="e">
        <f t="shared" si="4"/>
        <v>#N/A</v>
      </c>
      <c r="AA16" s="361" t="e">
        <f t="shared" si="5"/>
        <v>#DIV/0!</v>
      </c>
      <c r="AB16" s="361" t="e">
        <f t="shared" si="6"/>
        <v>#DIV/0!</v>
      </c>
      <c r="AC16" s="175"/>
      <c r="AD16" s="176" t="e">
        <f>'④-2月別配置内訳書(2)-(2)-(B)'!AG16</f>
        <v>#N/A</v>
      </c>
      <c r="AE16" s="176" t="e">
        <f>'④-3月別配置内訳書(2)-(2)-(C)・(D)'!W16</f>
        <v>#DIV/0!</v>
      </c>
      <c r="AF16" s="39"/>
      <c r="AG16" s="163">
        <v>11</v>
      </c>
      <c r="AH16" s="431" t="e">
        <f>IF(ROUNDDOWN(SUM(AA16,AD16,AE16),0)&gt;=B16,"○",B16-ROUNDDOWN(SUM(AA16,AD16,AE16),0))</f>
        <v>#DIV/0!</v>
      </c>
      <c r="AI16" s="193" t="e">
        <f t="shared" si="10"/>
        <v>#DIV/0!</v>
      </c>
      <c r="AK16" s="265" t="e">
        <f t="shared" si="7"/>
        <v>#N/A</v>
      </c>
      <c r="AL16" s="265" t="e">
        <f t="shared" si="8"/>
        <v>#N/A</v>
      </c>
      <c r="AN16" s="262">
        <v>241</v>
      </c>
      <c r="AO16" s="262">
        <v>3.5</v>
      </c>
    </row>
    <row r="17" spans="1:41" s="34" customFormat="1" ht="36" customHeight="1">
      <c r="A17" s="282">
        <v>12</v>
      </c>
      <c r="B17" s="162" t="e">
        <f>'③児童数及び職員定数 (2)-(1)'!T18</f>
        <v>#N/A</v>
      </c>
      <c r="C17" s="73">
        <f>COUNTIFS('②-1職員名簿'!AX$7:AX$106,"A",'②-2勤務時間数入力'!N$7:N$106,"正")</f>
        <v>0</v>
      </c>
      <c r="D17" s="73">
        <f>COUNTIFS('②-1職員名簿'!AX$7:AX$106,"A",'②-2勤務時間数入力'!$C$7:$C$106,"常勤的非常勤",'②-2勤務時間数入力'!Z$7:Z$106,"常")</f>
        <v>0</v>
      </c>
      <c r="E17" s="73">
        <f>SUMIFS('②-2勤務時間数入力'!Z$7:Z$106,'②-1職員名簿'!AX$7:AX$106,"A",'②-1職員名簿'!$C$7:$C$106,"パート")</f>
        <v>0</v>
      </c>
      <c r="F17" s="73">
        <f>COUNTIFS('②-1職員名簿'!AX$7:AX$106,"A",'②-2勤務時間数入力'!$C$7:$C$106,"嘱託常勤",'②-2勤務時間数入力'!Z$7:Z$106,"常")</f>
        <v>0</v>
      </c>
      <c r="G17" s="73">
        <f>SUMIFS('②-2勤務時間数入力'!Z$7:Z$106,'②-1職員名簿'!AX$7:AX$106,"A",'②-1職員名簿'!$C$7:$C$106,"嘱託等")</f>
        <v>0</v>
      </c>
      <c r="H17" s="165">
        <f>'②-2勤務時間数入力'!AH15</f>
        <v>0</v>
      </c>
      <c r="I17" s="166">
        <f>COUNTIFS('②-1職員名簿'!W7:W106,"園長",'②-1職員名簿'!AX$7:AX$106,"A",'②-1職員名簿'!AK$7:AK$106,"○")</f>
        <v>0</v>
      </c>
      <c r="J17" s="73">
        <f>COUNTIFS('②-1職員名簿'!AX$7:AX$106,"A",'②-1職員名簿'!$W$7:$W$106,$J$5,'②-2勤務時間数入力'!N$7:N$106,"正")</f>
        <v>0</v>
      </c>
      <c r="K17" s="73">
        <f>COUNTIFS('②-1職員名簿'!AX$7:AX$106,"A",'②-1職員名簿'!$W$7:$W$106,$J$5,'②-2勤務時間数入力'!Z$7:Z$106,"常")</f>
        <v>0</v>
      </c>
      <c r="L17" s="73">
        <f>SUMIFS('②-2勤務時間数入力'!Z$7:Z$106,'②-1職員名簿'!AX$7:AX$106,"A",'②-1職員名簿'!$W$7:$W$106,$J$5)</f>
        <v>0</v>
      </c>
      <c r="M17" s="73">
        <f>COUNTIFS('②-1職員名簿'!AX$7:AX$106,"A",'②-1職員名簿'!$W$7:$W$106,$M$5,'②-2勤務時間数入力'!N$7:N$106,"正")</f>
        <v>0</v>
      </c>
      <c r="N17" s="73">
        <f>COUNTIFS('②-1職員名簿'!AX$7:AX$106,"A",'②-1職員名簿'!$W$7:$W$106,$M$5,'②-2勤務時間数入力'!Z$7:Z$106,"常")</f>
        <v>0</v>
      </c>
      <c r="O17" s="73">
        <f>SUMIFS('②-2勤務時間数入力'!Z$7:Z$106,'②-1職員名簿'!AX$7:AX$106,"A",'②-1職員名簿'!$W$7:$W$106,$M$5)</f>
        <v>0</v>
      </c>
      <c r="P17" s="73">
        <f>COUNTIFS('②-1職員名簿'!AX$7:AX$106,"A",'②-1職員名簿'!$W$7:$W$106,$P$5,'②-2勤務時間数入力'!N$7:N$106,"正")</f>
        <v>0</v>
      </c>
      <c r="Q17" s="73">
        <f>COUNTIFS('②-1職員名簿'!AX$7:AX$106,"A",'②-1職員名簿'!$W$7:$W$106,$P$5,'②-2勤務時間数入力'!Z$7:Z$106,"常")</f>
        <v>0</v>
      </c>
      <c r="R17" s="73">
        <f>SUMIFS('②-2勤務時間数入力'!Z$7:Z$106,'②-1職員名簿'!AX$7:AX$106,"A",'②-1職員名簿'!$W$7:$W$106,$P$5)</f>
        <v>0</v>
      </c>
      <c r="S17" s="73">
        <f>COUNTIFS('②-1職員名簿'!AX$7:AX$106,"A",'②-1職員名簿'!$W$7:$W$106,$S$5,'②-2勤務時間数入力'!N$7:N$106,"正")</f>
        <v>0</v>
      </c>
      <c r="T17" s="73">
        <f>COUNTIFS('②-1職員名簿'!AX$7:AX$106,"A",'②-1職員名簿'!$W$7:$W$106,$S$5,'②-2勤務時間数入力'!Z$7:Z$106,"常")</f>
        <v>0</v>
      </c>
      <c r="U17" s="73">
        <f>SUMIFS('②-2勤務時間数入力'!Z$7:Z$106,'②-1職員名簿'!AX$7:AX$106,"A",'②-1職員名簿'!$W$7:$W$106,$S$5)</f>
        <v>0</v>
      </c>
      <c r="V17" s="162">
        <f t="shared" si="0"/>
        <v>0</v>
      </c>
      <c r="W17" s="162">
        <f t="shared" si="1"/>
        <v>0</v>
      </c>
      <c r="X17" s="174" t="e">
        <f t="shared" si="2"/>
        <v>#DIV/0!</v>
      </c>
      <c r="Y17" s="265" t="e">
        <f t="shared" si="3"/>
        <v>#N/A</v>
      </c>
      <c r="Z17" s="266" t="e">
        <f t="shared" si="4"/>
        <v>#N/A</v>
      </c>
      <c r="AA17" s="361" t="e">
        <f t="shared" si="5"/>
        <v>#DIV/0!</v>
      </c>
      <c r="AB17" s="361" t="e">
        <f t="shared" si="6"/>
        <v>#DIV/0!</v>
      </c>
      <c r="AC17" s="175"/>
      <c r="AD17" s="176" t="e">
        <f>'④-2月別配置内訳書(2)-(2)-(B)'!AG17</f>
        <v>#N/A</v>
      </c>
      <c r="AE17" s="176" t="e">
        <f>'④-3月別配置内訳書(2)-(2)-(C)・(D)'!W17</f>
        <v>#DIV/0!</v>
      </c>
      <c r="AF17" s="39"/>
      <c r="AG17" s="163">
        <v>12</v>
      </c>
      <c r="AH17" s="431" t="e">
        <f t="shared" si="9"/>
        <v>#DIV/0!</v>
      </c>
      <c r="AI17" s="193" t="e">
        <f t="shared" si="10"/>
        <v>#DIV/0!</v>
      </c>
      <c r="AK17" s="265" t="e">
        <f t="shared" si="7"/>
        <v>#N/A</v>
      </c>
      <c r="AL17" s="265" t="e">
        <f t="shared" si="8"/>
        <v>#N/A</v>
      </c>
      <c r="AN17" s="262">
        <v>271</v>
      </c>
      <c r="AO17" s="262">
        <v>5</v>
      </c>
    </row>
    <row r="18" spans="1:41" s="34" customFormat="1" ht="36" customHeight="1">
      <c r="A18" s="282">
        <v>1</v>
      </c>
      <c r="B18" s="162" t="e">
        <f>'③児童数及び職員定数 (2)-(1)'!T19</f>
        <v>#N/A</v>
      </c>
      <c r="C18" s="73">
        <f>COUNTIFS('②-1職員名簿'!AY$7:AY$106,"A",'②-2勤務時間数入力'!O$7:O$106,"正")</f>
        <v>0</v>
      </c>
      <c r="D18" s="73">
        <f>COUNTIFS('②-1職員名簿'!AY$7:AY$106,"A",'②-2勤務時間数入力'!$C$7:$C$106,"常勤的非常勤",'②-2勤務時間数入力'!AA$7:AA$106,"常")</f>
        <v>0</v>
      </c>
      <c r="E18" s="73">
        <f>SUMIFS('②-2勤務時間数入力'!AA$7:AA$106,'②-1職員名簿'!AY$7:AY$106,"A",'②-1職員名簿'!$C$7:$C$106,"パート")</f>
        <v>0</v>
      </c>
      <c r="F18" s="73">
        <f>COUNTIFS('②-1職員名簿'!AY$7:AY$106,"A",'②-2勤務時間数入力'!$C$7:$C$106,"嘱託常勤",'②-2勤務時間数入力'!AA$7:AA$106,"常")</f>
        <v>0</v>
      </c>
      <c r="G18" s="73">
        <f>SUMIFS('②-2勤務時間数入力'!AA$7:AA$106,'②-1職員名簿'!AY$7:AY$106,"A",'②-1職員名簿'!$C$7:$C$106,"嘱託等")</f>
        <v>0</v>
      </c>
      <c r="H18" s="165">
        <f>'②-2勤務時間数入力'!AH16</f>
        <v>0</v>
      </c>
      <c r="I18" s="166">
        <f>COUNTIFS('②-1職員名簿'!W7:W106,"園長",'②-1職員名簿'!AY$7:AY$106,"A",'②-1職員名簿'!AL$7:AL$106,"○")</f>
        <v>0</v>
      </c>
      <c r="J18" s="73">
        <f>COUNTIFS('②-1職員名簿'!AY$7:AY$106,"A",'②-1職員名簿'!$W$7:$W$106,$J$5,'②-2勤務時間数入力'!O$7:O$106,"正")</f>
        <v>0</v>
      </c>
      <c r="K18" s="73">
        <f>COUNTIFS('②-1職員名簿'!AY$7:AY$106,"A",'②-1職員名簿'!$W$7:$W$106,$J$5,'②-2勤務時間数入力'!AA$7:AA$106,"常")</f>
        <v>0</v>
      </c>
      <c r="L18" s="73">
        <f>SUMIFS('②-2勤務時間数入力'!AA$7:AA$106,'②-1職員名簿'!AY$7:AY$106,"A",'②-1職員名簿'!$W$7:$W$106,$J$5)</f>
        <v>0</v>
      </c>
      <c r="M18" s="73">
        <f>COUNTIFS('②-1職員名簿'!AY$7:AY$106,"A",'②-1職員名簿'!$W$7:$W$106,$M$5,'②-2勤務時間数入力'!O$7:O$106,"正")</f>
        <v>0</v>
      </c>
      <c r="N18" s="73">
        <f>COUNTIFS('②-1職員名簿'!AY$7:AY$106,"A",'②-1職員名簿'!$W$7:$W$106,$M$5,'②-2勤務時間数入力'!AA$7:AA$106,"常")</f>
        <v>0</v>
      </c>
      <c r="O18" s="73">
        <f>SUMIFS('②-2勤務時間数入力'!AA$7:AA$106,'②-1職員名簿'!AY$7:AY$106,"A",'②-1職員名簿'!$W$7:$W$106,$M$5)</f>
        <v>0</v>
      </c>
      <c r="P18" s="73">
        <f>COUNTIFS('②-1職員名簿'!AY$7:AY$106,"A",'②-1職員名簿'!$W$7:$W$106,$P$5,'②-2勤務時間数入力'!O$7:O$106,"正")</f>
        <v>0</v>
      </c>
      <c r="Q18" s="73">
        <f>COUNTIFS('②-1職員名簿'!AY$7:AY$106,"A",'②-1職員名簿'!$W$7:$W$106,$P$5,'②-2勤務時間数入力'!AA$7:AA$106,"常")</f>
        <v>0</v>
      </c>
      <c r="R18" s="73">
        <f>SUMIFS('②-2勤務時間数入力'!AA$7:AA$106,'②-1職員名簿'!AY$7:AY$106,"A",'②-1職員名簿'!$W$7:$W$106,$P$5)</f>
        <v>0</v>
      </c>
      <c r="S18" s="73">
        <f>COUNTIFS('②-1職員名簿'!AY$7:AY$106,"A",'②-1職員名簿'!$W$7:$W$106,$S$5,'②-2勤務時間数入力'!O$7:O$106,"正")</f>
        <v>0</v>
      </c>
      <c r="T18" s="73">
        <f>COUNTIFS('②-1職員名簿'!AY$7:AY$106,"A",'②-1職員名簿'!$W$7:$W$106,$S$5,'②-2勤務時間数入力'!AA$7:AA$106,"常")</f>
        <v>0</v>
      </c>
      <c r="U18" s="73">
        <f>SUMIFS('②-2勤務時間数入力'!AA$7:AA$106,'②-1職員名簿'!AY$7:AY$106,"A",'②-1職員名簿'!$W$7:$W$106,$S$5)</f>
        <v>0</v>
      </c>
      <c r="V18" s="162">
        <f t="shared" si="0"/>
        <v>0</v>
      </c>
      <c r="W18" s="162">
        <f t="shared" si="1"/>
        <v>0</v>
      </c>
      <c r="X18" s="174" t="e">
        <f t="shared" si="2"/>
        <v>#DIV/0!</v>
      </c>
      <c r="Y18" s="265" t="e">
        <f t="shared" si="3"/>
        <v>#N/A</v>
      </c>
      <c r="Z18" s="266" t="e">
        <f t="shared" si="4"/>
        <v>#N/A</v>
      </c>
      <c r="AA18" s="361" t="e">
        <f t="shared" si="5"/>
        <v>#DIV/0!</v>
      </c>
      <c r="AB18" s="361" t="e">
        <f t="shared" si="6"/>
        <v>#DIV/0!</v>
      </c>
      <c r="AC18" s="175"/>
      <c r="AD18" s="176" t="e">
        <f>'④-2月別配置内訳書(2)-(2)-(B)'!AG18</f>
        <v>#N/A</v>
      </c>
      <c r="AE18" s="176" t="e">
        <f>'④-3月別配置内訳書(2)-(2)-(C)・(D)'!W18</f>
        <v>#DIV/0!</v>
      </c>
      <c r="AF18" s="39"/>
      <c r="AG18" s="163">
        <v>1</v>
      </c>
      <c r="AH18" s="431" t="e">
        <f t="shared" si="9"/>
        <v>#DIV/0!</v>
      </c>
      <c r="AI18" s="193" t="e">
        <f t="shared" si="10"/>
        <v>#DIV/0!</v>
      </c>
      <c r="AK18" s="265" t="e">
        <f t="shared" si="7"/>
        <v>#N/A</v>
      </c>
      <c r="AL18" s="265" t="e">
        <f t="shared" si="8"/>
        <v>#N/A</v>
      </c>
      <c r="AN18" s="262">
        <v>301</v>
      </c>
      <c r="AO18" s="262">
        <v>6</v>
      </c>
    </row>
    <row r="19" spans="1:41" s="34" customFormat="1" ht="36" customHeight="1">
      <c r="A19" s="282">
        <v>2</v>
      </c>
      <c r="B19" s="162" t="e">
        <f>'③児童数及び職員定数 (2)-(1)'!T20</f>
        <v>#N/A</v>
      </c>
      <c r="C19" s="73">
        <f>COUNTIFS('②-1職員名簿'!AZ$7:AZ$106,"A",'②-2勤務時間数入力'!P$7:P$106,"正")</f>
        <v>0</v>
      </c>
      <c r="D19" s="73">
        <f>COUNTIFS('②-1職員名簿'!AZ$7:AZ$106,"A",'②-2勤務時間数入力'!$C$7:$C$106,"常勤的非常勤",'②-2勤務時間数入力'!AB$7:AB$106,"常")</f>
        <v>0</v>
      </c>
      <c r="E19" s="73">
        <f>SUMIFS('②-2勤務時間数入力'!AB$7:AB$106,'②-1職員名簿'!AZ$7:AZ$106,"A",'②-1職員名簿'!$C$7:$C$106,"パート")</f>
        <v>0</v>
      </c>
      <c r="F19" s="73">
        <f>COUNTIFS('②-1職員名簿'!AZ$7:AZ$106,"A",'②-2勤務時間数入力'!$C$7:$C$106,"嘱託常勤",'②-2勤務時間数入力'!AB$7:AB$106,"常")</f>
        <v>0</v>
      </c>
      <c r="G19" s="73">
        <f>SUMIFS('②-2勤務時間数入力'!AB$7:AB$106,'②-1職員名簿'!AZ$7:AZ$106,"A",'②-1職員名簿'!$C$7:$C$106,"嘱託等")</f>
        <v>0</v>
      </c>
      <c r="H19" s="165">
        <f>'②-2勤務時間数入力'!AH17</f>
        <v>0</v>
      </c>
      <c r="I19" s="166">
        <f>COUNTIFS('②-1職員名簿'!W7:W106,"園長",'②-1職員名簿'!AZ$7:AZ$106,"A",'②-1職員名簿'!AM$7:AM$106,"○")</f>
        <v>0</v>
      </c>
      <c r="J19" s="73">
        <f>COUNTIFS('②-1職員名簿'!AZ$7:AZ$106,"A",'②-1職員名簿'!$W$7:$W$106,$J$5,'②-2勤務時間数入力'!P$7:P$106,"正")</f>
        <v>0</v>
      </c>
      <c r="K19" s="73">
        <f>COUNTIFS('②-1職員名簿'!AZ$7:AZ$106,"A",'②-1職員名簿'!$W$7:$W$106,$J$5,'②-2勤務時間数入力'!AB$7:AB$106,"常")</f>
        <v>0</v>
      </c>
      <c r="L19" s="73">
        <f>SUMIFS('②-2勤務時間数入力'!AB$7:AB$106,'②-1職員名簿'!AZ$7:AZ$106,"A",'②-1職員名簿'!$W$7:$W$106,$J$5)</f>
        <v>0</v>
      </c>
      <c r="M19" s="73">
        <f>COUNTIFS('②-1職員名簿'!AZ$7:AZ$106,"A",'②-1職員名簿'!$W$7:$W$106,$M$5,'②-2勤務時間数入力'!P$7:P$106,"正")</f>
        <v>0</v>
      </c>
      <c r="N19" s="73">
        <f>COUNTIFS('②-1職員名簿'!AZ$7:AZ$106,"A",'②-1職員名簿'!$W$7:$W$106,$M$5,'②-2勤務時間数入力'!AB$7:AB$106,"常")</f>
        <v>0</v>
      </c>
      <c r="O19" s="73">
        <f>SUMIFS('②-2勤務時間数入力'!AB$7:AB$106,'②-1職員名簿'!AZ$7:AZ$106,"A",'②-1職員名簿'!$W$7:$W$106,$M$5)</f>
        <v>0</v>
      </c>
      <c r="P19" s="73">
        <f>COUNTIFS('②-1職員名簿'!AZ$7:AZ$106,"A",'②-1職員名簿'!$W$7:$W$106,$P$5,'②-2勤務時間数入力'!P$7:P$106,"正")</f>
        <v>0</v>
      </c>
      <c r="Q19" s="73">
        <f>COUNTIFS('②-1職員名簿'!AZ$7:AZ$106,"A",'②-1職員名簿'!$W$7:$W$106,$P$5,'②-2勤務時間数入力'!AB$7:AB$106,"常")</f>
        <v>0</v>
      </c>
      <c r="R19" s="73">
        <f>SUMIFS('②-2勤務時間数入力'!AB$7:AB$106,'②-1職員名簿'!AZ$7:AZ$106,"A",'②-1職員名簿'!$W$7:$W$106,$P$5)</f>
        <v>0</v>
      </c>
      <c r="S19" s="73">
        <f>COUNTIFS('②-1職員名簿'!AZ$7:AZ$106,"A",'②-1職員名簿'!$W$7:$W$106,$S$5,'②-2勤務時間数入力'!P$7:P$106,"正")</f>
        <v>0</v>
      </c>
      <c r="T19" s="73">
        <f>COUNTIFS('②-1職員名簿'!AZ$7:AZ$106,"A",'②-1職員名簿'!$W$7:$W$106,$S$5,'②-2勤務時間数入力'!AB$7:AB$106,"常")</f>
        <v>0</v>
      </c>
      <c r="U19" s="73">
        <f>SUMIFS('②-2勤務時間数入力'!AB$7:AB$106,'②-1職員名簿'!AZ$7:AZ$106,"A",'②-1職員名簿'!$W$7:$W$106,$S$5)</f>
        <v>0</v>
      </c>
      <c r="V19" s="162">
        <f t="shared" si="0"/>
        <v>0</v>
      </c>
      <c r="W19" s="162">
        <f t="shared" si="1"/>
        <v>0</v>
      </c>
      <c r="X19" s="174" t="e">
        <f t="shared" si="2"/>
        <v>#DIV/0!</v>
      </c>
      <c r="Y19" s="265" t="e">
        <f t="shared" si="3"/>
        <v>#N/A</v>
      </c>
      <c r="Z19" s="266" t="e">
        <f t="shared" si="4"/>
        <v>#N/A</v>
      </c>
      <c r="AA19" s="361" t="e">
        <f t="shared" si="5"/>
        <v>#DIV/0!</v>
      </c>
      <c r="AB19" s="361" t="e">
        <f t="shared" si="6"/>
        <v>#DIV/0!</v>
      </c>
      <c r="AC19" s="175"/>
      <c r="AD19" s="176" t="e">
        <f>'④-2月別配置内訳書(2)-(2)-(B)'!AG19</f>
        <v>#N/A</v>
      </c>
      <c r="AE19" s="176" t="e">
        <f>'④-3月別配置内訳書(2)-(2)-(C)・(D)'!W19</f>
        <v>#DIV/0!</v>
      </c>
      <c r="AF19" s="39"/>
      <c r="AG19" s="163">
        <v>2</v>
      </c>
      <c r="AH19" s="431" t="e">
        <f t="shared" si="9"/>
        <v>#DIV/0!</v>
      </c>
      <c r="AI19" s="193" t="e">
        <f t="shared" si="10"/>
        <v>#DIV/0!</v>
      </c>
      <c r="AK19" s="265" t="e">
        <f t="shared" si="7"/>
        <v>#N/A</v>
      </c>
      <c r="AL19" s="265" t="e">
        <f t="shared" si="8"/>
        <v>#N/A</v>
      </c>
      <c r="AN19" s="262">
        <v>451</v>
      </c>
      <c r="AO19" s="262">
        <v>8</v>
      </c>
    </row>
    <row r="20" spans="1:41" s="34" customFormat="1" ht="36" customHeight="1">
      <c r="A20" s="282">
        <v>3</v>
      </c>
      <c r="B20" s="162" t="e">
        <f>'③児童数及び職員定数 (2)-(1)'!T21</f>
        <v>#N/A</v>
      </c>
      <c r="C20" s="73">
        <f>COUNTIFS('②-1職員名簿'!BA$7:BA$106,"A",'②-2勤務時間数入力'!Q$7:Q$106,"正")</f>
        <v>0</v>
      </c>
      <c r="D20" s="73">
        <f>COUNTIFS('②-1職員名簿'!BA$7:BA$106,"A",'②-2勤務時間数入力'!$C$7:$C$106,"常勤的非常勤",'②-2勤務時間数入力'!AC$7:AC$106,"常")</f>
        <v>0</v>
      </c>
      <c r="E20" s="73">
        <f>SUMIFS('②-2勤務時間数入力'!AC$7:AC$106,'②-1職員名簿'!BA$7:BA$106,"A",'②-1職員名簿'!$C$7:$C$106,"パート")</f>
        <v>0</v>
      </c>
      <c r="F20" s="73">
        <f>COUNTIFS('②-1職員名簿'!BA$7:BA$106,"A",'②-2勤務時間数入力'!$C$7:$C$106,"嘱託常勤",'②-2勤務時間数入力'!AC$7:AC$106,"常")</f>
        <v>0</v>
      </c>
      <c r="G20" s="73">
        <f>SUMIFS('②-2勤務時間数入力'!AC$7:AC$106,'②-1職員名簿'!BA$7:BA$106,"A",'②-1職員名簿'!$C$7:$C$106,"嘱託等")</f>
        <v>0</v>
      </c>
      <c r="H20" s="165">
        <f>'②-2勤務時間数入力'!AH18</f>
        <v>0</v>
      </c>
      <c r="I20" s="165">
        <f>COUNTIFS('②-1職員名簿'!W7:W106,"園長",'②-1職員名簿'!BA$7:BA$106,"A",'②-1職員名簿'!AN$7:AN$106,"○")</f>
        <v>0</v>
      </c>
      <c r="J20" s="73">
        <f>COUNTIFS('②-1職員名簿'!BA$7:BA$106,"A",'②-1職員名簿'!$W$7:$W$106,$J$5,'②-2勤務時間数入力'!Q$7:Q$106,"正")</f>
        <v>0</v>
      </c>
      <c r="K20" s="73">
        <f>COUNTIFS('②-1職員名簿'!BA$7:BA$106,"A",'②-1職員名簿'!$W$7:$W$106,$J$5,'②-2勤務時間数入力'!AC$7:AC$106,"常")</f>
        <v>0</v>
      </c>
      <c r="L20" s="73">
        <f>SUMIFS('②-2勤務時間数入力'!AC$7:AC$106,'②-1職員名簿'!BA$7:BA$106,"A",'②-1職員名簿'!$W$7:$W$106,$J$5)</f>
        <v>0</v>
      </c>
      <c r="M20" s="73">
        <f>COUNTIFS('②-1職員名簿'!BA$7:BA$106,"A",'②-1職員名簿'!$W$7:$W$106,$M$5,'②-2勤務時間数入力'!Q$7:Q$106,"正")</f>
        <v>0</v>
      </c>
      <c r="N20" s="73">
        <f>COUNTIFS('②-1職員名簿'!BA$7:BA$106,"A",'②-1職員名簿'!$W$7:$W$106,$M$5,'②-2勤務時間数入力'!AC$7:AC$106,"常")</f>
        <v>0</v>
      </c>
      <c r="O20" s="73">
        <f>SUMIFS('②-2勤務時間数入力'!AC$7:AC$106,'②-1職員名簿'!BA$7:BA$106,"A",'②-1職員名簿'!$W$7:$W$106,$M$5)</f>
        <v>0</v>
      </c>
      <c r="P20" s="73">
        <f>COUNTIFS('②-1職員名簿'!BA$7:BA$106,"A",'②-1職員名簿'!$W$7:$W$106,$P$5,'②-2勤務時間数入力'!Q$7:Q$106,"正")</f>
        <v>0</v>
      </c>
      <c r="Q20" s="73">
        <f>COUNTIFS('②-1職員名簿'!BA$7:BA$106,"A",'②-1職員名簿'!$W$7:$W$106,$P$5,'②-2勤務時間数入力'!AC$7:AC$106,"常")</f>
        <v>0</v>
      </c>
      <c r="R20" s="73">
        <f>SUMIFS('②-2勤務時間数入力'!AC$7:AC$106,'②-1職員名簿'!BA$7:BA$106,"A",'②-1職員名簿'!$W$7:$W$106,$P$5)</f>
        <v>0</v>
      </c>
      <c r="S20" s="73">
        <f>COUNTIFS('②-1職員名簿'!BA$7:BA$106,"A",'②-1職員名簿'!$W$7:$W$106,$S$5,'②-2勤務時間数入力'!Q$7:Q$106,"正")</f>
        <v>0</v>
      </c>
      <c r="T20" s="73">
        <f>COUNTIFS('②-1職員名簿'!BA$7:BA$106,"A",'②-1職員名簿'!$W$7:$W$106,$S$5,'②-2勤務時間数入力'!AC$7:AC$106,"常")</f>
        <v>0</v>
      </c>
      <c r="U20" s="73">
        <f>SUMIFS('②-2勤務時間数入力'!AC$7:AC$106,'②-1職員名簿'!BA$7:BA$106,"A",'②-1職員名簿'!$W$7:$W$106,$S$5)</f>
        <v>0</v>
      </c>
      <c r="V20" s="162">
        <f t="shared" si="0"/>
        <v>0</v>
      </c>
      <c r="W20" s="162">
        <f t="shared" si="1"/>
        <v>0</v>
      </c>
      <c r="X20" s="174" t="e">
        <f t="shared" si="2"/>
        <v>#DIV/0!</v>
      </c>
      <c r="Y20" s="265" t="e">
        <f t="shared" si="3"/>
        <v>#N/A</v>
      </c>
      <c r="Z20" s="266" t="e">
        <f t="shared" si="4"/>
        <v>#N/A</v>
      </c>
      <c r="AA20" s="361" t="e">
        <f t="shared" si="5"/>
        <v>#DIV/0!</v>
      </c>
      <c r="AB20" s="361" t="e">
        <f t="shared" si="6"/>
        <v>#DIV/0!</v>
      </c>
      <c r="AC20" s="175"/>
      <c r="AD20" s="176" t="e">
        <f>'④-2月別配置内訳書(2)-(2)-(B)'!AG20</f>
        <v>#N/A</v>
      </c>
      <c r="AE20" s="176" t="e">
        <f>'④-3月別配置内訳書(2)-(2)-(C)・(D)'!W20</f>
        <v>#DIV/0!</v>
      </c>
      <c r="AF20" s="39"/>
      <c r="AG20" s="163">
        <v>3</v>
      </c>
      <c r="AH20" s="431" t="e">
        <f t="shared" si="9"/>
        <v>#DIV/0!</v>
      </c>
      <c r="AI20" s="193" t="e">
        <f t="shared" si="10"/>
        <v>#DIV/0!</v>
      </c>
      <c r="AK20" s="265" t="e">
        <f t="shared" si="7"/>
        <v>#N/A</v>
      </c>
      <c r="AL20" s="265" t="e">
        <f t="shared" si="8"/>
        <v>#N/A</v>
      </c>
    </row>
    <row r="21" spans="1:41" s="34" customFormat="1" ht="18.75" customHeight="1">
      <c r="A21" s="35"/>
      <c r="B21" s="36"/>
      <c r="C21" s="37"/>
      <c r="D21" s="43"/>
      <c r="E21" s="43"/>
      <c r="F21" s="43"/>
      <c r="G21" s="43"/>
      <c r="H21" s="37"/>
      <c r="I21" s="37"/>
      <c r="J21" s="39"/>
      <c r="K21" s="43"/>
      <c r="L21" s="43"/>
      <c r="M21" s="39"/>
      <c r="N21" s="43"/>
      <c r="O21" s="43"/>
      <c r="P21" s="39"/>
      <c r="Q21" s="43"/>
      <c r="R21" s="43"/>
      <c r="S21" s="39"/>
      <c r="T21" s="43"/>
      <c r="U21" s="43"/>
      <c r="V21" s="40"/>
      <c r="W21" s="46"/>
      <c r="X21" s="46"/>
      <c r="Y21" s="46"/>
      <c r="Z21" s="46"/>
      <c r="AA21" s="46"/>
      <c r="AB21" s="46"/>
      <c r="AC21" s="46"/>
      <c r="AD21" s="39"/>
      <c r="AE21" s="47"/>
      <c r="AF21" s="39"/>
      <c r="AG21" s="37"/>
      <c r="AH21" s="43"/>
      <c r="AI21" s="46"/>
      <c r="AJ21" s="39"/>
    </row>
    <row r="22" spans="1:41" s="34" customFormat="1" ht="18.75" customHeight="1">
      <c r="A22" s="42" t="s">
        <v>192</v>
      </c>
      <c r="B22" s="43" t="s">
        <v>193</v>
      </c>
      <c r="C22" s="43"/>
      <c r="D22" s="38"/>
      <c r="E22" s="38"/>
      <c r="F22" s="38"/>
      <c r="G22" s="38"/>
      <c r="H22" s="43"/>
      <c r="I22" s="43"/>
      <c r="J22" s="45"/>
      <c r="K22" s="38"/>
      <c r="L22" s="38"/>
      <c r="M22" s="43"/>
      <c r="N22" s="38"/>
      <c r="O22" s="38"/>
      <c r="P22" s="43"/>
      <c r="Q22" s="38"/>
      <c r="R22" s="38"/>
      <c r="S22" s="43"/>
      <c r="T22" s="38"/>
      <c r="U22" s="38"/>
      <c r="V22" s="46"/>
      <c r="W22" s="38"/>
      <c r="X22" s="38"/>
      <c r="Y22" s="38"/>
      <c r="Z22" s="38"/>
      <c r="AA22" s="38"/>
      <c r="AB22" s="38"/>
      <c r="AC22" s="38"/>
      <c r="AD22" s="38"/>
      <c r="AE22" s="38"/>
      <c r="AF22" s="39"/>
      <c r="AG22" s="43"/>
      <c r="AH22" s="38"/>
      <c r="AI22" s="38"/>
      <c r="AJ22" s="39"/>
    </row>
    <row r="23" spans="1:41" s="34" customFormat="1" ht="18.75" customHeight="1">
      <c r="A23" s="42" t="s">
        <v>194</v>
      </c>
      <c r="B23" s="48" t="s">
        <v>975</v>
      </c>
      <c r="C23" s="38"/>
      <c r="D23" s="43"/>
      <c r="E23" s="43"/>
      <c r="F23" s="43"/>
      <c r="G23" s="43"/>
      <c r="H23" s="38"/>
      <c r="I23" s="38"/>
      <c r="J23" s="38"/>
      <c r="K23" s="45"/>
      <c r="L23" s="45"/>
      <c r="M23" s="38"/>
      <c r="N23" s="45"/>
      <c r="O23" s="45"/>
      <c r="P23" s="38"/>
      <c r="Q23" s="45"/>
      <c r="R23" s="45"/>
      <c r="S23" s="38"/>
      <c r="T23" s="45"/>
      <c r="U23" s="45"/>
      <c r="V23" s="38"/>
      <c r="W23" s="46"/>
      <c r="X23" s="46"/>
      <c r="Y23" s="46"/>
      <c r="Z23" s="46"/>
      <c r="AA23" s="46"/>
      <c r="AB23" s="46"/>
      <c r="AC23" s="46"/>
      <c r="AD23" s="39"/>
      <c r="AE23" s="47"/>
      <c r="AF23" s="38"/>
      <c r="AG23" s="38"/>
      <c r="AH23" s="43"/>
      <c r="AI23" s="46"/>
      <c r="AJ23" s="38"/>
    </row>
    <row r="24" spans="1:41" ht="18.75" customHeight="1">
      <c r="A24" s="42" t="s">
        <v>195</v>
      </c>
      <c r="B24" s="43" t="s">
        <v>196</v>
      </c>
      <c r="C24" s="43"/>
      <c r="H24" s="43"/>
      <c r="I24" s="43"/>
      <c r="J24" s="45"/>
      <c r="K24" s="39"/>
      <c r="L24" s="39"/>
      <c r="M24" s="45"/>
      <c r="N24" s="39"/>
      <c r="O24" s="39"/>
      <c r="P24" s="45"/>
      <c r="Q24" s="39"/>
      <c r="R24" s="39"/>
      <c r="S24" s="45"/>
      <c r="T24" s="39"/>
      <c r="U24" s="39"/>
      <c r="V24" s="46"/>
      <c r="W24" s="40"/>
      <c r="X24" s="40"/>
      <c r="Y24" s="40"/>
      <c r="Z24" s="40"/>
      <c r="AA24" s="40"/>
      <c r="AB24" s="40"/>
      <c r="AC24" s="40"/>
      <c r="AD24" s="39"/>
      <c r="AF24" s="39"/>
      <c r="AG24" s="43"/>
      <c r="AI24" s="40"/>
      <c r="AJ24" s="39"/>
    </row>
    <row r="25" spans="1:41" ht="18.75" customHeight="1">
      <c r="A25" s="36"/>
      <c r="J25" s="39"/>
      <c r="M25" s="39"/>
      <c r="P25" s="39"/>
      <c r="S25" s="39"/>
      <c r="V25" s="40"/>
      <c r="AF25" s="39"/>
      <c r="AJ25" s="39"/>
    </row>
    <row r="26" spans="1:41" ht="18.75" customHeight="1"/>
    <row r="27" spans="1:41" ht="25" customHeight="1">
      <c r="K27" s="136"/>
      <c r="L27" s="135"/>
      <c r="N27" s="135"/>
      <c r="O27" s="135"/>
      <c r="Q27" s="135"/>
      <c r="R27" s="135"/>
      <c r="T27" s="135"/>
      <c r="U27" s="135"/>
    </row>
    <row r="28" spans="1:41" ht="25" customHeight="1">
      <c r="F28" s="49"/>
      <c r="I28" s="135" t="s">
        <v>345</v>
      </c>
      <c r="J28" s="135"/>
      <c r="K28" s="135"/>
      <c r="L28" s="135"/>
      <c r="M28" s="135"/>
      <c r="N28" s="135"/>
      <c r="O28" s="135"/>
      <c r="P28" s="135"/>
      <c r="Q28" s="135"/>
      <c r="R28" s="135"/>
      <c r="S28" s="135"/>
      <c r="T28" s="135"/>
      <c r="U28" s="135"/>
      <c r="AE28" s="37"/>
    </row>
    <row r="29" spans="1:41" ht="25" customHeight="1">
      <c r="B29" s="49"/>
      <c r="I29" s="135" t="s">
        <v>347</v>
      </c>
      <c r="J29" s="135"/>
      <c r="K29" s="135"/>
      <c r="L29" s="135"/>
      <c r="M29" s="135"/>
      <c r="N29" s="135"/>
      <c r="O29" s="135"/>
      <c r="P29" s="135"/>
      <c r="Q29" s="135"/>
      <c r="R29" s="135"/>
      <c r="S29" s="135"/>
      <c r="T29" s="135"/>
      <c r="U29" s="135"/>
      <c r="AE29" s="37"/>
    </row>
    <row r="30" spans="1:41" ht="25" customHeight="1">
      <c r="B30" s="49"/>
      <c r="I30" s="135" t="s">
        <v>346</v>
      </c>
      <c r="J30" s="135"/>
      <c r="K30" s="135"/>
      <c r="L30" s="135"/>
      <c r="M30" s="135"/>
      <c r="N30" s="135"/>
      <c r="O30" s="135"/>
      <c r="P30" s="135"/>
      <c r="Q30" s="135"/>
      <c r="R30" s="135"/>
      <c r="S30" s="135"/>
      <c r="T30" s="135"/>
      <c r="U30" s="135"/>
      <c r="AE30" s="37"/>
    </row>
    <row r="31" spans="1:41" ht="25" customHeight="1">
      <c r="B31" s="49"/>
      <c r="I31" s="135" t="s">
        <v>348</v>
      </c>
      <c r="J31" s="135"/>
      <c r="K31" s="135"/>
      <c r="L31" s="135"/>
      <c r="M31" s="135"/>
      <c r="N31" s="135"/>
      <c r="O31" s="135"/>
      <c r="P31" s="135"/>
      <c r="Q31" s="135"/>
      <c r="R31" s="135"/>
      <c r="S31" s="135"/>
      <c r="T31" s="135"/>
      <c r="U31" s="135"/>
      <c r="AE31" s="37"/>
    </row>
    <row r="32" spans="1:41" ht="25" customHeight="1">
      <c r="B32" s="49"/>
      <c r="I32" s="135"/>
      <c r="J32" s="135"/>
      <c r="M32" s="135"/>
      <c r="P32" s="135"/>
      <c r="S32" s="135"/>
      <c r="AE32" s="37"/>
    </row>
    <row r="33" spans="2:31" ht="25" customHeight="1">
      <c r="B33" s="49"/>
      <c r="AE33" s="37"/>
    </row>
    <row r="34" spans="2:31" ht="25" customHeight="1">
      <c r="B34" s="49"/>
      <c r="F34" s="49"/>
      <c r="AE34" s="37"/>
    </row>
    <row r="35" spans="2:31" ht="25" customHeight="1">
      <c r="B35" s="49"/>
      <c r="AE35" s="37"/>
    </row>
    <row r="36" spans="2:31" ht="25" customHeight="1">
      <c r="B36" s="49"/>
      <c r="F36" s="49"/>
      <c r="AE36" s="37"/>
    </row>
    <row r="37" spans="2:31" ht="25" customHeight="1">
      <c r="F37" s="49"/>
      <c r="AE37" s="37"/>
    </row>
    <row r="38" spans="2:31" ht="25" customHeight="1">
      <c r="AE38" s="37"/>
    </row>
    <row r="39" spans="2:31" ht="25" customHeight="1">
      <c r="AE39" s="37"/>
    </row>
    <row r="40" spans="2:31" ht="25" customHeight="1">
      <c r="AE40" s="37"/>
    </row>
    <row r="41" spans="2:31" ht="25" customHeight="1">
      <c r="AE41" s="37"/>
    </row>
    <row r="42" spans="2:31" ht="25" customHeight="1">
      <c r="AE42" s="37"/>
    </row>
    <row r="43" spans="2:31" ht="25" customHeight="1">
      <c r="AE43" s="37"/>
    </row>
    <row r="44" spans="2:31" ht="25" customHeight="1">
      <c r="AE44" s="37"/>
    </row>
    <row r="45" spans="2:31" ht="25" customHeight="1">
      <c r="AE45" s="37"/>
    </row>
    <row r="46" spans="2:31" ht="25" customHeight="1">
      <c r="AE46" s="37"/>
    </row>
    <row r="47" spans="2:31" ht="25" customHeight="1">
      <c r="AE47" s="37"/>
    </row>
    <row r="48" spans="2:31" ht="25" customHeight="1">
      <c r="D48" s="49"/>
      <c r="AE48" s="37"/>
    </row>
    <row r="49" spans="2:31" ht="25" customHeight="1">
      <c r="D49" s="49"/>
      <c r="AE49" s="37"/>
    </row>
    <row r="50" spans="2:31" ht="25" customHeight="1">
      <c r="AE50" s="37"/>
    </row>
    <row r="51" spans="2:31" ht="25" customHeight="1">
      <c r="B51" s="49"/>
      <c r="AE51" s="37"/>
    </row>
    <row r="52" spans="2:31" ht="25" customHeight="1">
      <c r="B52" s="49"/>
      <c r="F52" s="49"/>
      <c r="AE52" s="37"/>
    </row>
    <row r="53" spans="2:31" ht="25" customHeight="1">
      <c r="F53" s="49"/>
      <c r="AE53" s="37"/>
    </row>
    <row r="54" spans="2:31" ht="25" customHeight="1">
      <c r="E54" s="49"/>
      <c r="AE54" s="37"/>
    </row>
    <row r="55" spans="2:31" ht="25" customHeight="1">
      <c r="E55" s="49"/>
      <c r="AE55" s="37"/>
    </row>
    <row r="56" spans="2:31" ht="25" customHeight="1">
      <c r="AE56" s="37"/>
    </row>
    <row r="57" spans="2:31" ht="25" customHeight="1">
      <c r="B57" s="49"/>
    </row>
  </sheetData>
  <sheetProtection password="CCCF" sheet="1" selectLockedCells="1"/>
  <mergeCells count="50">
    <mergeCell ref="AK4:AK7"/>
    <mergeCell ref="AG5:AI5"/>
    <mergeCell ref="AI6:AI8"/>
    <mergeCell ref="AD7:AD8"/>
    <mergeCell ref="AL4:AL7"/>
    <mergeCell ref="Y5:Y7"/>
    <mergeCell ref="Z5:Z7"/>
    <mergeCell ref="I4:AA4"/>
    <mergeCell ref="V6:V7"/>
    <mergeCell ref="W6:W7"/>
    <mergeCell ref="X6:X7"/>
    <mergeCell ref="AA5:AA7"/>
    <mergeCell ref="P6:P7"/>
    <mergeCell ref="Q6:Q7"/>
    <mergeCell ref="R6:R7"/>
    <mergeCell ref="S6:S7"/>
    <mergeCell ref="J5:L5"/>
    <mergeCell ref="M5:O5"/>
    <mergeCell ref="P5:R5"/>
    <mergeCell ref="K6:K7"/>
    <mergeCell ref="L6:L7"/>
    <mergeCell ref="A4:A8"/>
    <mergeCell ref="B4:B6"/>
    <mergeCell ref="C4:G4"/>
    <mergeCell ref="H4:H7"/>
    <mergeCell ref="C5:E5"/>
    <mergeCell ref="F5:G5"/>
    <mergeCell ref="C6:C7"/>
    <mergeCell ref="G6:G7"/>
    <mergeCell ref="I5:I7"/>
    <mergeCell ref="D6:D7"/>
    <mergeCell ref="E6:E7"/>
    <mergeCell ref="F6:F7"/>
    <mergeCell ref="J6:J7"/>
    <mergeCell ref="M6:M7"/>
    <mergeCell ref="N6:N7"/>
    <mergeCell ref="AE5:AE6"/>
    <mergeCell ref="O6:O7"/>
    <mergeCell ref="X2:Y2"/>
    <mergeCell ref="Z2:AI2"/>
    <mergeCell ref="AB4:AB6"/>
    <mergeCell ref="AG4:AI4"/>
    <mergeCell ref="AE7:AE8"/>
    <mergeCell ref="AG6:AG8"/>
    <mergeCell ref="AH6:AH8"/>
    <mergeCell ref="T6:T7"/>
    <mergeCell ref="U6:U7"/>
    <mergeCell ref="S5:U5"/>
    <mergeCell ref="AD5:AD6"/>
    <mergeCell ref="V5:X5"/>
  </mergeCells>
  <phoneticPr fontId="1"/>
  <dataValidations count="4">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D131078:G131089 C131079:C131090 H131079:I131090 D196614:G196625 C196615:C196626 H196615:I196626 D262150:G262161 C262151:C262162 H262151:I262162 D327686:G327697 C327687:C327698 H327687:I327698 D393222:G393233 C393223:C393234 H393223:I393234 D458758:G458769 C458759:C458770 H458759:I458770 D524294:G524305 C524295:C524306 H524295:I524306 D589830:G589841 C589831:C589842 H589831:I589842 D655366:G655377 C655367:C655378 H655367:I655378 D720902:G720913 C720903:C720914 H720903:I720914 D786438:G786449 C786439:C786450 H786439:I786450 D851974:G851985 C851975:C851986 H851975:I851986 D917510:G917521 C917511:C917522 H917511:I917522 D983046:G983057 C983047:C983058 H983047:I983058 D65542:G65553 C65543:C65554 H65543:I65554 AH983046:AH983057 AG983047:AG983058 AH65542:AH65553 AG65543:AG65554 AH131078:AH131089 AG131079:AG131090 AH196614:AH196625 AG196615:AG196626 AH262150:AH262161 AG262151:AG262162 AH327686:AH327697 AG327687:AG327698 AH393222:AH393233 AG393223:AG393234 AH458758:AH458769 AG458759:AG458770 AH524294:AH524305 AG524295:AG524306 AH589830:AH589841 AG589831:AG589842 AH655366:AH655377 AG655367:AG655378 AH720902:AH720913 AG720903:AG720914 AH786438:AH786449 AG786439:AG786450 AH851974:AH851985 AG851975:AG851986 AH917510:AH917521 AG917511:AG917522" xr:uid="{8ACAB8D5-C28C-48F5-B2DE-D7F6D37C9753}"/>
    <dataValidation allowBlank="1" showInputMessage="1" showErrorMessage="1" promptTitle="一時預かり" prompt="一時預かりにあたる保育士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J65543:J65554 K983046:L983057 J983047:J983058 K917510:L917521 J917511:J917522 K851974:L851985 J851975:J851986 K786438:L786449 J786439:J786450 K720902:L720913 J720903:J720914 K655366:L655377 J655367:J655378 K589830:L589841 J589831:J589842 K524294:L524305 J524295:J524306 K458758:L458769 J458759:J458770 K393222:L393233 J393223:J393234 K327686:L327697 J327687:J327698 K262150:L262161 J262151:J262162 K196614:L196625 J196615:J196626 K131078:L131089 J131079:J131090 K65542:L65553" xr:uid="{29938CE1-5931-488B-8E1E-1F8196EF63A0}"/>
    <dataValidation allowBlank="1" showInputMessage="1" showErrorMessage="1" promptTitle="その他（支援センター、加算等）" prompt="支援センター業務にあたる保育士、チーム保育推進加算、入所児童特別加算対象者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N983046:O983057 M983047:M983058 N917510:O917521 M917511:M917522 N851974:O851985 M851975:M851986 N786438:O786449 M786439:M786450 N720902:O720913 M720903:M720914 N655366:O655377 M655367:M655378 N589830:O589841 M589831:M589842 N524294:O524305 M524295:M524306 N458758:O458769 M458759:M458770 N393222:O393233 M393223:M393234 N327686:O327697 M327687:M327698 N262150:O262161 M262151:M262162 N196614:O196625 M196615:M196626 N131078:O131089 M131079:M131090 N65542:O65553 M65543:M65554 Q65542:R65553 P65543:P65554 Q131078:R131089 P131079:P131090 Q196614:R196625 P196615:P196626 Q262150:R262161 P262151:P262162 Q327686:R327697 P327687:P327698 Q393222:R393233 P393223:P393234 Q458758:R458769 P458759:P458770 Q524294:R524305 P524295:P524306 Q589830:R589841 P589831:P589842 Q655366:R655377 P655367:P655378 Q720902:R720913 P720903:P720914 Q786438:R786449 P786439:P786450 Q851974:R851985 P851975:P851986 Q917510:R917521 P917511:P917522 Q983046:R983057 P983047:P983058 T983046:U983057 S983047:S983058 T917510:U917521 S917511:S917522 T851974:U851985 S851975:S851986 T786438:U786449 S786439:S786450 T720902:U720913 S720903:S720914 T655366:U655377 S655367:S655378 T589830:U589841 S589831:S589842 T524294:U524305 S524295:S524306 T458758:U458769 S458759:S458770 T393222:U393233 S393223:S393234 T327686:U327697 S327687:S327698 T262150:U262161 S262151:S262162 T196614:U196625 S196615:S196626 T131078:U131089 S131079:S131090 T65542:U65553 S65543:S65554" xr:uid="{79B5E444-F48E-492A-8C5E-D33011E465A4}"/>
    <dataValidation allowBlank="1" showErrorMessage="1" sqref="C9:D20 E9:H9 I9:U20 F10:G12 E13:G20 H10:H20" xr:uid="{EAA1BA82-C2DD-4013-A190-EB66842D1FCF}"/>
  </dataValidations>
  <printOptions horizontalCentered="1"/>
  <pageMargins left="0.51181102362204722" right="0.39370078740157483" top="0.51181102362204722" bottom="0.51181102362204722" header="0.51181102362204722" footer="0.51181102362204722"/>
  <pageSetup paperSize="9" scale="6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25C7-51B0-4F4E-90A8-C8FEF7DEFAEF}">
  <sheetPr codeName="Sheet10">
    <tabColor rgb="FF00B050"/>
  </sheetPr>
  <dimension ref="A1:AM71"/>
  <sheetViews>
    <sheetView view="pageBreakPreview" zoomScale="84" zoomScaleNormal="85" zoomScaleSheetLayoutView="84" workbookViewId="0">
      <selection activeCell="AP1" sqref="AP1"/>
    </sheetView>
  </sheetViews>
  <sheetFormatPr defaultColWidth="9" defaultRowHeight="25" customHeight="1"/>
  <cols>
    <col min="1" max="1" width="5.58203125" style="37" customWidth="1"/>
    <col min="2" max="28" width="4.58203125" style="37" customWidth="1"/>
    <col min="29" max="33" width="6.58203125" style="37" customWidth="1"/>
    <col min="34" max="34" width="1.75" style="37" customWidth="1"/>
    <col min="35" max="37" width="5.25" style="37" customWidth="1"/>
    <col min="38" max="38" width="4.5" style="49" bestFit="1" customWidth="1"/>
    <col min="39" max="39" width="5.58203125" style="37" customWidth="1"/>
    <col min="40" max="16384" width="9" style="37"/>
  </cols>
  <sheetData>
    <row r="1" spans="1:38" s="21" customFormat="1" ht="25" customHeight="1">
      <c r="A1" s="20" t="s">
        <v>107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L1" s="22"/>
    </row>
    <row r="2" spans="1:38" s="20" customFormat="1" ht="25" customHeight="1">
      <c r="A2" s="20" t="s">
        <v>197</v>
      </c>
      <c r="V2" s="808" t="s">
        <v>135</v>
      </c>
      <c r="W2" s="808"/>
      <c r="X2" s="808">
        <f>①基本情報!D6</f>
        <v>0</v>
      </c>
      <c r="Y2" s="808"/>
      <c r="Z2" s="808"/>
      <c r="AA2" s="808"/>
      <c r="AB2" s="808"/>
      <c r="AC2" s="808"/>
      <c r="AD2" s="808"/>
      <c r="AE2" s="808"/>
      <c r="AF2" s="808"/>
      <c r="AG2" s="50"/>
      <c r="AI2" s="20" t="s">
        <v>136</v>
      </c>
    </row>
    <row r="3" spans="1:38" s="20" customFormat="1" ht="11.25" customHeight="1">
      <c r="AL3" s="23"/>
    </row>
    <row r="4" spans="1:38" s="25" customFormat="1" ht="25" customHeight="1">
      <c r="A4" s="806" t="s">
        <v>137</v>
      </c>
      <c r="B4" s="806" t="s">
        <v>198</v>
      </c>
      <c r="C4" s="806"/>
      <c r="D4" s="806"/>
      <c r="E4" s="806"/>
      <c r="F4" s="806"/>
      <c r="G4" s="806"/>
      <c r="H4" s="806"/>
      <c r="I4" s="806"/>
      <c r="J4" s="806"/>
      <c r="K4" s="806"/>
      <c r="L4" s="821" t="s">
        <v>139</v>
      </c>
      <c r="M4" s="806" t="s">
        <v>199</v>
      </c>
      <c r="N4" s="806"/>
      <c r="O4" s="806"/>
      <c r="P4" s="806"/>
      <c r="Q4" s="806"/>
      <c r="R4" s="806"/>
      <c r="S4" s="806"/>
      <c r="T4" s="806"/>
      <c r="U4" s="806"/>
      <c r="V4" s="806"/>
      <c r="W4" s="806"/>
      <c r="X4" s="806"/>
      <c r="Y4" s="806"/>
      <c r="Z4" s="806"/>
      <c r="AA4" s="806"/>
      <c r="AB4" s="806"/>
      <c r="AC4" s="806"/>
      <c r="AD4" s="806"/>
      <c r="AE4" s="806"/>
      <c r="AF4" s="806"/>
      <c r="AG4" s="806" t="s">
        <v>200</v>
      </c>
    </row>
    <row r="5" spans="1:38" s="24" customFormat="1" ht="27" customHeight="1">
      <c r="A5" s="806"/>
      <c r="B5" s="796" t="s">
        <v>201</v>
      </c>
      <c r="C5" s="796"/>
      <c r="D5" s="796"/>
      <c r="E5" s="796"/>
      <c r="F5" s="796"/>
      <c r="G5" s="796" t="s">
        <v>202</v>
      </c>
      <c r="H5" s="796"/>
      <c r="I5" s="796"/>
      <c r="J5" s="796"/>
      <c r="K5" s="796"/>
      <c r="L5" s="821"/>
      <c r="M5" s="816" t="s">
        <v>402</v>
      </c>
      <c r="N5" s="813" t="s">
        <v>145</v>
      </c>
      <c r="O5" s="813"/>
      <c r="P5" s="813"/>
      <c r="Q5" s="813" t="s">
        <v>146</v>
      </c>
      <c r="R5" s="813"/>
      <c r="S5" s="813"/>
      <c r="T5" s="813" t="s">
        <v>1244</v>
      </c>
      <c r="U5" s="813"/>
      <c r="V5" s="813"/>
      <c r="W5" s="813" t="s">
        <v>147</v>
      </c>
      <c r="X5" s="813"/>
      <c r="Y5" s="813"/>
      <c r="Z5" s="813" t="s">
        <v>148</v>
      </c>
      <c r="AA5" s="813"/>
      <c r="AB5" s="813"/>
      <c r="AC5" s="806" t="s">
        <v>149</v>
      </c>
      <c r="AD5" s="806"/>
      <c r="AE5" s="806"/>
      <c r="AF5" s="806" t="s">
        <v>162</v>
      </c>
      <c r="AG5" s="806"/>
    </row>
    <row r="6" spans="1:38" s="24" customFormat="1" ht="37.5" customHeight="1">
      <c r="A6" s="806"/>
      <c r="B6" s="806" t="s">
        <v>144</v>
      </c>
      <c r="C6" s="806"/>
      <c r="D6" s="806"/>
      <c r="E6" s="806" t="s">
        <v>764</v>
      </c>
      <c r="F6" s="806"/>
      <c r="G6" s="806" t="s">
        <v>144</v>
      </c>
      <c r="H6" s="806"/>
      <c r="I6" s="806"/>
      <c r="J6" s="806" t="s">
        <v>764</v>
      </c>
      <c r="K6" s="806"/>
      <c r="L6" s="821"/>
      <c r="M6" s="817"/>
      <c r="N6" s="807" t="s">
        <v>153</v>
      </c>
      <c r="O6" s="807" t="s">
        <v>159</v>
      </c>
      <c r="P6" s="807" t="s">
        <v>160</v>
      </c>
      <c r="Q6" s="807" t="s">
        <v>153</v>
      </c>
      <c r="R6" s="807" t="s">
        <v>159</v>
      </c>
      <c r="S6" s="807" t="s">
        <v>160</v>
      </c>
      <c r="T6" s="807" t="s">
        <v>153</v>
      </c>
      <c r="U6" s="807" t="s">
        <v>159</v>
      </c>
      <c r="V6" s="807" t="s">
        <v>160</v>
      </c>
      <c r="W6" s="807" t="s">
        <v>153</v>
      </c>
      <c r="X6" s="807" t="s">
        <v>159</v>
      </c>
      <c r="Y6" s="807" t="s">
        <v>160</v>
      </c>
      <c r="Z6" s="807" t="s">
        <v>153</v>
      </c>
      <c r="AA6" s="807" t="s">
        <v>159</v>
      </c>
      <c r="AB6" s="807" t="s">
        <v>160</v>
      </c>
      <c r="AC6" s="807" t="s">
        <v>153</v>
      </c>
      <c r="AD6" s="807" t="s">
        <v>154</v>
      </c>
      <c r="AE6" s="807" t="s">
        <v>161</v>
      </c>
      <c r="AF6" s="806"/>
      <c r="AG6" s="31" t="s">
        <v>203</v>
      </c>
    </row>
    <row r="7" spans="1:38" s="24" customFormat="1" ht="78.75" customHeight="1">
      <c r="A7" s="806"/>
      <c r="B7" s="51" t="s">
        <v>204</v>
      </c>
      <c r="C7" s="51" t="s">
        <v>205</v>
      </c>
      <c r="D7" s="52" t="s">
        <v>206</v>
      </c>
      <c r="E7" s="51" t="s">
        <v>156</v>
      </c>
      <c r="F7" s="51" t="s">
        <v>157</v>
      </c>
      <c r="G7" s="51" t="s">
        <v>204</v>
      </c>
      <c r="H7" s="51" t="s">
        <v>205</v>
      </c>
      <c r="I7" s="52" t="s">
        <v>206</v>
      </c>
      <c r="J7" s="51" t="s">
        <v>156</v>
      </c>
      <c r="K7" s="51" t="s">
        <v>157</v>
      </c>
      <c r="L7" s="821"/>
      <c r="M7" s="818"/>
      <c r="N7" s="807"/>
      <c r="O7" s="807"/>
      <c r="P7" s="807"/>
      <c r="Q7" s="807"/>
      <c r="R7" s="807"/>
      <c r="S7" s="807"/>
      <c r="T7" s="807"/>
      <c r="U7" s="807"/>
      <c r="V7" s="807"/>
      <c r="W7" s="807"/>
      <c r="X7" s="807"/>
      <c r="Y7" s="807"/>
      <c r="Z7" s="807"/>
      <c r="AA7" s="807"/>
      <c r="AB7" s="807"/>
      <c r="AC7" s="807"/>
      <c r="AD7" s="807"/>
      <c r="AE7" s="807"/>
      <c r="AF7" s="806"/>
      <c r="AG7" s="807" t="s">
        <v>167</v>
      </c>
      <c r="AI7" s="53" t="s">
        <v>65</v>
      </c>
      <c r="AJ7" s="53" t="s">
        <v>66</v>
      </c>
    </row>
    <row r="8" spans="1:38" s="24" customFormat="1" ht="38.25" customHeight="1">
      <c r="A8" s="806"/>
      <c r="B8" s="31" t="s">
        <v>169</v>
      </c>
      <c r="C8" s="31" t="s">
        <v>170</v>
      </c>
      <c r="D8" s="31" t="s">
        <v>93</v>
      </c>
      <c r="E8" s="198" t="s">
        <v>94</v>
      </c>
      <c r="F8" s="198" t="s">
        <v>95</v>
      </c>
      <c r="G8" s="31" t="s">
        <v>96</v>
      </c>
      <c r="H8" s="31" t="s">
        <v>97</v>
      </c>
      <c r="I8" s="31" t="s">
        <v>98</v>
      </c>
      <c r="J8" s="31" t="s">
        <v>207</v>
      </c>
      <c r="K8" s="31" t="s">
        <v>208</v>
      </c>
      <c r="L8" s="32" t="s">
        <v>174</v>
      </c>
      <c r="M8" s="32"/>
      <c r="N8" s="31" t="s">
        <v>209</v>
      </c>
      <c r="O8" s="31" t="s">
        <v>210</v>
      </c>
      <c r="P8" s="31" t="s">
        <v>211</v>
      </c>
      <c r="Q8" s="31" t="s">
        <v>212</v>
      </c>
      <c r="R8" s="31" t="s">
        <v>213</v>
      </c>
      <c r="S8" s="31" t="s">
        <v>214</v>
      </c>
      <c r="T8" s="31" t="s">
        <v>215</v>
      </c>
      <c r="U8" s="31" t="s">
        <v>216</v>
      </c>
      <c r="V8" s="31" t="s">
        <v>217</v>
      </c>
      <c r="W8" s="31" t="s">
        <v>218</v>
      </c>
      <c r="X8" s="31" t="s">
        <v>219</v>
      </c>
      <c r="Y8" s="31" t="s">
        <v>220</v>
      </c>
      <c r="Z8" s="31" t="s">
        <v>221</v>
      </c>
      <c r="AA8" s="31" t="s">
        <v>222</v>
      </c>
      <c r="AB8" s="31" t="s">
        <v>190</v>
      </c>
      <c r="AC8" s="31" t="s">
        <v>223</v>
      </c>
      <c r="AD8" s="31" t="s">
        <v>224</v>
      </c>
      <c r="AE8" s="31" t="s">
        <v>225</v>
      </c>
      <c r="AF8" s="806"/>
      <c r="AG8" s="807"/>
    </row>
    <row r="9" spans="1:38" s="34" customFormat="1" ht="37.5" customHeight="1">
      <c r="A9" s="164">
        <v>4</v>
      </c>
      <c r="B9" s="73">
        <f>COUNTIFS('②-1職員名簿'!AP$7:AP$106,"B",'②-1職員名簿'!$BE$7:$BE$106,"正規職員",'②-1職員名簿'!$BF$7:$BF$106,"○")</f>
        <v>0</v>
      </c>
      <c r="C9" s="73">
        <f>COUNTIFS('②-1職員名簿'!AP$7:AP$106,"B",'②-2勤務時間数入力'!$C$7:$C$106,"常勤的非常勤",'②-1職員名簿'!$BF$7:$BF$106,"○",'②-2勤務時間数入力'!R$7:R$106,"常")</f>
        <v>0</v>
      </c>
      <c r="D9" s="73">
        <f>SUMIFS('②-2勤務時間数入力'!R$7:R$106,'②-1職員名簿'!AP$7:AP$106,"B",'②-1職員名簿'!$BF$7:$BF$106,"○",'②-1職員名簿'!$C$7:$C$106,"パート")</f>
        <v>0</v>
      </c>
      <c r="E9" s="73">
        <f>COUNTIFS('②-1職員名簿'!AP$7:AP$106,"B",'②-2勤務時間数入力'!$C$7:$C$106,"嘱託常勤",'②-1職員名簿'!$BF$7:$BF$106,"○",'②-2勤務時間数入力'!R$7:R$106,"常")</f>
        <v>0</v>
      </c>
      <c r="F9" s="73">
        <f>SUMIFS('②-2勤務時間数入力'!R$7:R$106,'②-1職員名簿'!AP$7:AP$106,"B",'②-1職員名簿'!$BF$7:$BF$106,"○",'②-1職員名簿'!$C$7:$C$106,"嘱託等")</f>
        <v>0</v>
      </c>
      <c r="G9" s="73">
        <f>COUNTIFS('②-1職員名簿'!AP$7:AP$106,"B",'②-1職員名簿'!$BE$7:$BE$106,"正規職員",'②-1職員名簿'!$BG$7:$BG$106,"○")</f>
        <v>0</v>
      </c>
      <c r="H9" s="73">
        <f>COUNTIFS('②-1職員名簿'!AP$7:AP$106,"B",'②-2勤務時間数入力'!$C$7:$C$106,"常勤的非常勤",'②-1職員名簿'!$BG$7:$BG$106,"○",'②-2勤務時間数入力'!R$7:R$106,"常")</f>
        <v>0</v>
      </c>
      <c r="I9" s="73">
        <f>SUMIFS('②-2勤務時間数入力'!R$7:R$106,'②-1職員名簿'!AP$7:AP$106,"B",'②-1職員名簿'!$BG$7:$BG$106,"○",'②-1職員名簿'!$C$7:$C$106,"パート")</f>
        <v>0</v>
      </c>
      <c r="J9" s="73">
        <f>COUNTIFS('②-1職員名簿'!AP$7:AP$106,"B",'②-2勤務時間数入力'!$C$7:$C$106,"嘱託常勤",'②-1職員名簿'!$BG$7:$BG$106,"○",'②-2勤務時間数入力'!R$7:R$106,"常")</f>
        <v>0</v>
      </c>
      <c r="K9" s="73">
        <f>SUMIFS('②-2勤務時間数入力'!R$7:R$106,'②-1職員名簿'!AP$7:AP$106,"B",'②-1職員名簿'!$BG$7:$BG$106,"○",'②-1職員名簿'!$C$7:$C$106,"嘱託等")</f>
        <v>0</v>
      </c>
      <c r="L9" s="165">
        <f>'②-2勤務時間数入力'!AH7</f>
        <v>0</v>
      </c>
      <c r="M9" s="166">
        <f>COUNTIFS('②-1職員名簿'!W7:W106,"園長",'②-1職員名簿'!AP$7:AP$106,"B")</f>
        <v>0</v>
      </c>
      <c r="N9" s="73">
        <f>COUNTIFS('②-1職員名簿'!AP$7:AP$106,"B",'②-1職員名簿'!$W$7:$W$106,$N$5,'②-2勤務時間数入力'!F$7:F$106,"正")</f>
        <v>0</v>
      </c>
      <c r="O9" s="73">
        <f>COUNTIFS('②-1職員名簿'!AP$7:AP$106,"B",'②-1職員名簿'!$W$7:$W$106,$N$5,'②-2勤務時間数入力'!R$7:R$106,"常")</f>
        <v>0</v>
      </c>
      <c r="P9" s="73">
        <f>SUMIFS('②-2勤務時間数入力'!R$7:R$106,'②-1職員名簿'!AP$7:AP$106,"B",'②-1職員名簿'!$W$7:$W$106,$N$5)</f>
        <v>0</v>
      </c>
      <c r="Q9" s="73">
        <f>COUNTIFS('②-1職員名簿'!AP$7:AP$106,"B",'②-1職員名簿'!$W$7:$W$106,$Q$5,'②-2勤務時間数入力'!F$7:F$106,"正")</f>
        <v>0</v>
      </c>
      <c r="R9" s="73">
        <f>COUNTIFS('②-1職員名簿'!AP$7:AP$106,"B",'②-1職員名簿'!$W$7:$W$106,$Q$5,'②-2勤務時間数入力'!R$7:R$106,"常")</f>
        <v>0</v>
      </c>
      <c r="S9" s="73">
        <f>SUMIFS('②-2勤務時間数入力'!R$7:R$106,'②-1職員名簿'!AP$7:AP$106,"B",'②-1職員名簿'!$W$7:$W$106,$Q$5)</f>
        <v>0</v>
      </c>
      <c r="T9" s="73">
        <f>COUNTIFS('②-1職員名簿'!AP$7:AP$106,"B",'②-1職員名簿'!$W$7:$W$106,$T$5,'②-2勤務時間数入力'!F$7:F$106,"正")</f>
        <v>0</v>
      </c>
      <c r="U9" s="73">
        <f>COUNTIFS('②-1職員名簿'!AP$7:AP$106,"B",'②-1職員名簿'!$W$7:$W$106,$T$5,'②-2勤務時間数入力'!F$7:F$106,"常")</f>
        <v>0</v>
      </c>
      <c r="V9" s="73">
        <f>SUMIFS('②-2勤務時間数入力'!R$7:R$106,'②-1職員名簿'!AP$7:AP$106,"B",'②-1職員名簿'!$W$7:$W$106,$T$5)</f>
        <v>0</v>
      </c>
      <c r="W9" s="73">
        <f>COUNTIFS('②-1職員名簿'!AP$7:AP$106,"B",'②-1職員名簿'!$W$7:$W$106,$W$5,'②-2勤務時間数入力'!F$7:F$106,"正")</f>
        <v>0</v>
      </c>
      <c r="X9" s="73">
        <f>COUNTIFS('②-1職員名簿'!AP$7:AP$106,"B",'②-1職員名簿'!$W$7:$W$106,$W$5,'②-2勤務時間数入力'!R$7:R$106,"常")</f>
        <v>0</v>
      </c>
      <c r="Y9" s="73">
        <f>SUMIFS('②-2勤務時間数入力'!R$7:R$106,'②-1職員名簿'!AP$7:AP$106,"B",'②-1職員名簿'!$W$7:$W$106,$W$5)</f>
        <v>0</v>
      </c>
      <c r="Z9" s="73">
        <f>COUNTIFS('②-1職員名簿'!AP$7:AP$106,"B",'②-1職員名簿'!$W$7:$W$106,$Z$5,'②-2勤務時間数入力'!F$7:F$106,"正")</f>
        <v>0</v>
      </c>
      <c r="AA9" s="73">
        <f>COUNTIFS('②-1職員名簿'!AP$7:AP$106,"B",'②-1職員名簿'!$W$7:$W$106,$Z$5,'②-2勤務時間数入力'!R$7:R$106,"常")</f>
        <v>0</v>
      </c>
      <c r="AB9" s="73">
        <f>SUMIFS('②-2勤務時間数入力'!R$7:R$106,'②-1職員名簿'!AP$7:AP$106,"B",'②-1職員名簿'!$W$7:$W$106,$Z$5)</f>
        <v>0</v>
      </c>
      <c r="AC9" s="167">
        <f t="shared" ref="AC9:AC20" si="0">B9+G9-N9-Q9-T9-W9-Z9</f>
        <v>0</v>
      </c>
      <c r="AD9" s="167">
        <f t="shared" ref="AD9:AD20" si="1">C9+E9+H9+J9-O9-R9-U9-X9-AA9</f>
        <v>0</v>
      </c>
      <c r="AE9" s="177" t="e">
        <f t="shared" ref="AE9:AE20" si="2">ROUNDDOWN((D9+F9+I9+K9-P9-S9-V9-Y9-AB9)/L9,3)</f>
        <v>#DIV/0!</v>
      </c>
      <c r="AF9" s="177" t="e">
        <f>AC9+AD9+AE9</f>
        <v>#DIV/0!</v>
      </c>
      <c r="AG9" s="176" t="e">
        <f>IF(①基本情報!$E$10&gt;90,MIN(AF9,3,MIN(AF9,AI9,3)+MIN(AF9,AJ9,1)),MIN(AF9,4,MIN(AF9,AI9,4)+MIN(AF9,AJ9,2)))</f>
        <v>#N/A</v>
      </c>
      <c r="AI9" s="34" t="e">
        <f>B9+C9+E9+ROUNDDOWN((D9+F9)/L9,3)</f>
        <v>#DIV/0!</v>
      </c>
      <c r="AJ9" s="34" t="e">
        <f>G9+H9+J9+ROUNDDOWN((I9+K9)/L9,3)</f>
        <v>#DIV/0!</v>
      </c>
    </row>
    <row r="10" spans="1:38" s="34" customFormat="1" ht="36" customHeight="1">
      <c r="A10" s="282">
        <v>5</v>
      </c>
      <c r="B10" s="73">
        <f>COUNTIFS('②-1職員名簿'!AD$7:AD$106,"●",'②-1職員名簿'!$BE$7:$BE$106,"正規職員",'②-1職員名簿'!$BF$7:$BF$106,"○")</f>
        <v>0</v>
      </c>
      <c r="C10" s="73">
        <f>COUNTIFS('②-1職員名簿'!AD$7:AD$106,"●",'②-2勤務時間数入力'!$C$7:$C$106,"常勤的非常勤",'②-1職員名簿'!$BF$7:$BF$106,"○",'②-2勤務時間数入力'!S$7:S$106,"常")</f>
        <v>0</v>
      </c>
      <c r="D10" s="73">
        <f>SUMIFS('②-2勤務時間数入力'!S$7:S$106,'②-1職員名簿'!AD$7:AD$106,"●",'②-1職員名簿'!$BF$7:$BF$106,"○",'②-1職員名簿'!$C$7:$C$106,"パート")</f>
        <v>0</v>
      </c>
      <c r="E10" s="73">
        <f>COUNTIFS('②-1職員名簿'!AD$7:AD$106,"●",'②-2勤務時間数入力'!$C$7:$C$106,"嘱託常勤",'②-1職員名簿'!$BF$7:$BF$106,"○",'②-2勤務時間数入力'!S$7:S$106,"常")</f>
        <v>0</v>
      </c>
      <c r="F10" s="73">
        <f>SUMIFS('②-2勤務時間数入力'!S$7:S$106,'②-1職員名簿'!AD$7:AD$106,"●",'②-1職員名簿'!$BF$7:$BF$106,"○",'②-1職員名簿'!$C$7:$C$106,"嘱託等")</f>
        <v>0</v>
      </c>
      <c r="G10" s="73">
        <f>COUNTIFS('②-1職員名簿'!AD$7:AD$106,"●",'②-1職員名簿'!$BE$7:$BE$106,"正規職員",'②-1職員名簿'!$BG$7:$BG$106,"○")</f>
        <v>0</v>
      </c>
      <c r="H10" s="73">
        <f>COUNTIFS('②-1職員名簿'!AD$7:AD$106,"●",'②-2勤務時間数入力'!$C$7:$C$106,"常勤的非常勤",'②-1職員名簿'!$BG$7:$BG$106,"○",'②-2勤務時間数入力'!S$7:S$106,"常")</f>
        <v>0</v>
      </c>
      <c r="I10" s="73">
        <f>SUMIFS('②-2勤務時間数入力'!S$7:S$106,'②-1職員名簿'!AD$7:AD$106,"●",'②-1職員名簿'!$BG$7:$BG$106,"○",'②-1職員名簿'!$C$7:$C$106,"パート")</f>
        <v>0</v>
      </c>
      <c r="J10" s="73">
        <f>COUNTIFS('②-1職員名簿'!AD$7:AD$106,"●",'②-2勤務時間数入力'!$C$7:$C$106,"嘱託常勤",'②-1職員名簿'!$BG$7:$BG$106,"○",'②-2勤務時間数入力'!S$7:S$106,"常")</f>
        <v>0</v>
      </c>
      <c r="K10" s="73">
        <f>SUMIFS('②-2勤務時間数入力'!S$7:S$106,'②-1職員名簿'!AD$7:AD$106,"●",'②-1職員名簿'!$BG$7:$BG$106,"○",'②-1職員名簿'!$C$7:$C$106,"嘱託等")</f>
        <v>0</v>
      </c>
      <c r="L10" s="165">
        <f>'②-2勤務時間数入力'!AH8</f>
        <v>0</v>
      </c>
      <c r="M10" s="166">
        <f>COUNTIFS('②-1職員名簿'!W7:W106,"園長",'②-1職員名簿'!AD$7:AD$106,"●")</f>
        <v>0</v>
      </c>
      <c r="N10" s="73">
        <f>COUNTIFS('②-1職員名簿'!AD$7:AD$106,"●",'②-1職員名簿'!$W$7:$W$106,$N$5,'②-2勤務時間数入力'!G$7:G$106,"正")</f>
        <v>0</v>
      </c>
      <c r="O10" s="73">
        <f>COUNTIFS('②-1職員名簿'!AD$7:AD$106,"●",'②-1職員名簿'!$W$7:$W$106,$N$5,'②-2勤務時間数入力'!S$7:S$106,"常")</f>
        <v>0</v>
      </c>
      <c r="P10" s="73">
        <f>SUMIFS('②-2勤務時間数入力'!S$7:S$106,'②-1職員名簿'!AD$7:AD$106,"●",'②-1職員名簿'!$W$7:$W$106,$N$5)</f>
        <v>0</v>
      </c>
      <c r="Q10" s="73">
        <f>COUNTIFS('②-1職員名簿'!AD$7:AD$106,"●",'②-1職員名簿'!$W$7:$W$106,$Q$5,'②-2勤務時間数入力'!G$7:G$106,"正")</f>
        <v>0</v>
      </c>
      <c r="R10" s="73">
        <f>COUNTIFS('②-1職員名簿'!AD$7:AD$106,"●",'②-1職員名簿'!$W$7:$W$106,$Q$5,'②-2勤務時間数入力'!S$7:S$106,"常")</f>
        <v>0</v>
      </c>
      <c r="S10" s="73">
        <f>SUMIFS('②-2勤務時間数入力'!S$7:S$106,'②-1職員名簿'!AD$7:AD$106,"●",'②-1職員名簿'!$W$7:$W$106,$Q$5)</f>
        <v>0</v>
      </c>
      <c r="T10" s="73">
        <f>COUNTIFS('②-1職員名簿'!AD$7:AD$106,"●",'②-1職員名簿'!$W$7:$W$106,$T$5,'②-2勤務時間数入力'!G$7:G$106,"正")</f>
        <v>0</v>
      </c>
      <c r="U10" s="73">
        <f>COUNTIFS('②-1職員名簿'!AD$7:AD$106,"●",'②-1職員名簿'!$W$7:$W$106,$T$5,'②-2勤務時間数入力'!G$7:G$106,"常")</f>
        <v>0</v>
      </c>
      <c r="V10" s="73">
        <f>SUMIFS('②-2勤務時間数入力'!S$7:S$106,'②-1職員名簿'!AD$7:AD$106,"●",'②-1職員名簿'!$W$7:$W$106,$T$5)</f>
        <v>0</v>
      </c>
      <c r="W10" s="73">
        <f>COUNTIFS('②-1職員名簿'!AD$7:AD$106,"●",'②-1職員名簿'!$W$7:$W$106,$W$5,'②-2勤務時間数入力'!G$7:G$106,"正")</f>
        <v>0</v>
      </c>
      <c r="X10" s="73">
        <f>COUNTIFS('②-1職員名簿'!AD$7:AD$106,"●",'②-1職員名簿'!$W$7:$W$106,$W$5,'②-2勤務時間数入力'!S$7:S$106,"常")</f>
        <v>0</v>
      </c>
      <c r="Y10" s="73">
        <f>SUMIFS('②-2勤務時間数入力'!S$7:S$106,'②-1職員名簿'!AD$7:AD$106,"●",'②-1職員名簿'!$W$7:$W$106,$W$5)</f>
        <v>0</v>
      </c>
      <c r="Z10" s="73">
        <f>COUNTIFS('②-1職員名簿'!AD$7:AD$106,"●",'②-1職員名簿'!$W$7:$W$106,$Z$5,'②-2勤務時間数入力'!G$7:G$106,"正")</f>
        <v>0</v>
      </c>
      <c r="AA10" s="73">
        <f>COUNTIFS('②-1職員名簿'!AD$7:AD$106,"●",'②-1職員名簿'!$W$7:$W$106,$Z$5,'②-2勤務時間数入力'!S$7:S$106,"常")</f>
        <v>0</v>
      </c>
      <c r="AB10" s="73">
        <f>SUMIFS('②-2勤務時間数入力'!S$7:S$106,'②-1職員名簿'!AD$7:AD$106,"●",'②-1職員名簿'!$W$7:$W$106,$Z$5)</f>
        <v>0</v>
      </c>
      <c r="AC10" s="167">
        <f t="shared" si="0"/>
        <v>0</v>
      </c>
      <c r="AD10" s="167">
        <f t="shared" si="1"/>
        <v>0</v>
      </c>
      <c r="AE10" s="177" t="e">
        <f t="shared" si="2"/>
        <v>#DIV/0!</v>
      </c>
      <c r="AF10" s="177" t="e">
        <f t="shared" ref="AF10:AF20" si="3">AC10+AD10+AE10</f>
        <v>#DIV/0!</v>
      </c>
      <c r="AG10" s="176" t="e">
        <f>IF(①基本情報!$E$10&gt;90,MIN(AF10,3,MIN(AF10,AI10,3)+MIN(AF10,AJ10,1)),MIN(AF10,4,MIN(AF10,AI10,4)+MIN(AF10,AJ10,2)))</f>
        <v>#N/A</v>
      </c>
      <c r="AI10" s="34" t="e">
        <f t="shared" ref="AI10:AI20" si="4">B10+C10+E10+ROUNDDOWN((D10+F10)/L10,3)</f>
        <v>#DIV/0!</v>
      </c>
      <c r="AJ10" s="34" t="e">
        <f t="shared" ref="AJ10:AJ20" si="5">G10+H10+J10+ROUNDDOWN((I10+K10)/L10,3)</f>
        <v>#DIV/0!</v>
      </c>
    </row>
    <row r="11" spans="1:38" s="34" customFormat="1" ht="36" customHeight="1">
      <c r="A11" s="282">
        <v>6</v>
      </c>
      <c r="B11" s="73">
        <f>COUNTIFS('②-1職員名簿'!AE$7:AE$106,"●",'②-1職員名簿'!$BE$7:$BE$106,"正規職員",'②-1職員名簿'!$BF$7:$BF$106,"○")</f>
        <v>0</v>
      </c>
      <c r="C11" s="73">
        <f>COUNTIFS('②-1職員名簿'!AE$7:AE$106,"●",'②-2勤務時間数入力'!$C$7:$C$106,"常勤的非常勤",'②-1職員名簿'!$BF$7:$BF$106,"○",'②-2勤務時間数入力'!T$7:T$106,"常")</f>
        <v>0</v>
      </c>
      <c r="D11" s="73">
        <f>SUMIFS('②-2勤務時間数入力'!T$7:T$106,'②-1職員名簿'!AE$7:AE$106,"●",'②-1職員名簿'!$BF$7:$BF$106,"○",'②-1職員名簿'!$C$7:$C$106,"パート")</f>
        <v>0</v>
      </c>
      <c r="E11" s="73">
        <f>COUNTIFS('②-1職員名簿'!AE$7:AE$106,"●",'②-2勤務時間数入力'!$C$7:$C$106,"嘱託常勤",'②-1職員名簿'!$BF$7:$BF$106,"○",'②-2勤務時間数入力'!T$7:T$106,"常")</f>
        <v>0</v>
      </c>
      <c r="F11" s="73">
        <f>SUMIFS('②-2勤務時間数入力'!T$7:T$106,'②-1職員名簿'!AE$7:AE$106,"●",'②-1職員名簿'!$BF$7:$BF$106,"○",'②-1職員名簿'!$C$7:$C$106,"嘱託等")</f>
        <v>0</v>
      </c>
      <c r="G11" s="73">
        <f>COUNTIFS('②-1職員名簿'!AE$7:AE$106,"●",'②-1職員名簿'!$BE$7:$BE$106,"正規職員",'②-1職員名簿'!$BG$7:$BG$106,"○")</f>
        <v>0</v>
      </c>
      <c r="H11" s="73">
        <f>COUNTIFS('②-1職員名簿'!AE$7:AE$106,"●",'②-2勤務時間数入力'!$C$7:$C$106,"常勤的非常勤",'②-1職員名簿'!$BG$7:$BG$106,"○",'②-2勤務時間数入力'!T$7:T$106,"常")</f>
        <v>0</v>
      </c>
      <c r="I11" s="73">
        <f>SUMIFS('②-2勤務時間数入力'!T$7:T$106,'②-1職員名簿'!AE$7:AE$106,"●",'②-1職員名簿'!$BG$7:$BG$106,"○",'②-1職員名簿'!$C$7:$C$106,"パート")</f>
        <v>0</v>
      </c>
      <c r="J11" s="73">
        <f>COUNTIFS('②-1職員名簿'!AE$7:AE$106,"●",'②-2勤務時間数入力'!$C$7:$C$106,"嘱託常勤",'②-1職員名簿'!$BG$7:$BG$106,"○",'②-2勤務時間数入力'!T$7:T$106,"常")</f>
        <v>0</v>
      </c>
      <c r="K11" s="73">
        <f>SUMIFS('②-2勤務時間数入力'!T$7:T$106,'②-1職員名簿'!AE$7:AE$106,"●",'②-1職員名簿'!$BG$7:$BG$106,"○",'②-1職員名簿'!$C$7:$C$106,"嘱託等")</f>
        <v>0</v>
      </c>
      <c r="L11" s="165">
        <f>'②-2勤務時間数入力'!AH9</f>
        <v>0</v>
      </c>
      <c r="M11" s="166">
        <f>COUNTIFS('②-1職員名簿'!W7:W106,"園長",'②-1職員名簿'!AE$7:AE$106,"●")</f>
        <v>0</v>
      </c>
      <c r="N11" s="73">
        <f>COUNTIFS('②-1職員名簿'!AE$7:AE$106,"●",'②-1職員名簿'!$W$7:$W$106,$N$5,'②-2勤務時間数入力'!H$7:H$106,"正")</f>
        <v>0</v>
      </c>
      <c r="O11" s="73">
        <f>COUNTIFS('②-1職員名簿'!AE$7:AE$106,"●",'②-1職員名簿'!$W$7:$W$106,$N$5,'②-2勤務時間数入力'!T$7:T$106,"常")</f>
        <v>0</v>
      </c>
      <c r="P11" s="73">
        <f>SUMIFS('②-2勤務時間数入力'!T$7:T$106,'②-1職員名簿'!AE$7:AE$106,"●",'②-1職員名簿'!$W$7:$W$106,$N$5)</f>
        <v>0</v>
      </c>
      <c r="Q11" s="73">
        <f>COUNTIFS('②-1職員名簿'!AE$7:AE$106,"●",'②-1職員名簿'!$W$7:$W$106,$Q$5,'②-2勤務時間数入力'!H$7:H$106,"正")</f>
        <v>0</v>
      </c>
      <c r="R11" s="73">
        <f>COUNTIFS('②-1職員名簿'!AE$7:AE$106,"●",'②-1職員名簿'!$W$7:$W$106,$Q$5,'②-2勤務時間数入力'!T$7:T$106,"常")</f>
        <v>0</v>
      </c>
      <c r="S11" s="73">
        <f>SUMIFS('②-2勤務時間数入力'!T$7:T$106,'②-1職員名簿'!AE$7:AE$106,"●",'②-1職員名簿'!$W$7:$W$106,$Q$5)</f>
        <v>0</v>
      </c>
      <c r="T11" s="73">
        <f>COUNTIFS('②-1職員名簿'!AE$7:AE$106,"●",'②-1職員名簿'!$W$7:$W$106,$T$5,'②-2勤務時間数入力'!H$7:H$106,"正")</f>
        <v>0</v>
      </c>
      <c r="U11" s="73">
        <f>COUNTIFS('②-1職員名簿'!AE$7:AE$106,"●",'②-1職員名簿'!$W$7:$W$106,$T$5,'②-2勤務時間数入力'!H$7:H$106,"常")</f>
        <v>0</v>
      </c>
      <c r="V11" s="73">
        <f>SUMIFS('②-2勤務時間数入力'!T$7:T$106,'②-1職員名簿'!AE$7:AE$106,"●",'②-1職員名簿'!$W$7:$W$106,$T$5)</f>
        <v>0</v>
      </c>
      <c r="W11" s="73">
        <f>COUNTIFS('②-1職員名簿'!AE$7:AE$106,"●",'②-1職員名簿'!$W$7:$W$106,$W$5,'②-2勤務時間数入力'!H$7:H$106,"正")</f>
        <v>0</v>
      </c>
      <c r="X11" s="73">
        <f>COUNTIFS('②-1職員名簿'!AE$7:AE$106,"●",'②-1職員名簿'!$W$7:$W$106,$W$5,'②-2勤務時間数入力'!T$7:T$106,"常")</f>
        <v>0</v>
      </c>
      <c r="Y11" s="73">
        <f>SUMIFS('②-2勤務時間数入力'!T$7:T$106,'②-1職員名簿'!AE$7:AE$106,"●",'②-1職員名簿'!$W$7:$W$106,$W$5)</f>
        <v>0</v>
      </c>
      <c r="Z11" s="73">
        <f>COUNTIFS('②-1職員名簿'!AE$7:AE$106,"●",'②-1職員名簿'!$W$7:$W$106,$Z$5,'②-2勤務時間数入力'!H$7:H$106,"正")</f>
        <v>0</v>
      </c>
      <c r="AA11" s="73">
        <f>COUNTIFS('②-1職員名簿'!AE$7:AE$106,"●",'②-1職員名簿'!$W$7:$W$106,$Z$5,'②-2勤務時間数入力'!T$7:T$106,"常")</f>
        <v>0</v>
      </c>
      <c r="AB11" s="73">
        <f>SUMIFS('②-2勤務時間数入力'!T$7:T$106,'②-1職員名簿'!AE$7:AE$106,"●",'②-1職員名簿'!$W$7:$W$106,$Z$5)</f>
        <v>0</v>
      </c>
      <c r="AC11" s="167">
        <f t="shared" si="0"/>
        <v>0</v>
      </c>
      <c r="AD11" s="167">
        <f t="shared" si="1"/>
        <v>0</v>
      </c>
      <c r="AE11" s="177" t="e">
        <f t="shared" si="2"/>
        <v>#DIV/0!</v>
      </c>
      <c r="AF11" s="177" t="e">
        <f t="shared" si="3"/>
        <v>#DIV/0!</v>
      </c>
      <c r="AG11" s="176" t="e">
        <f>IF(①基本情報!$E$10&gt;90,MIN(AF11,3,MIN(AF11,AI11,3)+MIN(AF11,AJ11,1)),MIN(AF11,4,MIN(AF11,AI11,4)+MIN(AF11,AJ11,2)))</f>
        <v>#N/A</v>
      </c>
      <c r="AI11" s="34" t="e">
        <f t="shared" si="4"/>
        <v>#DIV/0!</v>
      </c>
      <c r="AJ11" s="34" t="e">
        <f t="shared" si="5"/>
        <v>#DIV/0!</v>
      </c>
    </row>
    <row r="12" spans="1:38" s="34" customFormat="1" ht="36" customHeight="1">
      <c r="A12" s="282">
        <v>7</v>
      </c>
      <c r="B12" s="73">
        <f>COUNTIFS('②-1職員名簿'!AF$7:AF$106,"●",'②-1職員名簿'!$BE$7:$BE$106,"正規職員",'②-1職員名簿'!$BF$7:$BF$106,"○")</f>
        <v>0</v>
      </c>
      <c r="C12" s="73">
        <f>COUNTIFS('②-1職員名簿'!AF$7:AF$106,"●",'②-2勤務時間数入力'!$C$7:$C$106,"常勤的非常勤",'②-1職員名簿'!$BF$7:$BF$106,"○",'②-2勤務時間数入力'!U$7:U$106,"常")</f>
        <v>0</v>
      </c>
      <c r="D12" s="73">
        <f>SUMIFS('②-2勤務時間数入力'!U$7:U$106,'②-1職員名簿'!AF$7:AF$106,"●",'②-1職員名簿'!$BF$7:$BF$106,"○",'②-1職員名簿'!$C$7:$C$106,"パート")</f>
        <v>0</v>
      </c>
      <c r="E12" s="73">
        <f>COUNTIFS('②-1職員名簿'!AF$7:AF$106,"●",'②-2勤務時間数入力'!$C$7:$C$106,"嘱託常勤",'②-1職員名簿'!$BF$7:$BF$106,"○",'②-2勤務時間数入力'!U$7:U$106,"常")</f>
        <v>0</v>
      </c>
      <c r="F12" s="73">
        <f>SUMIFS('②-2勤務時間数入力'!U$7:U$106,'②-1職員名簿'!AF$7:AF$106,"●",'②-1職員名簿'!$BF$7:$BF$106,"○",'②-1職員名簿'!$C$7:$C$106,"嘱託等")</f>
        <v>0</v>
      </c>
      <c r="G12" s="73">
        <f>COUNTIFS('②-1職員名簿'!AF$7:AF$106,"●",'②-1職員名簿'!$BE$7:$BE$106,"正規職員",'②-1職員名簿'!$BG$7:$BG$106,"○")</f>
        <v>0</v>
      </c>
      <c r="H12" s="73">
        <f>COUNTIFS('②-1職員名簿'!AF$7:AF$106,"●",'②-2勤務時間数入力'!$C$7:$C$106,"常勤的非常勤",'②-1職員名簿'!$BG$7:$BG$106,"○",'②-2勤務時間数入力'!U$7:U$106,"常")</f>
        <v>0</v>
      </c>
      <c r="I12" s="73">
        <f>SUMIFS('②-2勤務時間数入力'!U$7:U$106,'②-1職員名簿'!AF$7:AF$106,"●",'②-1職員名簿'!$BG$7:$BG$106,"○",'②-1職員名簿'!$C$7:$C$106,"パート")</f>
        <v>0</v>
      </c>
      <c r="J12" s="73">
        <f>COUNTIFS('②-1職員名簿'!AF$7:AF$106,"●",'②-2勤務時間数入力'!$C$7:$C$106,"嘱託常勤",'②-1職員名簿'!$BG$7:$BG$106,"○",'②-2勤務時間数入力'!U$7:U$106,"常")</f>
        <v>0</v>
      </c>
      <c r="K12" s="73">
        <f>SUMIFS('②-2勤務時間数入力'!U$7:U$106,'②-1職員名簿'!AF$7:AF$106,"●",'②-1職員名簿'!$BG$7:$BG$106,"○",'②-1職員名簿'!$C$7:$C$106,"嘱託等")</f>
        <v>0</v>
      </c>
      <c r="L12" s="165">
        <f>'②-2勤務時間数入力'!AH10</f>
        <v>0</v>
      </c>
      <c r="M12" s="166">
        <f>COUNTIFS('②-1職員名簿'!W7:W106,"園長",'②-1職員名簿'!AF$7:AF$106,"●")</f>
        <v>0</v>
      </c>
      <c r="N12" s="73">
        <f>COUNTIFS('②-1職員名簿'!AF$7:AF$106,"●",'②-1職員名簿'!$W$7:$W$106,$N$5,'②-2勤務時間数入力'!I$7:I$106,"正")</f>
        <v>0</v>
      </c>
      <c r="O12" s="73">
        <f>COUNTIFS('②-1職員名簿'!AF$7:AF$106,"●",'②-1職員名簿'!$W$7:$W$106,$N$5,'②-2勤務時間数入力'!U$7:U$106,"常")</f>
        <v>0</v>
      </c>
      <c r="P12" s="73">
        <f>SUMIFS('②-2勤務時間数入力'!U$7:U$106,'②-1職員名簿'!AF$7:AF$106,"●",'②-1職員名簿'!$W$7:$W$106,$N$5)</f>
        <v>0</v>
      </c>
      <c r="Q12" s="73">
        <f>COUNTIFS('②-1職員名簿'!AF$7:AF$106,"●",'②-1職員名簿'!$W$7:$W$106,$Q$5,'②-2勤務時間数入力'!I$7:I$106,"正")</f>
        <v>0</v>
      </c>
      <c r="R12" s="73">
        <f>COUNTIFS('②-1職員名簿'!AF$7:AF$106,"●",'②-1職員名簿'!$W$7:$W$106,$Q$5,'②-2勤務時間数入力'!U$7:U$106,"常")</f>
        <v>0</v>
      </c>
      <c r="S12" s="73">
        <f>SUMIFS('②-2勤務時間数入力'!U$7:U$106,'②-1職員名簿'!AF$7:AF$106,"●",'②-1職員名簿'!$W$7:$W$106,$Q$5)</f>
        <v>0</v>
      </c>
      <c r="T12" s="73">
        <f>COUNTIFS('②-1職員名簿'!AF$7:AF$106,"●",'②-1職員名簿'!$W$7:$W$106,$T$5,'②-2勤務時間数入力'!I$7:I$106,"正")</f>
        <v>0</v>
      </c>
      <c r="U12" s="73">
        <f>COUNTIFS('②-1職員名簿'!AF$7:AF$106,"●",'②-1職員名簿'!$W$7:$W$106,$T$5,'②-2勤務時間数入力'!I$7:I$106,"常")</f>
        <v>0</v>
      </c>
      <c r="V12" s="73">
        <f>SUMIFS('②-2勤務時間数入力'!U$7:U$106,'②-1職員名簿'!AF$7:AF$106,"●",'②-1職員名簿'!$W$7:$W$106,$T$5)</f>
        <v>0</v>
      </c>
      <c r="W12" s="73">
        <f>COUNTIFS('②-1職員名簿'!AF$7:AF$106,"●",'②-1職員名簿'!$W$7:$W$106,$W$5,'②-2勤務時間数入力'!I$7:I$106,"正")</f>
        <v>0</v>
      </c>
      <c r="X12" s="73">
        <f>COUNTIFS('②-1職員名簿'!AF$7:AF$106,"●",'②-1職員名簿'!$W$7:$W$106,$W$5,'②-2勤務時間数入力'!U$7:U$106,"常")</f>
        <v>0</v>
      </c>
      <c r="Y12" s="73">
        <f>SUMIFS('②-2勤務時間数入力'!U$7:U$106,'②-1職員名簿'!AF$7:AF$106,"●",'②-1職員名簿'!$W$7:$W$106,$W$5)</f>
        <v>0</v>
      </c>
      <c r="Z12" s="73">
        <f>COUNTIFS('②-1職員名簿'!AF$7:AF$106,"●",'②-1職員名簿'!$W$7:$W$106,$Z$5,'②-2勤務時間数入力'!I$7:I$106,"正")</f>
        <v>0</v>
      </c>
      <c r="AA12" s="73">
        <f>COUNTIFS('②-1職員名簿'!AF$7:AF$106,"●",'②-1職員名簿'!$W$7:$W$106,$Z$5,'②-2勤務時間数入力'!U$7:U$106,"常")</f>
        <v>0</v>
      </c>
      <c r="AB12" s="73">
        <f>SUMIFS('②-2勤務時間数入力'!U$7:U$106,'②-1職員名簿'!AF$7:AF$106,"●",'②-1職員名簿'!$W$7:$W$106,$Z$5)</f>
        <v>0</v>
      </c>
      <c r="AC12" s="167">
        <f t="shared" si="0"/>
        <v>0</v>
      </c>
      <c r="AD12" s="167">
        <f t="shared" si="1"/>
        <v>0</v>
      </c>
      <c r="AE12" s="177" t="e">
        <f t="shared" si="2"/>
        <v>#DIV/0!</v>
      </c>
      <c r="AF12" s="177" t="e">
        <f t="shared" si="3"/>
        <v>#DIV/0!</v>
      </c>
      <c r="AG12" s="176" t="e">
        <f>IF(①基本情報!$E$10&gt;90,MIN(AF12,3,MIN(AF12,AI12,3)+MIN(AF12,AJ12,1)),MIN(AF12,4,MIN(AF12,AI12,4)+MIN(AF12,AJ12,2)))</f>
        <v>#N/A</v>
      </c>
      <c r="AI12" s="34" t="e">
        <f t="shared" si="4"/>
        <v>#DIV/0!</v>
      </c>
      <c r="AJ12" s="34" t="e">
        <f t="shared" si="5"/>
        <v>#DIV/0!</v>
      </c>
    </row>
    <row r="13" spans="1:38" s="34" customFormat="1" ht="36" customHeight="1">
      <c r="A13" s="282">
        <v>8</v>
      </c>
      <c r="B13" s="73">
        <f>COUNTIFS('②-1職員名簿'!AG$7:AG$106,"●",'②-1職員名簿'!$BE$7:$BE$106,"正規職員",'②-1職員名簿'!$BF$7:$BF$106,"○")</f>
        <v>0</v>
      </c>
      <c r="C13" s="73">
        <f>COUNTIFS('②-1職員名簿'!AG$7:AG$106,"●",'②-2勤務時間数入力'!$C$7:$C$106,"常勤的非常勤",'②-1職員名簿'!$BF$7:$BF$106,"○",'②-2勤務時間数入力'!V$7:V$106,"常")</f>
        <v>0</v>
      </c>
      <c r="D13" s="73">
        <f>SUMIFS('②-2勤務時間数入力'!V$7:V$106,'②-1職員名簿'!AG$7:AG$106,"●",'②-1職員名簿'!$BF$7:$BF$106,"○",'②-1職員名簿'!$C$7:$C$106,"パート")</f>
        <v>0</v>
      </c>
      <c r="E13" s="73">
        <f>COUNTIFS('②-1職員名簿'!AG$7:AG$106,"●",'②-2勤務時間数入力'!$C$7:$C$106,"嘱託常勤",'②-1職員名簿'!$BF$7:$BF$106,"○",'②-2勤務時間数入力'!V$7:V$106,"常")</f>
        <v>0</v>
      </c>
      <c r="F13" s="73">
        <f>SUMIFS('②-2勤務時間数入力'!V$7:V$106,'②-1職員名簿'!AG$7:AG$106,"●",'②-1職員名簿'!$BF$7:$BF$106,"○",'②-1職員名簿'!$C$7:$C$106,"嘱託等")</f>
        <v>0</v>
      </c>
      <c r="G13" s="73">
        <f>COUNTIFS('②-1職員名簿'!AG$7:AG$106,"●",'②-1職員名簿'!$BE$7:$BE$106,"正規職員",'②-1職員名簿'!$BG$7:$BG$106,"○")</f>
        <v>0</v>
      </c>
      <c r="H13" s="73">
        <f>COUNTIFS('②-1職員名簿'!AG$7:AG$106,"●",'②-2勤務時間数入力'!$C$7:$C$106,"常勤的非常勤",'②-1職員名簿'!$BG$7:$BG$106,"○",'②-2勤務時間数入力'!V$7:V$106,"常")</f>
        <v>0</v>
      </c>
      <c r="I13" s="73">
        <f>SUMIFS('②-2勤務時間数入力'!V$7:V$106,'②-1職員名簿'!AG$7:AG$106,"●",'②-1職員名簿'!$BG$7:$BG$106,"○",'②-1職員名簿'!$C$7:$C$106,"パート")</f>
        <v>0</v>
      </c>
      <c r="J13" s="73">
        <f>COUNTIFS('②-1職員名簿'!AG$7:AG$106,"●",'②-2勤務時間数入力'!$C$7:$C$106,"嘱託常勤",'②-1職員名簿'!$BG$7:$BG$106,"○",'②-2勤務時間数入力'!V$7:V$106,"常")</f>
        <v>0</v>
      </c>
      <c r="K13" s="73">
        <f>SUMIFS('②-2勤務時間数入力'!V$7:V$106,'②-1職員名簿'!AG$7:AG$106,"●",'②-1職員名簿'!$BG$7:$BG$106,"○",'②-1職員名簿'!$C$7:$C$106,"嘱託等")</f>
        <v>0</v>
      </c>
      <c r="L13" s="165">
        <f>'②-2勤務時間数入力'!AH11</f>
        <v>0</v>
      </c>
      <c r="M13" s="166">
        <f>COUNTIFS('②-1職員名簿'!W7:W106,"園長",'②-1職員名簿'!AG$7:AG$106,"●")</f>
        <v>0</v>
      </c>
      <c r="N13" s="73">
        <f>COUNTIFS('②-1職員名簿'!AG$7:AG$106,"●",'②-1職員名簿'!$W$7:$W$106,$N$5,'②-2勤務時間数入力'!J$7:J$106,"正")</f>
        <v>0</v>
      </c>
      <c r="O13" s="73">
        <f>COUNTIFS('②-1職員名簿'!AG$7:AG$106,"●",'②-1職員名簿'!$W$7:$W$106,$N$5,'②-2勤務時間数入力'!V$7:V$106,"常")</f>
        <v>0</v>
      </c>
      <c r="P13" s="73">
        <f>SUMIFS('②-2勤務時間数入力'!V$7:V$106,'②-1職員名簿'!AG$7:AG$106,"●",'②-1職員名簿'!$W$7:$W$106,$N$5)</f>
        <v>0</v>
      </c>
      <c r="Q13" s="73">
        <f>COUNTIFS('②-1職員名簿'!AG$7:AG$106,"●",'②-1職員名簿'!$W$7:$W$106,$Q$5,'②-2勤務時間数入力'!J$7:J$106,"正")</f>
        <v>0</v>
      </c>
      <c r="R13" s="73">
        <f>COUNTIFS('②-1職員名簿'!AG$7:AG$106,"●",'②-1職員名簿'!$W$7:$W$106,$Q$5,'②-2勤務時間数入力'!V$7:V$106,"常")</f>
        <v>0</v>
      </c>
      <c r="S13" s="73">
        <f>SUMIFS('②-2勤務時間数入力'!V$7:V$106,'②-1職員名簿'!AG$7:AG$106,"●",'②-1職員名簿'!$W$7:$W$106,$Q$5)</f>
        <v>0</v>
      </c>
      <c r="T13" s="73">
        <f>COUNTIFS('②-1職員名簿'!AG$7:AG$106,"●",'②-1職員名簿'!$W$7:$W$106,$T$5,'②-2勤務時間数入力'!J$7:J$106,"正")</f>
        <v>0</v>
      </c>
      <c r="U13" s="73">
        <f>COUNTIFS('②-1職員名簿'!AG$7:AG$106,"●",'②-1職員名簿'!$W$7:$W$106,$T$5,'②-2勤務時間数入力'!J$7:J$106,"常")</f>
        <v>0</v>
      </c>
      <c r="V13" s="73">
        <f>SUMIFS('②-2勤務時間数入力'!V$7:V$106,'②-1職員名簿'!AG$7:AG$106,"●",'②-1職員名簿'!$W$7:$W$106,$T$5)</f>
        <v>0</v>
      </c>
      <c r="W13" s="73">
        <f>COUNTIFS('②-1職員名簿'!AG$7:AG$106,"●",'②-1職員名簿'!$W$7:$W$106,$W$5,'②-2勤務時間数入力'!J$7:J$106,"正")</f>
        <v>0</v>
      </c>
      <c r="X13" s="73">
        <f>COUNTIFS('②-1職員名簿'!AG$7:AG$106,"●",'②-1職員名簿'!$W$7:$W$106,$W$5,'②-2勤務時間数入力'!V$7:V$106,"常")</f>
        <v>0</v>
      </c>
      <c r="Y13" s="73">
        <f>SUMIFS('②-2勤務時間数入力'!V$7:V$106,'②-1職員名簿'!AG$7:AG$106,"●",'②-1職員名簿'!$W$7:$W$106,$W$5)</f>
        <v>0</v>
      </c>
      <c r="Z13" s="73">
        <f>COUNTIFS('②-1職員名簿'!AG$7:AG$106,"●",'②-1職員名簿'!$W$7:$W$106,$Z$5,'②-2勤務時間数入力'!J$7:J$106,"正")</f>
        <v>0</v>
      </c>
      <c r="AA13" s="73">
        <f>COUNTIFS('②-1職員名簿'!AG$7:AG$106,"●",'②-1職員名簿'!$W$7:$W$106,$Z$5,'②-2勤務時間数入力'!V$7:V$106,"常")</f>
        <v>0</v>
      </c>
      <c r="AB13" s="73">
        <f>SUMIFS('②-2勤務時間数入力'!V$7:V$106,'②-1職員名簿'!AG$7:AG$106,"●",'②-1職員名簿'!$W$7:$W$106,$Z$5)</f>
        <v>0</v>
      </c>
      <c r="AC13" s="167">
        <f t="shared" si="0"/>
        <v>0</v>
      </c>
      <c r="AD13" s="167">
        <f t="shared" si="1"/>
        <v>0</v>
      </c>
      <c r="AE13" s="177" t="e">
        <f t="shared" si="2"/>
        <v>#DIV/0!</v>
      </c>
      <c r="AF13" s="177" t="e">
        <f t="shared" si="3"/>
        <v>#DIV/0!</v>
      </c>
      <c r="AG13" s="176" t="e">
        <f>IF(①基本情報!$E$10&gt;90,MIN(AF13,3,MIN(AF13,AI13,3)+MIN(AF13,AJ13,1)),MIN(AF13,4,MIN(AF13,AI13,4)+MIN(AF13,AJ13,2)))</f>
        <v>#N/A</v>
      </c>
      <c r="AI13" s="34" t="e">
        <f t="shared" si="4"/>
        <v>#DIV/0!</v>
      </c>
      <c r="AJ13" s="34" t="e">
        <f t="shared" si="5"/>
        <v>#DIV/0!</v>
      </c>
    </row>
    <row r="14" spans="1:38" s="34" customFormat="1" ht="36" customHeight="1">
      <c r="A14" s="282">
        <v>9</v>
      </c>
      <c r="B14" s="73">
        <f>COUNTIFS('②-1職員名簿'!AH$7:AH$106,"●",'②-1職員名簿'!$BE$7:$BE$106,"正規職員",'②-1職員名簿'!$BF$7:$BF$106,"○")</f>
        <v>0</v>
      </c>
      <c r="C14" s="73">
        <f>COUNTIFS('②-1職員名簿'!AH$7:AH$106,"●",'②-2勤務時間数入力'!$C$7:$C$106,"常勤的非常勤",'②-1職員名簿'!$BF$7:$BF$106,"○",'②-2勤務時間数入力'!W$7:W$106,"常")</f>
        <v>0</v>
      </c>
      <c r="D14" s="73">
        <f>SUMIFS('②-2勤務時間数入力'!W$7:W$106,'②-1職員名簿'!AH$7:AH$106,"●",'②-1職員名簿'!$BF$7:$BF$106,"○",'②-1職員名簿'!$C$7:$C$106,"パート")</f>
        <v>0</v>
      </c>
      <c r="E14" s="73">
        <f>COUNTIFS('②-1職員名簿'!AH$7:AH$106,"●",'②-2勤務時間数入力'!$C$7:$C$106,"嘱託常勤",'②-1職員名簿'!$BF$7:$BF$106,"○",'②-2勤務時間数入力'!W$7:W$106,"常")</f>
        <v>0</v>
      </c>
      <c r="F14" s="73">
        <f>SUMIFS('②-2勤務時間数入力'!W$7:W$106,'②-1職員名簿'!AH$7:AH$106,"●",'②-1職員名簿'!$BF$7:$BF$106,"○",'②-1職員名簿'!$C$7:$C$106,"嘱託等")</f>
        <v>0</v>
      </c>
      <c r="G14" s="73">
        <f>COUNTIFS('②-1職員名簿'!AH$7:AH$106,"●",'②-1職員名簿'!$BE$7:$BE$106,"正規職員",'②-1職員名簿'!$BG$7:$BG$106,"○")</f>
        <v>0</v>
      </c>
      <c r="H14" s="73">
        <f>COUNTIFS('②-1職員名簿'!AH$7:AH$106,"●",'②-2勤務時間数入力'!$C$7:$C$106,"常勤的非常勤",'②-1職員名簿'!$BG$7:$BG$106,"○",'②-2勤務時間数入力'!W$7:W$106,"常")</f>
        <v>0</v>
      </c>
      <c r="I14" s="73">
        <f>SUMIFS('②-2勤務時間数入力'!W$7:W$106,'②-1職員名簿'!AH$7:AH$106,"●",'②-1職員名簿'!$BG$7:$BG$106,"○",'②-1職員名簿'!$C$7:$C$106,"パート")</f>
        <v>0</v>
      </c>
      <c r="J14" s="73">
        <f>COUNTIFS('②-1職員名簿'!AH$7:AH$106,"●",'②-2勤務時間数入力'!$C$7:$C$106,"嘱託常勤",'②-1職員名簿'!$BG$7:$BG$106,"○",'②-2勤務時間数入力'!W$7:W$106,"常")</f>
        <v>0</v>
      </c>
      <c r="K14" s="73">
        <f>SUMIFS('②-2勤務時間数入力'!W$7:W$106,'②-1職員名簿'!AH$7:AH$106,"●",'②-1職員名簿'!$BG$7:$BG$106,"○",'②-1職員名簿'!$C$7:$C$106,"嘱託等")</f>
        <v>0</v>
      </c>
      <c r="L14" s="165">
        <f>'②-2勤務時間数入力'!AH12</f>
        <v>0</v>
      </c>
      <c r="M14" s="166">
        <f>COUNTIFS('②-1職員名簿'!W7:W106,"園長",'②-1職員名簿'!AH$7:AH$106,"●")</f>
        <v>0</v>
      </c>
      <c r="N14" s="73">
        <f>COUNTIFS('②-1職員名簿'!AH$7:AH$106,"●",'②-1職員名簿'!$W$7:$W$106,$N$5,'②-2勤務時間数入力'!K$7:K$106,"正")</f>
        <v>0</v>
      </c>
      <c r="O14" s="73">
        <f>COUNTIFS('②-1職員名簿'!AH$7:AH$106,"●",'②-1職員名簿'!$W$7:$W$106,$N$5,'②-2勤務時間数入力'!W$7:W$106,"常")</f>
        <v>0</v>
      </c>
      <c r="P14" s="73">
        <f>SUMIFS('②-2勤務時間数入力'!W$7:W$106,'②-1職員名簿'!AH$7:AH$106,"●",'②-1職員名簿'!$W$7:$W$106,$N$5)</f>
        <v>0</v>
      </c>
      <c r="Q14" s="73">
        <f>COUNTIFS('②-1職員名簿'!AH$7:AH$106,"●",'②-1職員名簿'!$W$7:$W$106,$Q$5,'②-2勤務時間数入力'!K$7:K$106,"正")</f>
        <v>0</v>
      </c>
      <c r="R14" s="73">
        <f>COUNTIFS('②-1職員名簿'!AH$7:AH$106,"●",'②-1職員名簿'!$W$7:$W$106,$Q$5,'②-2勤務時間数入力'!W$7:W$106,"常")</f>
        <v>0</v>
      </c>
      <c r="S14" s="73">
        <f>SUMIFS('②-2勤務時間数入力'!W$7:W$106,'②-1職員名簿'!AH$7:AH$106,"●",'②-1職員名簿'!$W$7:$W$106,$Q$5)</f>
        <v>0</v>
      </c>
      <c r="T14" s="73">
        <f>COUNTIFS('②-1職員名簿'!AH$7:AH$106,"●",'②-1職員名簿'!$W$7:$W$106,$T$5,'②-2勤務時間数入力'!K$7:K$106,"正")</f>
        <v>0</v>
      </c>
      <c r="U14" s="73">
        <f>COUNTIFS('②-1職員名簿'!AH$7:AH$106,"●",'②-1職員名簿'!$W$7:$W$106,$T$5,'②-2勤務時間数入力'!K$7:K$106,"常")</f>
        <v>0</v>
      </c>
      <c r="V14" s="73">
        <f>SUMIFS('②-2勤務時間数入力'!W$7:W$106,'②-1職員名簿'!AH$7:AH$106,"●",'②-1職員名簿'!$W$7:$W$106,$T$5)</f>
        <v>0</v>
      </c>
      <c r="W14" s="73">
        <f>COUNTIFS('②-1職員名簿'!AH$7:AH$106,"●",'②-1職員名簿'!$W$7:$W$106,$W$5,'②-2勤務時間数入力'!K$7:K$106,"正")</f>
        <v>0</v>
      </c>
      <c r="X14" s="73">
        <f>COUNTIFS('②-1職員名簿'!AH$7:AH$106,"●",'②-1職員名簿'!$W$7:$W$106,$W$5,'②-2勤務時間数入力'!W$7:W$106,"常")</f>
        <v>0</v>
      </c>
      <c r="Y14" s="73">
        <f>SUMIFS('②-2勤務時間数入力'!W$7:W$106,'②-1職員名簿'!AH$7:AH$106,"●",'②-1職員名簿'!$W$7:$W$106,$W$5)</f>
        <v>0</v>
      </c>
      <c r="Z14" s="73">
        <f>COUNTIFS('②-1職員名簿'!AH$7:AH$106,"●",'②-1職員名簿'!$W$7:$W$106,$Z$5,'②-2勤務時間数入力'!K$7:K$106,"正")</f>
        <v>0</v>
      </c>
      <c r="AA14" s="73">
        <f>COUNTIFS('②-1職員名簿'!AH$7:AH$106,"●",'②-1職員名簿'!$W$7:$W$106,$Z$5,'②-2勤務時間数入力'!W$7:W$106,"常")</f>
        <v>0</v>
      </c>
      <c r="AB14" s="73">
        <f>SUMIFS('②-2勤務時間数入力'!W$7:W$106,'②-1職員名簿'!AH$7:AH$106,"●",'②-1職員名簿'!$W$7:$W$106,$Z$5)</f>
        <v>0</v>
      </c>
      <c r="AC14" s="167">
        <f t="shared" si="0"/>
        <v>0</v>
      </c>
      <c r="AD14" s="167">
        <f t="shared" si="1"/>
        <v>0</v>
      </c>
      <c r="AE14" s="177" t="e">
        <f t="shared" si="2"/>
        <v>#DIV/0!</v>
      </c>
      <c r="AF14" s="177" t="e">
        <f t="shared" si="3"/>
        <v>#DIV/0!</v>
      </c>
      <c r="AG14" s="176" t="e">
        <f>IF(①基本情報!$E$10&gt;90,MIN(AF14,3,MIN(AF14,AI14,3)+MIN(AF14,AJ14,1)),MIN(AF14,4,MIN(AF14,AI14,4)+MIN(AF14,AJ14,2)))</f>
        <v>#N/A</v>
      </c>
      <c r="AI14" s="34" t="e">
        <f t="shared" si="4"/>
        <v>#DIV/0!</v>
      </c>
      <c r="AJ14" s="34" t="e">
        <f t="shared" si="5"/>
        <v>#DIV/0!</v>
      </c>
    </row>
    <row r="15" spans="1:38" s="34" customFormat="1" ht="36" customHeight="1">
      <c r="A15" s="282">
        <v>10</v>
      </c>
      <c r="B15" s="73">
        <f>COUNTIFS('②-1職員名簿'!AI$7:AI$106,"●",'②-1職員名簿'!$BE$7:$BE$106,"正規職員",'②-1職員名簿'!$BF$7:$BF$106,"○")</f>
        <v>0</v>
      </c>
      <c r="C15" s="73">
        <f>COUNTIFS('②-1職員名簿'!AI$7:AI$106,"●",'②-2勤務時間数入力'!$C$7:$C$106,"常勤的非常勤",'②-1職員名簿'!$BF$7:$BF$106,"○",'②-2勤務時間数入力'!X$7:X$106,"常")</f>
        <v>0</v>
      </c>
      <c r="D15" s="73">
        <f>SUMIFS('②-2勤務時間数入力'!X$7:X$106,'②-1職員名簿'!AI$7:AI$106,"●",'②-1職員名簿'!$BF$7:$BF$106,"○",'②-1職員名簿'!$C$7:$C$106,"パート")</f>
        <v>0</v>
      </c>
      <c r="E15" s="73">
        <f>COUNTIFS('②-1職員名簿'!AI$7:AI$106,"●",'②-2勤務時間数入力'!$C$7:$C$106,"嘱託常勤",'②-1職員名簿'!$BF$7:$BF$106,"○",'②-2勤務時間数入力'!X$7:X$106,"常")</f>
        <v>0</v>
      </c>
      <c r="F15" s="73">
        <f>SUMIFS('②-2勤務時間数入力'!X$7:X$106,'②-1職員名簿'!AI$7:AI$106,"●",'②-1職員名簿'!$BF$7:$BF$106,"○",'②-1職員名簿'!$C$7:$C$106,"嘱託等")</f>
        <v>0</v>
      </c>
      <c r="G15" s="73">
        <f>COUNTIFS('②-1職員名簿'!AI$7:AI$106,"●",'②-1職員名簿'!$BE$7:$BE$106,"正規職員",'②-1職員名簿'!$BG$7:$BG$106,"○")</f>
        <v>0</v>
      </c>
      <c r="H15" s="73">
        <f>COUNTIFS('②-1職員名簿'!AI$7:AI$106,"●",'②-2勤務時間数入力'!$C$7:$C$106,"常勤的非常勤",'②-1職員名簿'!$BG$7:$BG$106,"○",'②-2勤務時間数入力'!X$7:X$106,"常")</f>
        <v>0</v>
      </c>
      <c r="I15" s="73">
        <f>SUMIFS('②-2勤務時間数入力'!X$7:X$106,'②-1職員名簿'!AI$7:AI$106,"●",'②-1職員名簿'!$BG$7:$BG$106,"○",'②-1職員名簿'!$C$7:$C$106,"パート")</f>
        <v>0</v>
      </c>
      <c r="J15" s="73">
        <f>COUNTIFS('②-1職員名簿'!AI$7:AI$106,"●",'②-2勤務時間数入力'!$C$7:$C$106,"嘱託常勤",'②-1職員名簿'!$BG$7:$BG$106,"○",'②-2勤務時間数入力'!X$7:X$106,"常")</f>
        <v>0</v>
      </c>
      <c r="K15" s="73">
        <f>SUMIFS('②-2勤務時間数入力'!X$7:X$106,'②-1職員名簿'!AI$7:AI$106,"●",'②-1職員名簿'!$BG$7:$BG$106,"○",'②-1職員名簿'!$C$7:$C$106,"嘱託等")</f>
        <v>0</v>
      </c>
      <c r="L15" s="165">
        <f>'②-2勤務時間数入力'!AH13</f>
        <v>0</v>
      </c>
      <c r="M15" s="166">
        <f>COUNTIFS('②-1職員名簿'!W7:W106,"園長",'②-1職員名簿'!AI$7:AI$106,"●")</f>
        <v>0</v>
      </c>
      <c r="N15" s="73">
        <f>COUNTIFS('②-1職員名簿'!AI$7:AI$106,"●",'②-1職員名簿'!$W$7:$W$106,$N$5,'②-2勤務時間数入力'!L$7:L$106,"正")</f>
        <v>0</v>
      </c>
      <c r="O15" s="73">
        <f>COUNTIFS('②-1職員名簿'!AI$7:AI$106,"●",'②-1職員名簿'!$W$7:$W$106,$N$5,'②-2勤務時間数入力'!X$7:X$106,"常")</f>
        <v>0</v>
      </c>
      <c r="P15" s="73">
        <f>SUMIFS('②-2勤務時間数入力'!X$7:X$106,'②-1職員名簿'!AI$7:AI$106,"●",'②-1職員名簿'!$W$7:$W$106,$N$5)</f>
        <v>0</v>
      </c>
      <c r="Q15" s="73">
        <f>COUNTIFS('②-1職員名簿'!AI$7:AI$106,"●",'②-1職員名簿'!$W$7:$W$106,$Q$5,'②-2勤務時間数入力'!L$7:L$106,"正")</f>
        <v>0</v>
      </c>
      <c r="R15" s="73">
        <f>COUNTIFS('②-1職員名簿'!AI$7:AI$106,"●",'②-1職員名簿'!$W$7:$W$106,$Q$5,'②-2勤務時間数入力'!X$7:X$106,"常")</f>
        <v>0</v>
      </c>
      <c r="S15" s="73">
        <f>SUMIFS('②-2勤務時間数入力'!X$7:X$106,'②-1職員名簿'!AI$7:AI$106,"●",'②-1職員名簿'!$W$7:$W$106,$Q$5)</f>
        <v>0</v>
      </c>
      <c r="T15" s="73">
        <f>COUNTIFS('②-1職員名簿'!AI$7:AI$106,"●",'②-1職員名簿'!$W$7:$W$106,$T$5,'②-2勤務時間数入力'!L$7:L$106,"正")</f>
        <v>0</v>
      </c>
      <c r="U15" s="73">
        <f>COUNTIFS('②-1職員名簿'!AI$7:AI$106,"●",'②-1職員名簿'!$W$7:$W$106,$T$5,'②-2勤務時間数入力'!L$7:L$106,"常")</f>
        <v>0</v>
      </c>
      <c r="V15" s="73">
        <f>SUMIFS('②-2勤務時間数入力'!X$7:X$106,'②-1職員名簿'!AI$7:AI$106,"●",'②-1職員名簿'!$W$7:$W$106,$T$5)</f>
        <v>0</v>
      </c>
      <c r="W15" s="73">
        <f>COUNTIFS('②-1職員名簿'!AI$7:AI$106,"●",'②-1職員名簿'!$W$7:$W$106,$W$5,'②-2勤務時間数入力'!L$7:L$106,"正")</f>
        <v>0</v>
      </c>
      <c r="X15" s="73">
        <f>COUNTIFS('②-1職員名簿'!AI$7:AI$106,"●",'②-1職員名簿'!$W$7:$W$106,$W$5,'②-2勤務時間数入力'!X$7:X$106,"常")</f>
        <v>0</v>
      </c>
      <c r="Y15" s="73">
        <f>SUMIFS('②-2勤務時間数入力'!X$7:X$106,'②-1職員名簿'!AI$7:AI$106,"●",'②-1職員名簿'!$W$7:$W$106,$W$5)</f>
        <v>0</v>
      </c>
      <c r="Z15" s="73">
        <f>COUNTIFS('②-1職員名簿'!AI$7:AI$106,"●",'②-1職員名簿'!$W$7:$W$106,$Z$5,'②-2勤務時間数入力'!L$7:L$106,"正")</f>
        <v>0</v>
      </c>
      <c r="AA15" s="73">
        <f>COUNTIFS('②-1職員名簿'!AI$7:AI$106,"●",'②-1職員名簿'!$W$7:$W$106,$Z$5,'②-2勤務時間数入力'!X$7:X$106,"常")</f>
        <v>0</v>
      </c>
      <c r="AB15" s="73">
        <f>SUMIFS('②-2勤務時間数入力'!X$7:X$106,'②-1職員名簿'!AI$7:AI$106,"●",'②-1職員名簿'!$W$7:$W$106,$Z$5)</f>
        <v>0</v>
      </c>
      <c r="AC15" s="167">
        <f t="shared" si="0"/>
        <v>0</v>
      </c>
      <c r="AD15" s="167">
        <f t="shared" si="1"/>
        <v>0</v>
      </c>
      <c r="AE15" s="177" t="e">
        <f t="shared" si="2"/>
        <v>#DIV/0!</v>
      </c>
      <c r="AF15" s="177" t="e">
        <f t="shared" si="3"/>
        <v>#DIV/0!</v>
      </c>
      <c r="AG15" s="176" t="e">
        <f>IF(①基本情報!$E$10&gt;90,MIN(AF15,3,MIN(AF15,AI15,3)+MIN(AF15,AJ15,1)),MIN(AF15,4,MIN(AF15,AI15,4)+MIN(AF15,AJ15,2)))</f>
        <v>#N/A</v>
      </c>
      <c r="AI15" s="34" t="e">
        <f t="shared" si="4"/>
        <v>#DIV/0!</v>
      </c>
      <c r="AJ15" s="34" t="e">
        <f t="shared" si="5"/>
        <v>#DIV/0!</v>
      </c>
    </row>
    <row r="16" spans="1:38" s="34" customFormat="1" ht="36" customHeight="1">
      <c r="A16" s="282">
        <v>11</v>
      </c>
      <c r="B16" s="73">
        <f>COUNTIFS('②-1職員名簿'!AJ$7:AJ$106,"●",'②-1職員名簿'!$BE$7:$BE$106,"正規職員",'②-1職員名簿'!$BF$7:$BF$106,"○")</f>
        <v>0</v>
      </c>
      <c r="C16" s="73">
        <f>COUNTIFS('②-1職員名簿'!AJ$7:AJ$106,"●",'②-2勤務時間数入力'!$C$7:$C$106,"常勤的非常勤",'②-1職員名簿'!$BF$7:$BF$106,"○",'②-2勤務時間数入力'!Y$7:Y$106,"常")</f>
        <v>0</v>
      </c>
      <c r="D16" s="73">
        <f>SUMIFS('②-2勤務時間数入力'!Y$7:Y$106,'②-1職員名簿'!AJ$7:AJ$106,"●",'②-1職員名簿'!$BF$7:$BF$106,"○",'②-1職員名簿'!$C$7:$C$106,"パート")</f>
        <v>0</v>
      </c>
      <c r="E16" s="73">
        <f>COUNTIFS('②-1職員名簿'!AJ$7:AJ$106,"●",'②-2勤務時間数入力'!$C$7:$C$106,"嘱託常勤",'②-1職員名簿'!$BF$7:$BF$106,"○",'②-2勤務時間数入力'!Y$7:Y$106,"常")</f>
        <v>0</v>
      </c>
      <c r="F16" s="73">
        <f>SUMIFS('②-2勤務時間数入力'!Y$7:Y$106,'②-1職員名簿'!AJ$7:AJ$106,"●",'②-1職員名簿'!$BF$7:$BF$106,"○",'②-1職員名簿'!$C$7:$C$106,"嘱託等")</f>
        <v>0</v>
      </c>
      <c r="G16" s="73">
        <f>COUNTIFS('②-1職員名簿'!AJ$7:AJ$106,"●",'②-1職員名簿'!$BE$7:$BE$106,"正規職員",'②-1職員名簿'!$BG$7:$BG$106,"○")</f>
        <v>0</v>
      </c>
      <c r="H16" s="73">
        <f>COUNTIFS('②-1職員名簿'!AJ$7:AJ$106,"●",'②-2勤務時間数入力'!$C$7:$C$106,"常勤的非常勤",'②-1職員名簿'!$BG$7:$BG$106,"○",'②-2勤務時間数入力'!Y$7:Y$106,"常")</f>
        <v>0</v>
      </c>
      <c r="I16" s="73">
        <f>SUMIFS('②-2勤務時間数入力'!Y$7:Y$106,'②-1職員名簿'!AJ$7:AJ$106,"●",'②-1職員名簿'!$BG$7:$BG$106,"○",'②-1職員名簿'!$C$7:$C$106,"パート")</f>
        <v>0</v>
      </c>
      <c r="J16" s="73">
        <f>COUNTIFS('②-1職員名簿'!AJ$7:AJ$106,"●",'②-2勤務時間数入力'!$C$7:$C$106,"嘱託常勤",'②-1職員名簿'!$BG$7:$BG$106,"○",'②-2勤務時間数入力'!Y$7:Y$106,"常")</f>
        <v>0</v>
      </c>
      <c r="K16" s="73">
        <f>SUMIFS('②-2勤務時間数入力'!Y$7:Y$106,'②-1職員名簿'!AJ$7:AJ$106,"●",'②-1職員名簿'!$BG$7:$BG$106,"○",'②-1職員名簿'!$C$7:$C$106,"嘱託等")</f>
        <v>0</v>
      </c>
      <c r="L16" s="165">
        <f>'②-2勤務時間数入力'!AH14</f>
        <v>0</v>
      </c>
      <c r="M16" s="166">
        <f>COUNTIFS('②-1職員名簿'!W7:W106,"園長",'②-1職員名簿'!AJ$7:AJ$106,"●")</f>
        <v>0</v>
      </c>
      <c r="N16" s="73">
        <f>COUNTIFS('②-1職員名簿'!AJ$7:AJ$106,"●",'②-1職員名簿'!$W$7:$W$106,$N$5,'②-2勤務時間数入力'!M$7:M$106,"正")</f>
        <v>0</v>
      </c>
      <c r="O16" s="73">
        <f>COUNTIFS('②-1職員名簿'!AJ$7:AJ$106,"●",'②-1職員名簿'!$W$7:$W$106,$N$5,'②-2勤務時間数入力'!Y$7:Y$106,"常")</f>
        <v>0</v>
      </c>
      <c r="P16" s="73">
        <f>SUMIFS('②-2勤務時間数入力'!Y$7:Y$106,'②-1職員名簿'!AJ$7:AJ$106,"●",'②-1職員名簿'!$W$7:$W$106,$N$5)</f>
        <v>0</v>
      </c>
      <c r="Q16" s="73">
        <f>COUNTIFS('②-1職員名簿'!AJ$7:AJ$106,"●",'②-1職員名簿'!$W$7:$W$106,$Q$5,'②-2勤務時間数入力'!M$7:M$106,"正")</f>
        <v>0</v>
      </c>
      <c r="R16" s="73">
        <f>COUNTIFS('②-1職員名簿'!AJ$7:AJ$106,"●",'②-1職員名簿'!$W$7:$W$106,$Q$5,'②-2勤務時間数入力'!Y$7:Y$106,"常")</f>
        <v>0</v>
      </c>
      <c r="S16" s="73">
        <f>SUMIFS('②-2勤務時間数入力'!Y$7:Y$106,'②-1職員名簿'!AJ$7:AJ$106,"●",'②-1職員名簿'!$W$7:$W$106,$Q$5)</f>
        <v>0</v>
      </c>
      <c r="T16" s="73">
        <f>COUNTIFS('②-1職員名簿'!AJ$7:AJ$106,"●",'②-1職員名簿'!$W$7:$W$106,$T$5,'②-2勤務時間数入力'!M$7:M$106,"正")</f>
        <v>0</v>
      </c>
      <c r="U16" s="73">
        <f>COUNTIFS('②-1職員名簿'!AJ$7:AJ$106,"●",'②-1職員名簿'!$W$7:$W$106,$T$5,'②-2勤務時間数入力'!M$7:M$106,"常")</f>
        <v>0</v>
      </c>
      <c r="V16" s="73">
        <f>SUMIFS('②-2勤務時間数入力'!Y$7:Y$106,'②-1職員名簿'!AJ$7:AJ$106,"●",'②-1職員名簿'!$W$7:$W$106,$T$5)</f>
        <v>0</v>
      </c>
      <c r="W16" s="73">
        <f>COUNTIFS('②-1職員名簿'!AJ$7:AJ$106,"●",'②-1職員名簿'!$W$7:$W$106,$W$5,'②-2勤務時間数入力'!M$7:M$106,"正")</f>
        <v>0</v>
      </c>
      <c r="X16" s="73">
        <f>COUNTIFS('②-1職員名簿'!AJ$7:AJ$106,"●",'②-1職員名簿'!$W$7:$W$106,$W$5,'②-2勤務時間数入力'!Y$7:Y$106,"常")</f>
        <v>0</v>
      </c>
      <c r="Y16" s="73">
        <f>SUMIFS('②-2勤務時間数入力'!Y$7:Y$106,'②-1職員名簿'!AJ$7:AJ$106,"●",'②-1職員名簿'!$W$7:$W$106,$W$5)</f>
        <v>0</v>
      </c>
      <c r="Z16" s="73">
        <f>COUNTIFS('②-1職員名簿'!AJ$7:AJ$106,"●",'②-1職員名簿'!$W$7:$W$106,$Z$5,'②-2勤務時間数入力'!M$7:M$106,"正")</f>
        <v>0</v>
      </c>
      <c r="AA16" s="73">
        <f>COUNTIFS('②-1職員名簿'!AJ$7:AJ$106,"●",'②-1職員名簿'!$W$7:$W$106,$Z$5,'②-2勤務時間数入力'!Y$7:Y$106,"常")</f>
        <v>0</v>
      </c>
      <c r="AB16" s="73">
        <f>SUMIFS('②-2勤務時間数入力'!Y$7:Y$106,'②-1職員名簿'!AJ$7:AJ$106,"●",'②-1職員名簿'!$W$7:$W$106,$Z$5)</f>
        <v>0</v>
      </c>
      <c r="AC16" s="167">
        <f t="shared" si="0"/>
        <v>0</v>
      </c>
      <c r="AD16" s="167">
        <f t="shared" si="1"/>
        <v>0</v>
      </c>
      <c r="AE16" s="177" t="e">
        <f t="shared" si="2"/>
        <v>#DIV/0!</v>
      </c>
      <c r="AF16" s="177" t="e">
        <f t="shared" si="3"/>
        <v>#DIV/0!</v>
      </c>
      <c r="AG16" s="176" t="e">
        <f>IF(①基本情報!$E$10&gt;90,MIN(AF16,3,MIN(AF16,AI16,3)+MIN(AF16,AJ16,1)),MIN(AF16,4,MIN(AF16,AI16,4)+MIN(AF16,AJ16,2)))</f>
        <v>#N/A</v>
      </c>
      <c r="AI16" s="34" t="e">
        <f t="shared" si="4"/>
        <v>#DIV/0!</v>
      </c>
      <c r="AJ16" s="34" t="e">
        <f t="shared" si="5"/>
        <v>#DIV/0!</v>
      </c>
    </row>
    <row r="17" spans="1:39" s="34" customFormat="1" ht="36" customHeight="1">
      <c r="A17" s="282">
        <v>12</v>
      </c>
      <c r="B17" s="73">
        <f>COUNTIFS('②-1職員名簿'!AK$7:AK$106,"●",'②-1職員名簿'!$BE$7:$BE$106,"正規職員",'②-1職員名簿'!$BF$7:$BF$106,"○")</f>
        <v>0</v>
      </c>
      <c r="C17" s="73">
        <f>COUNTIFS('②-1職員名簿'!AK$7:AK$106,"●",'②-2勤務時間数入力'!$C$7:$C$106,"常勤的非常勤",'②-1職員名簿'!$BF$7:$BF$106,"○",'②-2勤務時間数入力'!Z$7:Z$106,"常")</f>
        <v>0</v>
      </c>
      <c r="D17" s="73">
        <f>SUMIFS('②-2勤務時間数入力'!Z$7:Z$106,'②-1職員名簿'!AK$7:AK$106,"●",'②-1職員名簿'!$BF$7:$BF$106,"○",'②-1職員名簿'!$C$7:$C$106,"パート")</f>
        <v>0</v>
      </c>
      <c r="E17" s="73">
        <f>COUNTIFS('②-1職員名簿'!AK$7:AK$106,"●",'②-2勤務時間数入力'!$C$7:$C$106,"嘱託常勤",'②-1職員名簿'!$BF$7:$BF$106,"○",'②-2勤務時間数入力'!Z$7:Z$106,"常")</f>
        <v>0</v>
      </c>
      <c r="F17" s="73">
        <f>SUMIFS('②-2勤務時間数入力'!Z$7:Z$106,'②-1職員名簿'!AK$7:AK$106,"●",'②-1職員名簿'!$BF$7:$BF$106,"○",'②-1職員名簿'!$C$7:$C$106,"嘱託等")</f>
        <v>0</v>
      </c>
      <c r="G17" s="73">
        <f>COUNTIFS('②-1職員名簿'!AK$7:AK$106,"●",'②-1職員名簿'!$BE$7:$BE$106,"正規職員",'②-1職員名簿'!$BG$7:$BG$106,"○")</f>
        <v>0</v>
      </c>
      <c r="H17" s="73">
        <f>COUNTIFS('②-1職員名簿'!AK$7:AK$106,"●",'②-2勤務時間数入力'!$C$7:$C$106,"常勤的非常勤",'②-1職員名簿'!$BG$7:$BG$106,"○",'②-2勤務時間数入力'!Z$7:Z$106,"常")</f>
        <v>0</v>
      </c>
      <c r="I17" s="73">
        <f>SUMIFS('②-2勤務時間数入力'!Z$7:Z$106,'②-1職員名簿'!AK$7:AK$106,"●",'②-1職員名簿'!$BG$7:$BG$106,"○",'②-1職員名簿'!$C$7:$C$106,"パート")</f>
        <v>0</v>
      </c>
      <c r="J17" s="73">
        <f>COUNTIFS('②-1職員名簿'!AK$7:AK$106,"●",'②-2勤務時間数入力'!$C$7:$C$106,"嘱託常勤",'②-1職員名簿'!$BG$7:$BG$106,"○",'②-2勤務時間数入力'!Z$7:Z$106,"常")</f>
        <v>0</v>
      </c>
      <c r="K17" s="73">
        <f>SUMIFS('②-2勤務時間数入力'!Z$7:Z$106,'②-1職員名簿'!AK$7:AK$106,"●",'②-1職員名簿'!$BG$7:$BG$106,"○",'②-1職員名簿'!$C$7:$C$106,"嘱託等")</f>
        <v>0</v>
      </c>
      <c r="L17" s="165">
        <f>'②-2勤務時間数入力'!AH15</f>
        <v>0</v>
      </c>
      <c r="M17" s="166">
        <f>COUNTIFS('②-1職員名簿'!W7:W106,"園長",'②-1職員名簿'!AK$7:AK$106,"●")</f>
        <v>0</v>
      </c>
      <c r="N17" s="73">
        <f>COUNTIFS('②-1職員名簿'!AK$7:AK$106,"●",'②-1職員名簿'!$W$7:$W$106,$N$5,'②-2勤務時間数入力'!N$7:N$106,"正")</f>
        <v>0</v>
      </c>
      <c r="O17" s="73">
        <f>COUNTIFS('②-1職員名簿'!AK$7:AK$106,"●",'②-1職員名簿'!$W$7:$W$106,$N$5,'②-2勤務時間数入力'!Z$7:Z$106,"常")</f>
        <v>0</v>
      </c>
      <c r="P17" s="73">
        <f>SUMIFS('②-2勤務時間数入力'!Z$7:Z$106,'②-1職員名簿'!AK$7:AK$106,"●",'②-1職員名簿'!$W$7:$W$106,$N$5)</f>
        <v>0</v>
      </c>
      <c r="Q17" s="73">
        <f>COUNTIFS('②-1職員名簿'!AK$7:AK$106,"●",'②-1職員名簿'!$W$7:$W$106,$Q$5,'②-2勤務時間数入力'!N$7:N$106,"正")</f>
        <v>0</v>
      </c>
      <c r="R17" s="73">
        <f>COUNTIFS('②-1職員名簿'!AK$7:AK$106,"●",'②-1職員名簿'!$W$7:$W$106,$Q$5,'②-2勤務時間数入力'!Z$7:Z$106,"常")</f>
        <v>0</v>
      </c>
      <c r="S17" s="73">
        <f>SUMIFS('②-2勤務時間数入力'!Z$7:Z$106,'②-1職員名簿'!AK$7:AK$106,"●",'②-1職員名簿'!$W$7:$W$106,$Q$5)</f>
        <v>0</v>
      </c>
      <c r="T17" s="73">
        <f>COUNTIFS('②-1職員名簿'!AK$7:AK$106,"●",'②-1職員名簿'!$W$7:$W$106,$T$5,'②-2勤務時間数入力'!N$7:N$106,"正")</f>
        <v>0</v>
      </c>
      <c r="U17" s="73">
        <f>COUNTIFS('②-1職員名簿'!AK$7:AK$106,"●",'②-1職員名簿'!$W$7:$W$106,$T$5,'②-2勤務時間数入力'!N$7:N$106,"常")</f>
        <v>0</v>
      </c>
      <c r="V17" s="73">
        <f>SUMIFS('②-2勤務時間数入力'!Z$7:Z$106,'②-1職員名簿'!AK$7:AK$106,"●",'②-1職員名簿'!$W$7:$W$106,$T$5)</f>
        <v>0</v>
      </c>
      <c r="W17" s="73">
        <f>COUNTIFS('②-1職員名簿'!AK$7:AK$106,"●",'②-1職員名簿'!$W$7:$W$106,$W$5,'②-2勤務時間数入力'!N$7:N$106,"正")</f>
        <v>0</v>
      </c>
      <c r="X17" s="73">
        <f>COUNTIFS('②-1職員名簿'!AK$7:AK$106,"●",'②-1職員名簿'!$W$7:$W$106,$W$5,'②-2勤務時間数入力'!Z$7:Z$106,"常")</f>
        <v>0</v>
      </c>
      <c r="Y17" s="73">
        <f>SUMIFS('②-2勤務時間数入力'!Z$7:Z$106,'②-1職員名簿'!AK$7:AK$106,"●",'②-1職員名簿'!$W$7:$W$106,$W$5)</f>
        <v>0</v>
      </c>
      <c r="Z17" s="73">
        <f>COUNTIFS('②-1職員名簿'!AK$7:AK$106,"●",'②-1職員名簿'!$W$7:$W$106,$Z$5,'②-2勤務時間数入力'!N$7:N$106,"正")</f>
        <v>0</v>
      </c>
      <c r="AA17" s="73">
        <f>COUNTIFS('②-1職員名簿'!AK$7:AK$106,"●",'②-1職員名簿'!$W$7:$W$106,$Z$5,'②-2勤務時間数入力'!Z$7:Z$106,"常")</f>
        <v>0</v>
      </c>
      <c r="AB17" s="73">
        <f>SUMIFS('②-2勤務時間数入力'!Z$7:Z$106,'②-1職員名簿'!AK$7:AK$106,"●",'②-1職員名簿'!$W$7:$W$106,$Z$5)</f>
        <v>0</v>
      </c>
      <c r="AC17" s="167">
        <f t="shared" si="0"/>
        <v>0</v>
      </c>
      <c r="AD17" s="167">
        <f t="shared" si="1"/>
        <v>0</v>
      </c>
      <c r="AE17" s="177" t="e">
        <f t="shared" si="2"/>
        <v>#DIV/0!</v>
      </c>
      <c r="AF17" s="177" t="e">
        <f t="shared" si="3"/>
        <v>#DIV/0!</v>
      </c>
      <c r="AG17" s="176" t="e">
        <f>IF(①基本情報!$E$10&gt;90,MIN(AF17,3,MIN(AF17,AI17,3)+MIN(AF17,AJ17,1)),MIN(AF17,4,MIN(AF17,AI17,4)+MIN(AF17,AJ17,2)))</f>
        <v>#N/A</v>
      </c>
      <c r="AI17" s="34" t="e">
        <f t="shared" si="4"/>
        <v>#DIV/0!</v>
      </c>
      <c r="AJ17" s="34" t="e">
        <f t="shared" si="5"/>
        <v>#DIV/0!</v>
      </c>
    </row>
    <row r="18" spans="1:39" s="34" customFormat="1" ht="36" customHeight="1">
      <c r="A18" s="282">
        <v>1</v>
      </c>
      <c r="B18" s="73">
        <f>COUNTIFS('②-1職員名簿'!AL$7:AL$106,"●",'②-1職員名簿'!$BE$7:$BE$106,"正規職員",'②-1職員名簿'!$BF$7:$BF$106,"○")</f>
        <v>0</v>
      </c>
      <c r="C18" s="73">
        <f>COUNTIFS('②-1職員名簿'!AL$7:AL$106,"●",'②-2勤務時間数入力'!$C$7:$C$106,"常勤的非常勤",'②-1職員名簿'!$BF$7:$BF$106,"○",'②-2勤務時間数入力'!AA$7:AA$106,"常")</f>
        <v>0</v>
      </c>
      <c r="D18" s="73">
        <f>SUMIFS('②-2勤務時間数入力'!AA$7:AA$106,'②-1職員名簿'!AL$7:AL$106,"●",'②-1職員名簿'!$BF$7:$BF$106,"○",'②-1職員名簿'!$C$7:$C$106,"パート")</f>
        <v>0</v>
      </c>
      <c r="E18" s="73">
        <f>COUNTIFS('②-1職員名簿'!AL$7:AL$106,"●",'②-2勤務時間数入力'!$C$7:$C$106,"嘱託常勤",'②-1職員名簿'!$BF$7:$BF$106,"○",'②-2勤務時間数入力'!AA$7:AA$106,"常")</f>
        <v>0</v>
      </c>
      <c r="F18" s="73">
        <f>SUMIFS('②-2勤務時間数入力'!AA$7:AA$106,'②-1職員名簿'!AL$7:AL$106,"●",'②-1職員名簿'!$BF$7:$BF$106,"○",'②-1職員名簿'!$C$7:$C$106,"嘱託等")</f>
        <v>0</v>
      </c>
      <c r="G18" s="73">
        <f>COUNTIFS('②-1職員名簿'!AL$7:AL$106,"●",'②-1職員名簿'!$BE$7:$BE$106,"正規職員",'②-1職員名簿'!$BG$7:$BG$106,"○")</f>
        <v>0</v>
      </c>
      <c r="H18" s="73">
        <f>COUNTIFS('②-1職員名簿'!AL$7:AL$106,"●",'②-2勤務時間数入力'!$C$7:$C$106,"常勤的非常勤",'②-1職員名簿'!$BG$7:$BG$106,"○",'②-2勤務時間数入力'!AA$7:AA$106,"常")</f>
        <v>0</v>
      </c>
      <c r="I18" s="73">
        <f>SUMIFS('②-2勤務時間数入力'!AA$7:AA$106,'②-1職員名簿'!AL$7:AL$106,"●",'②-1職員名簿'!$BG$7:$BG$106,"○",'②-1職員名簿'!$C$7:$C$106,"パート")</f>
        <v>0</v>
      </c>
      <c r="J18" s="73">
        <f>COUNTIFS('②-1職員名簿'!AL$7:AL$106,"●",'②-2勤務時間数入力'!$C$7:$C$106,"嘱託常勤",'②-1職員名簿'!$BG$7:$BG$106,"○",'②-2勤務時間数入力'!AA$7:AA$106,"常")</f>
        <v>0</v>
      </c>
      <c r="K18" s="73">
        <f>SUMIFS('②-2勤務時間数入力'!AA$7:AA$106,'②-1職員名簿'!AL$7:AL$106,"●",'②-1職員名簿'!$BG$7:$BG$106,"○",'②-1職員名簿'!$C$7:$C$106,"嘱託等")</f>
        <v>0</v>
      </c>
      <c r="L18" s="165">
        <f>'②-2勤務時間数入力'!AH16</f>
        <v>0</v>
      </c>
      <c r="M18" s="166">
        <f>COUNTIFS('②-1職員名簿'!W7:W106,"園長",'②-1職員名簿'!AL$7:AL$106,"●")</f>
        <v>0</v>
      </c>
      <c r="N18" s="73">
        <f>COUNTIFS('②-1職員名簿'!AL$7:AL$106,"●",'②-1職員名簿'!$W$7:$W$106,$N$5,'②-2勤務時間数入力'!O$7:O$106,"正")</f>
        <v>0</v>
      </c>
      <c r="O18" s="73">
        <f>COUNTIFS('②-1職員名簿'!AL$7:AL$106,"●",'②-1職員名簿'!$W$7:$W$106,$N$5,'②-2勤務時間数入力'!AA$7:AA$106,"常")</f>
        <v>0</v>
      </c>
      <c r="P18" s="73">
        <f>SUMIFS('②-2勤務時間数入力'!AA$7:AA$106,'②-1職員名簿'!AL$7:AL$106,"●",'②-1職員名簿'!$W$7:$W$106,$N$5)</f>
        <v>0</v>
      </c>
      <c r="Q18" s="73">
        <f>COUNTIFS('②-1職員名簿'!AL$7:AL$106,"●",'②-1職員名簿'!$W$7:$W$106,$Q$5,'②-2勤務時間数入力'!O$7:O$106,"正")</f>
        <v>0</v>
      </c>
      <c r="R18" s="73">
        <f>COUNTIFS('②-1職員名簿'!AL$7:AL$106,"●",'②-1職員名簿'!$W$7:$W$106,$Q$5,'②-2勤務時間数入力'!AA$7:AA$106,"常")</f>
        <v>0</v>
      </c>
      <c r="S18" s="73">
        <f>SUMIFS('②-2勤務時間数入力'!AA$7:AA$106,'②-1職員名簿'!AL$7:AL$106,"●",'②-1職員名簿'!$W$7:$W$106,$Q$5)</f>
        <v>0</v>
      </c>
      <c r="T18" s="73">
        <f>COUNTIFS('②-1職員名簿'!AL$7:AL$106,"●",'②-1職員名簿'!$W$7:$W$106,$T$5,'②-2勤務時間数入力'!O$7:O$106,"正")</f>
        <v>0</v>
      </c>
      <c r="U18" s="73">
        <f>COUNTIFS('②-1職員名簿'!AL$7:AL$106,"●",'②-1職員名簿'!$W$7:$W$106,$T$5,'②-2勤務時間数入力'!O$7:O$106,"常")</f>
        <v>0</v>
      </c>
      <c r="V18" s="73">
        <f>SUMIFS('②-2勤務時間数入力'!AA$7:AA$106,'②-1職員名簿'!AL$7:AL$106,"●",'②-1職員名簿'!$W$7:$W$106,$T$5)</f>
        <v>0</v>
      </c>
      <c r="W18" s="73">
        <f>COUNTIFS('②-1職員名簿'!AL$7:AL$106,"●",'②-1職員名簿'!$W$7:$W$106,$W$5,'②-2勤務時間数入力'!O$7:O$106,"正")</f>
        <v>0</v>
      </c>
      <c r="X18" s="73">
        <f>COUNTIFS('②-1職員名簿'!AL$7:AL$106,"●",'②-1職員名簿'!$W$7:$W$106,$W$5,'②-2勤務時間数入力'!AA$7:AA$106,"常")</f>
        <v>0</v>
      </c>
      <c r="Y18" s="73">
        <f>SUMIFS('②-2勤務時間数入力'!AA$7:AA$106,'②-1職員名簿'!AL$7:AL$106,"●",'②-1職員名簿'!$W$7:$W$106,$W$5)</f>
        <v>0</v>
      </c>
      <c r="Z18" s="73">
        <f>COUNTIFS('②-1職員名簿'!AL$7:AL$106,"●",'②-1職員名簿'!$W$7:$W$106,$Z$5,'②-2勤務時間数入力'!O$7:O$106,"正")</f>
        <v>0</v>
      </c>
      <c r="AA18" s="73">
        <f>COUNTIFS('②-1職員名簿'!AL$7:AL$106,"●",'②-1職員名簿'!$W$7:$W$106,$Z$5,'②-2勤務時間数入力'!AA$7:AA$106,"常")</f>
        <v>0</v>
      </c>
      <c r="AB18" s="73">
        <f>SUMIFS('②-2勤務時間数入力'!AA$7:AA$106,'②-1職員名簿'!AL$7:AL$106,"●",'②-1職員名簿'!$W$7:$W$106,$Z$5)</f>
        <v>0</v>
      </c>
      <c r="AC18" s="167">
        <f t="shared" si="0"/>
        <v>0</v>
      </c>
      <c r="AD18" s="167">
        <f t="shared" si="1"/>
        <v>0</v>
      </c>
      <c r="AE18" s="177" t="e">
        <f t="shared" si="2"/>
        <v>#DIV/0!</v>
      </c>
      <c r="AF18" s="177" t="e">
        <f t="shared" si="3"/>
        <v>#DIV/0!</v>
      </c>
      <c r="AG18" s="176" t="e">
        <f>IF(①基本情報!$E$10&gt;90,MIN(AF18,3,MIN(AF18,AI18,3)+MIN(AF18,AJ18,1)),MIN(AF18,4,MIN(AF18,AI18,4)+MIN(AF18,AJ18,2)))</f>
        <v>#N/A</v>
      </c>
      <c r="AI18" s="34" t="e">
        <f t="shared" si="4"/>
        <v>#DIV/0!</v>
      </c>
      <c r="AJ18" s="34" t="e">
        <f t="shared" si="5"/>
        <v>#DIV/0!</v>
      </c>
    </row>
    <row r="19" spans="1:39" s="34" customFormat="1" ht="36" customHeight="1">
      <c r="A19" s="282">
        <v>2</v>
      </c>
      <c r="B19" s="73">
        <f>COUNTIFS('②-1職員名簿'!AM$7:AM$106,"●",'②-1職員名簿'!$BE$7:$BE$106,"正規職員",'②-1職員名簿'!$BF$7:$BF$106,"○")</f>
        <v>0</v>
      </c>
      <c r="C19" s="73">
        <f>COUNTIFS('②-1職員名簿'!AM$7:AM$106,"●",'②-2勤務時間数入力'!$C$7:$C$106,"常勤的非常勤",'②-1職員名簿'!$BF$7:$BF$106,"○",'②-2勤務時間数入力'!AB$7:AB$106,"常")</f>
        <v>0</v>
      </c>
      <c r="D19" s="73">
        <f>SUMIFS('②-2勤務時間数入力'!AB$7:AB$106,'②-1職員名簿'!AM$7:AM$106,"●",'②-1職員名簿'!$BF$7:$BF$106,"○",'②-1職員名簿'!$C$7:$C$106,"パート")</f>
        <v>0</v>
      </c>
      <c r="E19" s="73">
        <f>COUNTIFS('②-1職員名簿'!AM$7:AM$106,"●",'②-2勤務時間数入力'!$C$7:$C$106,"嘱託常勤",'②-1職員名簿'!$BF$7:$BF$106,"○",'②-2勤務時間数入力'!AB$7:AB$106,"常")</f>
        <v>0</v>
      </c>
      <c r="F19" s="73">
        <f>SUMIFS('②-2勤務時間数入力'!AB$7:AB$106,'②-1職員名簿'!AM$7:AM$106,"●",'②-1職員名簿'!$BF$7:$BF$106,"○",'②-1職員名簿'!$C$7:$C$106,"嘱託等")</f>
        <v>0</v>
      </c>
      <c r="G19" s="73">
        <f>COUNTIFS('②-1職員名簿'!AM$7:AM$106,"●",'②-1職員名簿'!$BE$7:$BE$106,"正規職員",'②-1職員名簿'!$BG$7:$BG$106,"○")</f>
        <v>0</v>
      </c>
      <c r="H19" s="73">
        <f>COUNTIFS('②-1職員名簿'!AM$7:AM$106,"●",'②-2勤務時間数入力'!$C$7:$C$106,"常勤的非常勤",'②-1職員名簿'!$BG$7:$BG$106,"○",'②-2勤務時間数入力'!AB$7:AB$106,"常")</f>
        <v>0</v>
      </c>
      <c r="I19" s="73">
        <f>SUMIFS('②-2勤務時間数入力'!AB$7:AB$106,'②-1職員名簿'!AM$7:AM$106,"●",'②-1職員名簿'!$BG$7:$BG$106,"○",'②-1職員名簿'!$C$7:$C$106,"パート")</f>
        <v>0</v>
      </c>
      <c r="J19" s="73">
        <f>COUNTIFS('②-1職員名簿'!AM$7:AM$106,"●",'②-2勤務時間数入力'!$C$7:$C$106,"嘱託常勤",'②-1職員名簿'!$BG$7:$BG$106,"○",'②-2勤務時間数入力'!AB$7:AB$106,"常")</f>
        <v>0</v>
      </c>
      <c r="K19" s="73">
        <f>SUMIFS('②-2勤務時間数入力'!AB$7:AB$106,'②-1職員名簿'!AM$7:AM$106,"●",'②-1職員名簿'!$BG$7:$BG$106,"○",'②-1職員名簿'!$C$7:$C$106,"嘱託等")</f>
        <v>0</v>
      </c>
      <c r="L19" s="165">
        <f>'②-2勤務時間数入力'!AH17</f>
        <v>0</v>
      </c>
      <c r="M19" s="166">
        <f>COUNTIFS('②-1職員名簿'!W7:W106,"園長",'②-1職員名簿'!AM$7:AM$106,"●")</f>
        <v>0</v>
      </c>
      <c r="N19" s="73">
        <f>COUNTIFS('②-1職員名簿'!AM$7:AM$106,"●",'②-1職員名簿'!$W$7:$W$106,$N$5,'②-2勤務時間数入力'!P$7:P$106,"正")</f>
        <v>0</v>
      </c>
      <c r="O19" s="73">
        <f>COUNTIFS('②-1職員名簿'!AM$7:AM$106,"●",'②-1職員名簿'!$W$7:$W$106,$N$5,'②-2勤務時間数入力'!AB$7:AB$106,"常")</f>
        <v>0</v>
      </c>
      <c r="P19" s="73">
        <f>SUMIFS('②-2勤務時間数入力'!AB$7:AB$106,'②-1職員名簿'!AM$7:AM$106,"●",'②-1職員名簿'!$W$7:$W$106,$N$5)</f>
        <v>0</v>
      </c>
      <c r="Q19" s="73">
        <f>COUNTIFS('②-1職員名簿'!AM$7:AM$106,"●",'②-1職員名簿'!$W$7:$W$106,$Q$5,'②-2勤務時間数入力'!P$7:P$106,"正")</f>
        <v>0</v>
      </c>
      <c r="R19" s="73">
        <f>COUNTIFS('②-1職員名簿'!AM$7:AM$106,"●",'②-1職員名簿'!$W$7:$W$106,$Q$5,'②-2勤務時間数入力'!AB$7:AB$106,"常")</f>
        <v>0</v>
      </c>
      <c r="S19" s="73">
        <f>SUMIFS('②-2勤務時間数入力'!AB$7:AB$106,'②-1職員名簿'!AM$7:AM$106,"●",'②-1職員名簿'!$W$7:$W$106,$Q$5)</f>
        <v>0</v>
      </c>
      <c r="T19" s="73">
        <f>COUNTIFS('②-1職員名簿'!AM$7:AM$106,"●",'②-1職員名簿'!$W$7:$W$106,$T$5,'②-2勤務時間数入力'!P$7:P$106,"正")</f>
        <v>0</v>
      </c>
      <c r="U19" s="73">
        <f>COUNTIFS('②-1職員名簿'!AM$7:AM$106,"●",'②-1職員名簿'!$W$7:$W$106,$T$5,'②-2勤務時間数入力'!P$7:P$106,"常")</f>
        <v>0</v>
      </c>
      <c r="V19" s="73">
        <f>SUMIFS('②-2勤務時間数入力'!AB$7:AB$106,'②-1職員名簿'!AM$7:AM$106,"●",'②-1職員名簿'!$W$7:$W$106,$T$5)</f>
        <v>0</v>
      </c>
      <c r="W19" s="73">
        <f>COUNTIFS('②-1職員名簿'!AM$7:AM$106,"●",'②-1職員名簿'!$W$7:$W$106,$W$5,'②-2勤務時間数入力'!P$7:P$106,"正")</f>
        <v>0</v>
      </c>
      <c r="X19" s="73">
        <f>COUNTIFS('②-1職員名簿'!AM$7:AM$106,"●",'②-1職員名簿'!$W$7:$W$106,$W$5,'②-2勤務時間数入力'!AB$7:AB$106,"常")</f>
        <v>0</v>
      </c>
      <c r="Y19" s="73">
        <f>SUMIFS('②-2勤務時間数入力'!AB$7:AB$106,'②-1職員名簿'!AM$7:AM$106,"●",'②-1職員名簿'!$W$7:$W$106,$W$5)</f>
        <v>0</v>
      </c>
      <c r="Z19" s="73">
        <f>COUNTIFS('②-1職員名簿'!AM$7:AM$106,"●",'②-1職員名簿'!$W$7:$W$106,$Z$5,'②-2勤務時間数入力'!P$7:P$106,"正")</f>
        <v>0</v>
      </c>
      <c r="AA19" s="73">
        <f>COUNTIFS('②-1職員名簿'!AM$7:AM$106,"●",'②-1職員名簿'!$W$7:$W$106,$Z$5,'②-2勤務時間数入力'!AB$7:AB$106,"常")</f>
        <v>0</v>
      </c>
      <c r="AB19" s="73">
        <f>SUMIFS('②-2勤務時間数入力'!AB$7:AB$106,'②-1職員名簿'!AM$7:AM$106,"●",'②-1職員名簿'!$W$7:$W$106,$Z$5)</f>
        <v>0</v>
      </c>
      <c r="AC19" s="167">
        <f t="shared" si="0"/>
        <v>0</v>
      </c>
      <c r="AD19" s="167">
        <f t="shared" si="1"/>
        <v>0</v>
      </c>
      <c r="AE19" s="177" t="e">
        <f t="shared" si="2"/>
        <v>#DIV/0!</v>
      </c>
      <c r="AF19" s="177" t="e">
        <f t="shared" si="3"/>
        <v>#DIV/0!</v>
      </c>
      <c r="AG19" s="176" t="e">
        <f>IF(①基本情報!$E$10&gt;90,MIN(AF19,3,MIN(AF19,AI19,3)+MIN(AF19,AJ19,1)),MIN(AF19,4,MIN(AF19,AI19,4)+MIN(AF19,AJ19,2)))</f>
        <v>#N/A</v>
      </c>
      <c r="AI19" s="34" t="e">
        <f t="shared" si="4"/>
        <v>#DIV/0!</v>
      </c>
      <c r="AJ19" s="34" t="e">
        <f t="shared" si="5"/>
        <v>#DIV/0!</v>
      </c>
    </row>
    <row r="20" spans="1:39" s="34" customFormat="1" ht="36" customHeight="1">
      <c r="A20" s="282">
        <v>3</v>
      </c>
      <c r="B20" s="73">
        <f>COUNTIFS('②-1職員名簿'!AN$7:AN$106,"●",'②-1職員名簿'!$BE$7:$BE$106,"正規職員",'②-1職員名簿'!$BF$7:$BF$106,"○")</f>
        <v>0</v>
      </c>
      <c r="C20" s="73">
        <f>COUNTIFS('②-1職員名簿'!AN$7:AN$106,"●",'②-2勤務時間数入力'!$C$7:$C$106,"常勤的非常勤",'②-1職員名簿'!$BF$7:$BF$106,"○",'②-2勤務時間数入力'!AC$7:AC$106,"常")</f>
        <v>0</v>
      </c>
      <c r="D20" s="73">
        <f>SUMIFS('②-2勤務時間数入力'!AC$7:AC$106,'②-1職員名簿'!AN$7:AN$106,"●",'②-1職員名簿'!$BF$7:$BF$106,"○",'②-1職員名簿'!$C$7:$C$106,"パート")</f>
        <v>0</v>
      </c>
      <c r="E20" s="73">
        <f>COUNTIFS('②-1職員名簿'!AN$7:AN$106,"●",'②-2勤務時間数入力'!$C$7:$C$106,"嘱託常勤",'②-1職員名簿'!$BF$7:$BF$106,"○",'②-2勤務時間数入力'!AC$7:AC$106,"常")</f>
        <v>0</v>
      </c>
      <c r="F20" s="73">
        <f>SUMIFS('②-2勤務時間数入力'!AC$7:AC$106,'②-1職員名簿'!AN$7:AN$106,"●",'②-1職員名簿'!$BF$7:$BF$106,"○",'②-1職員名簿'!$C$7:$C$106,"嘱託等")</f>
        <v>0</v>
      </c>
      <c r="G20" s="73">
        <f>COUNTIFS('②-1職員名簿'!AN$7:AN$106,"●",'②-1職員名簿'!$BE$7:$BE$106,"正規職員",'②-1職員名簿'!$BG$7:$BG$106,"○")</f>
        <v>0</v>
      </c>
      <c r="H20" s="73">
        <f>COUNTIFS('②-1職員名簿'!AN$7:AN$106,"●",'②-2勤務時間数入力'!$C$7:$C$106,"常勤的非常勤",'②-1職員名簿'!$BG$7:$BG$106,"○",'②-2勤務時間数入力'!AC$7:AC$106,"常")</f>
        <v>0</v>
      </c>
      <c r="I20" s="73">
        <f>SUMIFS('②-2勤務時間数入力'!AC$7:AC$106,'②-1職員名簿'!AN$7:AN$106,"●",'②-1職員名簿'!$BG$7:$BG$106,"○",'②-1職員名簿'!$C$7:$C$106,"パート")</f>
        <v>0</v>
      </c>
      <c r="J20" s="73">
        <f>COUNTIFS('②-1職員名簿'!AN$7:AN$106,"●",'②-2勤務時間数入力'!$C$7:$C$106,"嘱託常勤",'②-1職員名簿'!$BG$7:$BG$106,"○",'②-2勤務時間数入力'!AC$7:AC$106,"常")</f>
        <v>0</v>
      </c>
      <c r="K20" s="73">
        <f>SUMIFS('②-2勤務時間数入力'!AC$7:AC$106,'②-1職員名簿'!AN$7:AN$106,"●",'②-1職員名簿'!$BG$7:$BG$106,"○",'②-1職員名簿'!$C$7:$C$106,"嘱託等")</f>
        <v>0</v>
      </c>
      <c r="L20" s="165">
        <f>'②-2勤務時間数入力'!AH18</f>
        <v>0</v>
      </c>
      <c r="M20" s="165">
        <f>COUNTIFS('②-1職員名簿'!W7:W106,"園長",'②-1職員名簿'!AN$7:AN$106,"●")</f>
        <v>0</v>
      </c>
      <c r="N20" s="73">
        <f>COUNTIFS('②-1職員名簿'!AN$7:AN$106,"●",'②-1職員名簿'!$W$7:$W$106,$N$5,'②-2勤務時間数入力'!Q$7:Q$106,"正")</f>
        <v>0</v>
      </c>
      <c r="O20" s="73">
        <f>COUNTIFS('②-1職員名簿'!AN$7:AN$106,"●",'②-1職員名簿'!$W$7:$W$106,$N$5,'②-2勤務時間数入力'!AC$7:AC$106,"常")</f>
        <v>0</v>
      </c>
      <c r="P20" s="73">
        <f>SUMIFS('②-2勤務時間数入力'!AC$7:AC$106,'②-1職員名簿'!AN$7:AN$106,"●",'②-1職員名簿'!$W$7:$W$106,$N$5)</f>
        <v>0</v>
      </c>
      <c r="Q20" s="73">
        <f>COUNTIFS('②-1職員名簿'!AN$7:AN$106,"●",'②-1職員名簿'!$W$7:$W$106,$Q$5,'②-2勤務時間数入力'!Q$7:Q$106,"正")</f>
        <v>0</v>
      </c>
      <c r="R20" s="73">
        <f>COUNTIFS('②-1職員名簿'!AN$7:AN$106,"●",'②-1職員名簿'!$W$7:$W$106,$Q$5,'②-2勤務時間数入力'!AC$7:AC$106,"常")</f>
        <v>0</v>
      </c>
      <c r="S20" s="73">
        <f>SUMIFS('②-2勤務時間数入力'!AC$7:AC$106,'②-1職員名簿'!AN$7:AN$106,"●",'②-1職員名簿'!$W$7:$W$106,$Q$5)</f>
        <v>0</v>
      </c>
      <c r="T20" s="73">
        <f>COUNTIFS('②-1職員名簿'!AN$7:AN$106,"●",'②-1職員名簿'!$W$7:$W$106,$T$5,'②-2勤務時間数入力'!Q$7:Q$106,"正")</f>
        <v>0</v>
      </c>
      <c r="U20" s="73">
        <f>COUNTIFS('②-1職員名簿'!AN$7:AN$106,"●",'②-1職員名簿'!$W$7:$W$106,$T$5,'②-2勤務時間数入力'!Q$7:Q$106,"常")</f>
        <v>0</v>
      </c>
      <c r="V20" s="73">
        <f>SUMIFS('②-2勤務時間数入力'!AC$7:AC$106,'②-1職員名簿'!AN$7:AN$106,"●",'②-1職員名簿'!$W$7:$W$106,$T$5)</f>
        <v>0</v>
      </c>
      <c r="W20" s="73">
        <f>COUNTIFS('②-1職員名簿'!AN$7:AN$106,"●",'②-1職員名簿'!$W$7:$W$106,$W$5,'②-2勤務時間数入力'!Q$7:Q$106,"正")</f>
        <v>0</v>
      </c>
      <c r="X20" s="73">
        <f>COUNTIFS('②-1職員名簿'!AN$7:AN$106,"●",'②-1職員名簿'!$W$7:$W$106,$W$5,'②-2勤務時間数入力'!AC$7:AC$106,"常")</f>
        <v>0</v>
      </c>
      <c r="Y20" s="73">
        <f>SUMIFS('②-2勤務時間数入力'!AC$7:AC$106,'②-1職員名簿'!AN$7:AN$106,"●",'②-1職員名簿'!$W$7:$W$106,$W$5)</f>
        <v>0</v>
      </c>
      <c r="Z20" s="73">
        <f>COUNTIFS('②-1職員名簿'!AN$7:AN$106,"●",'②-1職員名簿'!$W$7:$W$106,$Z$5,'②-2勤務時間数入力'!Q$7:Q$106,"正")</f>
        <v>0</v>
      </c>
      <c r="AA20" s="73">
        <f>COUNTIFS('②-1職員名簿'!AN$7:AN$106,"●",'②-1職員名簿'!$W$7:$W$106,$Z$5,'②-2勤務時間数入力'!AC$7:AC$106,"常")</f>
        <v>0</v>
      </c>
      <c r="AB20" s="73">
        <f>SUMIFS('②-2勤務時間数入力'!AC$7:AC$106,'②-1職員名簿'!AN$7:AN$106,"●",'②-1職員名簿'!$W$7:$W$106,$Z$5)</f>
        <v>0</v>
      </c>
      <c r="AC20" s="167">
        <f t="shared" si="0"/>
        <v>0</v>
      </c>
      <c r="AD20" s="167">
        <f t="shared" si="1"/>
        <v>0</v>
      </c>
      <c r="AE20" s="177" t="e">
        <f t="shared" si="2"/>
        <v>#DIV/0!</v>
      </c>
      <c r="AF20" s="177" t="e">
        <f t="shared" si="3"/>
        <v>#DIV/0!</v>
      </c>
      <c r="AG20" s="176" t="e">
        <f>IF(①基本情報!$E$10&gt;90,MIN(AF20,3,MIN(AF20,AI20,3)+MIN(AF20,AJ20,1)),MIN(AF20,4,MIN(AF20,AI20,4)+MIN(AF20,AJ20,2)))</f>
        <v>#N/A</v>
      </c>
      <c r="AI20" s="34" t="e">
        <f t="shared" si="4"/>
        <v>#DIV/0!</v>
      </c>
      <c r="AJ20" s="34" t="e">
        <f t="shared" si="5"/>
        <v>#DIV/0!</v>
      </c>
    </row>
    <row r="21" spans="1:39" s="34" customFormat="1" ht="18.75" customHeight="1">
      <c r="A21" s="35"/>
      <c r="B21" s="37"/>
      <c r="C21" s="43"/>
      <c r="D21" s="43"/>
      <c r="E21" s="43"/>
      <c r="F21" s="43"/>
      <c r="G21" s="37"/>
      <c r="H21" s="43"/>
      <c r="I21" s="43"/>
      <c r="J21" s="43"/>
      <c r="K21" s="43"/>
      <c r="L21" s="37"/>
      <c r="M21" s="37"/>
      <c r="N21" s="39"/>
      <c r="O21" s="43"/>
      <c r="P21" s="43"/>
      <c r="Q21" s="39"/>
      <c r="R21" s="43"/>
      <c r="S21" s="43"/>
      <c r="T21" s="39"/>
      <c r="U21" s="43"/>
      <c r="V21" s="43"/>
      <c r="W21" s="39"/>
      <c r="X21" s="43"/>
      <c r="Y21" s="43"/>
      <c r="Z21" s="39"/>
      <c r="AA21" s="43"/>
      <c r="AB21" s="46"/>
      <c r="AC21" s="40"/>
      <c r="AD21" s="46"/>
      <c r="AE21" s="46"/>
      <c r="AF21"/>
      <c r="AG21"/>
      <c r="AH21" s="39"/>
      <c r="AI21" s="39"/>
      <c r="AJ21" s="39"/>
      <c r="AK21" s="39"/>
      <c r="AL21" s="41"/>
      <c r="AM21" s="40"/>
    </row>
    <row r="22" spans="1:39" s="34" customFormat="1" ht="18.75" customHeight="1">
      <c r="A22" s="42"/>
      <c r="B22" s="43"/>
      <c r="C22" s="47"/>
      <c r="D22" s="47"/>
      <c r="E22" s="47"/>
      <c r="F22" s="47"/>
      <c r="G22" s="43"/>
      <c r="H22" s="47"/>
      <c r="I22" s="47"/>
      <c r="J22" s="47"/>
      <c r="K22" s="47"/>
      <c r="L22" s="43"/>
      <c r="M22" s="43"/>
      <c r="N22" s="43"/>
      <c r="O22" s="47"/>
      <c r="P22" s="47"/>
      <c r="Q22" s="43"/>
      <c r="R22" s="47"/>
      <c r="S22" s="47"/>
      <c r="T22" s="43"/>
      <c r="U22" s="47"/>
      <c r="V22" s="47"/>
      <c r="W22" s="43"/>
      <c r="X22" s="47"/>
      <c r="Y22" s="47"/>
      <c r="Z22" s="43"/>
      <c r="AA22" s="47"/>
      <c r="AB22" s="47"/>
      <c r="AC22" s="46"/>
      <c r="AD22" s="47"/>
      <c r="AE22" s="47"/>
      <c r="AF22" s="47"/>
      <c r="AG22" s="47"/>
      <c r="AH22" s="47"/>
      <c r="AI22" s="47"/>
      <c r="AJ22" s="47"/>
      <c r="AK22" s="41"/>
      <c r="AL22" s="40"/>
    </row>
    <row r="23" spans="1:39" s="34" customFormat="1" ht="18.75" customHeight="1">
      <c r="A23" s="42"/>
      <c r="B23" s="47"/>
      <c r="C23" s="44"/>
      <c r="D23" s="44"/>
      <c r="E23" s="44"/>
      <c r="F23" s="44"/>
      <c r="G23" s="47"/>
      <c r="H23" s="44"/>
      <c r="I23" s="44"/>
      <c r="J23" s="44"/>
      <c r="K23" s="44"/>
      <c r="L23" s="47"/>
      <c r="M23" s="47"/>
      <c r="N23" s="47"/>
      <c r="O23" s="44"/>
      <c r="P23" s="44"/>
      <c r="Q23" s="47"/>
      <c r="R23" s="44"/>
      <c r="S23" s="44"/>
      <c r="T23" s="47"/>
      <c r="U23" s="44"/>
      <c r="V23" s="44"/>
      <c r="W23" s="47"/>
      <c r="X23" s="44"/>
      <c r="Y23" s="44"/>
      <c r="Z23" s="47"/>
      <c r="AA23" s="44"/>
      <c r="AB23" s="44"/>
      <c r="AC23" s="47"/>
      <c r="AD23" s="44"/>
      <c r="AE23" s="44"/>
      <c r="AF23" s="44"/>
      <c r="AG23" s="44"/>
      <c r="AH23" s="39"/>
      <c r="AI23" s="39"/>
      <c r="AJ23" s="39"/>
      <c r="AK23" s="47"/>
      <c r="AL23" s="47"/>
    </row>
    <row r="24" spans="1:39" s="34" customFormat="1" ht="18.75" customHeight="1">
      <c r="A24" s="42"/>
      <c r="B24" s="44"/>
      <c r="C24" s="43"/>
      <c r="D24" s="43"/>
      <c r="E24" s="43"/>
      <c r="F24" s="43"/>
      <c r="G24" s="44"/>
      <c r="H24" s="43"/>
      <c r="I24" s="43"/>
      <c r="J24" s="43"/>
      <c r="K24" s="43"/>
      <c r="L24" s="44"/>
      <c r="M24" s="44"/>
      <c r="N24" s="44"/>
      <c r="O24" s="45"/>
      <c r="P24" s="45"/>
      <c r="Q24" s="44"/>
      <c r="R24" s="45"/>
      <c r="S24" s="45"/>
      <c r="T24" s="44"/>
      <c r="U24" s="45"/>
      <c r="V24" s="45"/>
      <c r="W24" s="44"/>
      <c r="X24" s="45"/>
      <c r="Y24" s="45"/>
      <c r="Z24" s="44"/>
      <c r="AA24" s="45"/>
      <c r="AB24" s="46"/>
      <c r="AC24" s="44"/>
      <c r="AD24" s="46"/>
      <c r="AE24" s="46"/>
      <c r="AF24"/>
      <c r="AG24"/>
      <c r="AH24" s="39"/>
      <c r="AI24" s="39"/>
      <c r="AJ24" s="39"/>
      <c r="AK24" s="41"/>
      <c r="AL24" s="40"/>
    </row>
    <row r="25" spans="1:39" ht="18.75" customHeight="1">
      <c r="B25" s="43"/>
      <c r="C25" s="43"/>
      <c r="D25" s="43"/>
      <c r="E25" s="43"/>
      <c r="F25" s="43"/>
      <c r="G25" s="43"/>
      <c r="H25" s="43"/>
      <c r="I25" s="43"/>
      <c r="J25" s="43"/>
      <c r="K25" s="43"/>
      <c r="L25" s="43"/>
      <c r="M25" s="43"/>
      <c r="N25" s="45"/>
      <c r="O25" s="45"/>
      <c r="P25" s="45"/>
      <c r="Q25" s="45"/>
      <c r="R25" s="45"/>
      <c r="S25" s="45"/>
      <c r="T25" s="45"/>
      <c r="U25" s="45"/>
      <c r="V25" s="45"/>
      <c r="W25" s="45"/>
      <c r="X25" s="45"/>
      <c r="Y25" s="45"/>
      <c r="Z25" s="45"/>
      <c r="AA25" s="45"/>
      <c r="AB25" s="46"/>
      <c r="AC25" s="46"/>
      <c r="AD25" s="46"/>
      <c r="AE25" s="46"/>
      <c r="AF25"/>
      <c r="AG25"/>
      <c r="AH25" s="39"/>
      <c r="AI25" s="39"/>
      <c r="AJ25" s="39"/>
      <c r="AK25" s="41"/>
      <c r="AL25" s="40"/>
    </row>
    <row r="26" spans="1:39" ht="18.75" customHeight="1">
      <c r="A26" s="42"/>
      <c r="B26" s="43"/>
      <c r="G26" s="43"/>
      <c r="L26" s="43"/>
      <c r="M26" s="43"/>
      <c r="N26" s="45"/>
      <c r="O26" s="39"/>
      <c r="P26" s="39"/>
      <c r="Q26" s="45"/>
      <c r="R26" s="39"/>
      <c r="S26" s="39"/>
      <c r="T26" s="45"/>
      <c r="U26" s="39"/>
      <c r="V26" s="39"/>
      <c r="W26" s="45"/>
      <c r="X26" s="39"/>
      <c r="Y26" s="39"/>
      <c r="Z26" s="45"/>
      <c r="AA26" s="39"/>
      <c r="AB26" s="39"/>
      <c r="AC26" s="46"/>
      <c r="AD26" s="40"/>
      <c r="AE26" s="40"/>
      <c r="AF26" s="40"/>
      <c r="AG26" s="40"/>
      <c r="AH26" s="39"/>
      <c r="AI26" s="39"/>
      <c r="AJ26" s="39"/>
      <c r="AK26" s="41"/>
      <c r="AL26" s="40"/>
    </row>
    <row r="27" spans="1:39" ht="18.75" customHeight="1">
      <c r="A27" s="36"/>
      <c r="C27" s="35"/>
      <c r="D27" s="35"/>
      <c r="E27" s="35"/>
      <c r="F27" s="35"/>
      <c r="H27" s="35"/>
      <c r="I27" s="35"/>
      <c r="J27" s="35"/>
      <c r="K27" s="35"/>
      <c r="N27" s="39"/>
      <c r="O27" s="35"/>
      <c r="P27" s="35"/>
      <c r="Q27" s="39"/>
      <c r="R27" s="35"/>
      <c r="S27" s="35"/>
      <c r="T27" s="39"/>
      <c r="U27" s="35"/>
      <c r="V27" s="35"/>
      <c r="W27" s="39"/>
      <c r="X27" s="35"/>
      <c r="Y27" s="35"/>
      <c r="Z27" s="39"/>
      <c r="AA27" s="35"/>
      <c r="AB27" s="35"/>
      <c r="AC27" s="40"/>
      <c r="AD27" s="35"/>
      <c r="AE27" s="35"/>
      <c r="AF27" s="35"/>
      <c r="AG27" s="35"/>
      <c r="AH27" s="35"/>
      <c r="AI27" s="35"/>
      <c r="AJ27" s="35"/>
      <c r="AK27" s="39"/>
      <c r="AL27" s="41"/>
      <c r="AM27" s="40"/>
    </row>
    <row r="28" spans="1:39" s="35" customFormat="1" ht="18.75" customHeight="1"/>
    <row r="29" spans="1:39" s="35" customFormat="1" ht="25" customHeight="1">
      <c r="AK29" s="54"/>
    </row>
    <row r="30" spans="1:39" s="35" customFormat="1" ht="25" customHeight="1">
      <c r="AK30" s="54"/>
    </row>
    <row r="31" spans="1:39" s="35" customFormat="1" ht="25" customHeight="1">
      <c r="AK31" s="54"/>
    </row>
    <row r="32" spans="1:39" s="35" customFormat="1" ht="25" customHeight="1">
      <c r="AK32" s="54"/>
    </row>
    <row r="33" s="35" customFormat="1" ht="25" customHeight="1"/>
    <row r="34" s="35" customFormat="1" ht="25" customHeight="1"/>
    <row r="35" s="35" customFormat="1" ht="25" customHeight="1"/>
    <row r="36" s="35" customFormat="1" ht="25" customHeight="1"/>
    <row r="37" s="35" customFormat="1" ht="25" customHeight="1"/>
    <row r="38" s="35" customFormat="1" ht="25" customHeight="1"/>
    <row r="39" s="35" customFormat="1" ht="25" customHeight="1"/>
    <row r="40" s="35" customFormat="1" ht="25" customHeight="1"/>
    <row r="41" s="35" customFormat="1" ht="25" customHeight="1"/>
    <row r="42" s="35" customFormat="1" ht="25" customHeight="1"/>
    <row r="43" s="35" customFormat="1" ht="25" customHeight="1"/>
    <row r="44" s="35" customFormat="1" ht="25" customHeight="1"/>
    <row r="45" s="35" customFormat="1" ht="25" customHeight="1"/>
    <row r="46" s="35" customFormat="1" ht="25" customHeight="1"/>
    <row r="47" s="35" customFormat="1" ht="25" customHeight="1"/>
    <row r="48" s="35" customFormat="1" ht="25" customHeight="1"/>
    <row r="49" spans="3:38" s="35" customFormat="1" ht="25" customHeight="1"/>
    <row r="50" spans="3:38" s="35" customFormat="1" ht="25" customHeight="1"/>
    <row r="51" spans="3:38" s="35" customFormat="1" ht="25" customHeight="1">
      <c r="C51" s="37"/>
      <c r="D51" s="37"/>
      <c r="E51" s="37"/>
      <c r="F51" s="37"/>
      <c r="H51" s="37"/>
      <c r="I51" s="37"/>
      <c r="J51" s="37"/>
      <c r="K51" s="37"/>
      <c r="O51" s="37"/>
      <c r="P51" s="37"/>
      <c r="R51" s="37"/>
      <c r="S51" s="37"/>
      <c r="U51" s="37"/>
      <c r="V51" s="37"/>
      <c r="X51" s="37"/>
      <c r="Y51" s="37"/>
      <c r="AA51" s="37"/>
      <c r="AB51" s="37"/>
      <c r="AD51" s="37"/>
      <c r="AE51" s="37"/>
      <c r="AF51" s="37"/>
      <c r="AG51" s="37"/>
      <c r="AH51" s="37"/>
      <c r="AI51" s="37"/>
      <c r="AJ51" s="37"/>
    </row>
    <row r="52" spans="3:38" ht="25" customHeight="1">
      <c r="AL52" s="37"/>
    </row>
    <row r="53" spans="3:38" ht="25" customHeight="1">
      <c r="AL53" s="37"/>
    </row>
    <row r="54" spans="3:38" ht="25" customHeight="1">
      <c r="AL54" s="37"/>
    </row>
    <row r="55" spans="3:38" ht="25" customHeight="1">
      <c r="AL55" s="37"/>
    </row>
    <row r="56" spans="3:38" ht="25" customHeight="1">
      <c r="Y56" s="49"/>
      <c r="AL56" s="37"/>
    </row>
    <row r="57" spans="3:38" ht="25" customHeight="1">
      <c r="Z57" s="49"/>
      <c r="AI57" s="49"/>
      <c r="AL57" s="37"/>
    </row>
    <row r="58" spans="3:38" ht="25" customHeight="1">
      <c r="Y58" s="49"/>
      <c r="AI58" s="49"/>
      <c r="AL58" s="37"/>
    </row>
    <row r="59" spans="3:38" ht="25" customHeight="1">
      <c r="Z59" s="49"/>
      <c r="AI59" s="49"/>
      <c r="AL59" s="37"/>
    </row>
    <row r="60" spans="3:38" ht="25" customHeight="1">
      <c r="AI60" s="49"/>
      <c r="AL60" s="37"/>
    </row>
    <row r="61" spans="3:38" ht="25" customHeight="1">
      <c r="AI61" s="49"/>
      <c r="AL61" s="37"/>
    </row>
    <row r="62" spans="3:38" ht="25" customHeight="1">
      <c r="AI62" s="49"/>
      <c r="AL62" s="37"/>
    </row>
    <row r="63" spans="3:38" ht="25" customHeight="1">
      <c r="AI63" s="49"/>
      <c r="AL63" s="37"/>
    </row>
    <row r="64" spans="3:38" ht="25" customHeight="1">
      <c r="AE64" s="49"/>
      <c r="AI64" s="49"/>
      <c r="AL64" s="37"/>
    </row>
    <row r="65" spans="35:38" ht="25" customHeight="1">
      <c r="AI65" s="49"/>
      <c r="AL65" s="37"/>
    </row>
    <row r="66" spans="35:38" ht="25" customHeight="1">
      <c r="AI66" s="49"/>
      <c r="AL66" s="37"/>
    </row>
    <row r="67" spans="35:38" ht="25" customHeight="1">
      <c r="AI67" s="49"/>
      <c r="AL67" s="37"/>
    </row>
    <row r="68" spans="35:38" ht="25" customHeight="1">
      <c r="AL68" s="37"/>
    </row>
    <row r="71" spans="35:38" ht="25" customHeight="1">
      <c r="AI71" s="49"/>
    </row>
  </sheetData>
  <sheetProtection password="CCCF" sheet="1" selectLockedCells="1"/>
  <mergeCells count="40">
    <mergeCell ref="AA6:AA7"/>
    <mergeCell ref="AE6:AE7"/>
    <mergeCell ref="AB6:AB7"/>
    <mergeCell ref="V6:V7"/>
    <mergeCell ref="W6:W7"/>
    <mergeCell ref="X6:X7"/>
    <mergeCell ref="Y6:Y7"/>
    <mergeCell ref="Z6:Z7"/>
    <mergeCell ref="AG4:AG5"/>
    <mergeCell ref="B5:F5"/>
    <mergeCell ref="G5:K5"/>
    <mergeCell ref="N5:P5"/>
    <mergeCell ref="Q5:S5"/>
    <mergeCell ref="T5:V5"/>
    <mergeCell ref="W5:Y5"/>
    <mergeCell ref="Z5:AB5"/>
    <mergeCell ref="AC5:AE5"/>
    <mergeCell ref="M4:AF4"/>
    <mergeCell ref="M5:M7"/>
    <mergeCell ref="N6:N7"/>
    <mergeCell ref="O6:O7"/>
    <mergeCell ref="P6:P7"/>
    <mergeCell ref="AC6:AC7"/>
    <mergeCell ref="AG7:AG8"/>
    <mergeCell ref="V2:W2"/>
    <mergeCell ref="X2:AF2"/>
    <mergeCell ref="A4:A8"/>
    <mergeCell ref="B4:K4"/>
    <mergeCell ref="L4:L7"/>
    <mergeCell ref="AF5:AF8"/>
    <mergeCell ref="B6:D6"/>
    <mergeCell ref="E6:F6"/>
    <mergeCell ref="G6:I6"/>
    <mergeCell ref="Q6:Q7"/>
    <mergeCell ref="R6:R7"/>
    <mergeCell ref="S6:S7"/>
    <mergeCell ref="T6:T7"/>
    <mergeCell ref="U6:U7"/>
    <mergeCell ref="J6:K6"/>
    <mergeCell ref="AD6:AD7"/>
  </mergeCells>
  <phoneticPr fontId="1"/>
  <dataValidations count="4">
    <dataValidation allowBlank="1" showInputMessage="1" showErrorMessage="1" promptTitle="その他（支援センター、加算等）" prompt="支援センター業務にあたる保育士、チーム保育推進加算、入所児童特別加算対象者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V65546:V65557 V983050:V983061 V917514:V917525 V851978:V851989 V786442:V786453 V720906:V720917 V655370:V655381 V589834:V589845 V524298:V524309 V458762:V458773 V393226:V393237 V327690:V327701 V262154:V262165 V196618:V196629 V131082:V131093 T65555:U65566 T983059:U983070 T917523:U917534 T851987:U851998 T786451:U786462 T720915:U720926 T655379:U655390 T589843:U589854 T524307:U524318 T458771:U458782 T393235:U393246 T327699:U327710 T262163:U262174 T196627:U196638 T131091:U131102 Z65556:Z65567 Y65554:Y65565 AA65554:AB65565 Z983060:Z983071 Y983058:Y983069 AA983058:AB983069 Z917524:Z917535 Y917522:Y917533 AA917522:AB917533 Z851988:Z851999 Y851986:Y851997 AA851986:AB851997 Z786452:Z786463 Y786450:Y786461 AA786450:AB786461 Z720916:Z720927 Y720914:Y720925 AA720914:AB720925 Z655380:Z655391 Y655378:Y655389 AA655378:AB655389 Z589844:Z589855 Y589842:Y589853 AA589842:AB589853 Z524308:Z524319 Y524306:Y524317 AA524306:AB524317 Z458772:Z458783 Y458770:Y458781 AA458770:AB458781 Z393236:Z393247 Y393234:Y393245 AA393234:AB393245 Z327700:Z327711 Y327698:Y327709 AA327698:AB327709 Z262164:Z262175 Y262162:Y262173 AA262162:AB262173 Z196628:Z196639 Y196626:Y196637 AA196626:AB196637 Z131092:Z131103 Y131090:Y131101 AA131090:AB131101 R65544:S65555 Q65545:Q65556 R983048:S983059 Q983049:Q983060 R917512:S917523 Q917513:Q917524 R851976:S851987 Q851977:Q851988 R786440:S786451 Q786441:Q786452 R720904:S720915 Q720905:Q720916 R655368:S655379 Q655369:Q655380 R589832:S589843 Q589833:Q589844 R524296:S524307 Q524297:Q524308 R458760:S458771 Q458761:Q458772 R393224:S393235 Q393225:Q393236 R327688:S327699 Q327689:Q327700 R262152:S262163 Q262153:Q262164 R196616:S196627 Q196617:Q196628 R131080:S131091 Q131081:Q131092 X65544:X65555 W65545:W65556 X983048:X983059 W983049:W983060 X917512:X917523 W917513:W917524 X851976:X851987 W851977:W851988 X786440:X786451 W786441:W786452 X720904:X720915 W720905:W720916 X655368:X655379 W655369:W655380 X589832:X589843 W589833:W589844 X524296:X524307 W524297:W524308 X458760:X458771 W458761:W458772 X393224:X393235 W393225:W393236 X327688:X327699 W327689:W327700 X262152:X262163 W262153:W262164 X196616:X196627 W196617:W196628 X131080:X131091 W131081:W131092" xr:uid="{B204433C-A4A7-4DA5-AAE7-C73D613F9648}"/>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65545:B65556 C131080:F131091 B131081:B131092 C196616:F196627 B196617:B196628 C262152:F262163 B262153:B262164 C327688:F327699 B327689:B327700 C393224:F393235 B393225:B393236 C458760:F458771 B458761:B458772 C524296:F524307 B524297:B524308 C589832:F589843 B589833:B589844 C655368:F655379 B655369:B655380 C720904:F720915 B720905:B720916 C786440:F786451 B786441:B786452 C851976:F851987 B851977:B851988 C917512:F917523 B917513:B917524 C983048:F983059 B983049:B983060 C65544:F65555 H983048:K983059 G983049:G983060 L983049:M983060 H917512:K917523 G917513:G917524 L917513:M917524 H851976:K851987 G851977:G851988 L851977:M851988 H786440:K786451 G786441:G786452 L786441:M786452 H720904:K720915 G720905:G720916 L720905:M720916 H655368:K655379 G655369:G655380 L655369:M655380 H589832:K589843 G589833:G589844 L589833:M589844 H524296:K524307 G524297:G524308 L524297:M524308 H458760:K458771 G458761:G458772 L458761:M458772 H393224:K393235 G393225:G393236 L393225:M393236 H327688:K327699 G327689:G327700 L327689:M327700 H262152:K262163 G262153:G262164 L262153:M262164 H196616:K196627 G196617:G196628 L196617:M196628 H131080:K131091 G131081:G131092 L131081:M131092 H65544:K65555 G65545:G65556 L65545:M65556" xr:uid="{E04A45B4-D6E6-4C9D-BC82-43D7C76693FB}"/>
    <dataValidation allowBlank="1" showInputMessage="1" showErrorMessage="1" promptTitle="一時預かり" prompt="一時預かりにあたる保育士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N65545:N65556 O983048:P983059 N983049:N983060 O917512:P917523 N917513:N917524 O851976:P851987 N851977:N851988 O786440:P786451 N786441:N786452 O720904:P720915 N720905:N720916 O655368:P655379 N655369:N655380 O589832:P589843 N589833:N589844 O524296:P524307 N524297:N524308 O458760:P458771 N458761:N458772 O393224:P393235 N393225:N393236 O327688:P327699 N327689:N327700 O262152:P262163 N262153:N262164 O196616:P196627 N196617:N196628 O131080:P131091 N131081:N131092 O65544:P65555" xr:uid="{812063C9-8405-4982-91CF-53D3C265EF33}"/>
    <dataValidation allowBlank="1" showErrorMessage="1" sqref="B9:B26 C9:F25 H9:K25 G9:G26 O9:P25 L9:N26 R9:S25 Q9:Q26 U9:V25 T9:T26 X9:Y25 W9:W26 AA9:AB25 Z9:Z26 AD9:AG25 AC9:AC26" xr:uid="{145EEC54-5F09-4E6F-91EA-AB3488532F6F}"/>
  </dataValidations>
  <printOptions horizontalCentered="1"/>
  <pageMargins left="0.51181102362204722" right="0.39370078740157483" top="0.51181102362204722" bottom="0.51181102362204722" header="0.51181102362204722" footer="0.51181102362204722"/>
  <pageSetup paperSize="9" scale="6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CC04-77A2-45B5-8290-ED07ADDE7BE3}">
  <sheetPr codeName="Sheet111">
    <tabColor rgb="FF00B050"/>
  </sheetPr>
  <dimension ref="A1:AZ51"/>
  <sheetViews>
    <sheetView view="pageBreakPreview" zoomScale="85" zoomScaleNormal="85" zoomScaleSheetLayoutView="85" workbookViewId="0">
      <selection activeCell="AJ12" sqref="AJ12"/>
    </sheetView>
  </sheetViews>
  <sheetFormatPr defaultColWidth="9" defaultRowHeight="25" customHeight="1"/>
  <cols>
    <col min="1" max="1" width="5.33203125" style="37" customWidth="1"/>
    <col min="2" max="24" width="4.58203125" style="37" customWidth="1"/>
    <col min="25" max="25" width="1.25" style="37" customWidth="1"/>
    <col min="26" max="26" width="5.58203125" style="37" customWidth="1"/>
    <col min="27" max="44" width="4.58203125" style="37" customWidth="1"/>
    <col min="45" max="45" width="4.5" style="37" customWidth="1"/>
    <col min="46" max="46" width="4.58203125" style="37" customWidth="1"/>
    <col min="47" max="47" width="9" style="37"/>
    <col min="48" max="49" width="9" style="37" customWidth="1"/>
    <col min="50" max="16384" width="9" style="37"/>
  </cols>
  <sheetData>
    <row r="1" spans="1:52" s="21" customFormat="1" ht="25" customHeight="1">
      <c r="A1" s="20" t="s">
        <v>107</v>
      </c>
      <c r="B1" s="20"/>
      <c r="Y1" s="20"/>
      <c r="Z1" s="20"/>
    </row>
    <row r="2" spans="1:52" s="20" customFormat="1" ht="25" customHeight="1">
      <c r="A2" s="20" t="s">
        <v>786</v>
      </c>
      <c r="Z2" s="20" t="s">
        <v>787</v>
      </c>
      <c r="AJ2" s="808" t="s">
        <v>135</v>
      </c>
      <c r="AK2" s="808"/>
      <c r="AL2" s="828">
        <f>①基本情報!D6</f>
        <v>0</v>
      </c>
      <c r="AM2" s="828"/>
      <c r="AN2" s="828"/>
      <c r="AO2" s="828"/>
      <c r="AP2" s="828"/>
      <c r="AQ2" s="828"/>
      <c r="AR2" s="828"/>
      <c r="AS2" s="828"/>
      <c r="AT2" s="828"/>
      <c r="AU2" s="20" t="s">
        <v>136</v>
      </c>
    </row>
    <row r="3" spans="1:52" s="20" customFormat="1" ht="11.25" customHeight="1"/>
    <row r="4" spans="1:52" s="25" customFormat="1" ht="25" customHeight="1">
      <c r="A4" s="806" t="s">
        <v>137</v>
      </c>
      <c r="B4" s="821" t="s">
        <v>139</v>
      </c>
      <c r="C4" s="806" t="s">
        <v>226</v>
      </c>
      <c r="D4" s="806"/>
      <c r="E4" s="806"/>
      <c r="F4" s="806"/>
      <c r="G4" s="806"/>
      <c r="H4" s="806" t="s">
        <v>227</v>
      </c>
      <c r="I4" s="806"/>
      <c r="J4" s="806"/>
      <c r="K4" s="806"/>
      <c r="L4" s="806"/>
      <c r="M4" s="806" t="s">
        <v>228</v>
      </c>
      <c r="N4" s="806"/>
      <c r="O4" s="806"/>
      <c r="P4" s="806"/>
      <c r="Q4" s="806"/>
      <c r="R4" s="806" t="s">
        <v>199</v>
      </c>
      <c r="S4" s="806"/>
      <c r="T4" s="806"/>
      <c r="U4" s="806"/>
      <c r="V4" s="806"/>
      <c r="W4" s="829" t="s">
        <v>229</v>
      </c>
      <c r="X4" s="830"/>
      <c r="Z4" s="833" t="s">
        <v>230</v>
      </c>
      <c r="AA4" s="806" t="s">
        <v>231</v>
      </c>
      <c r="AB4" s="806"/>
      <c r="AC4" s="806"/>
      <c r="AD4" s="806"/>
      <c r="AE4" s="806"/>
      <c r="AF4" s="806" t="s">
        <v>232</v>
      </c>
      <c r="AG4" s="806"/>
      <c r="AH4" s="806"/>
      <c r="AI4" s="806"/>
      <c r="AJ4" s="806"/>
      <c r="AK4" s="806" t="s">
        <v>233</v>
      </c>
      <c r="AL4" s="806"/>
      <c r="AM4" s="806"/>
      <c r="AN4" s="806"/>
      <c r="AO4" s="806"/>
      <c r="AP4" s="26" t="s">
        <v>70</v>
      </c>
      <c r="AQ4" s="805" t="s">
        <v>234</v>
      </c>
      <c r="AR4" s="805"/>
      <c r="AS4" s="805"/>
      <c r="AT4" s="805"/>
      <c r="AU4" s="831" t="s">
        <v>809</v>
      </c>
      <c r="AV4" s="842"/>
      <c r="AW4" s="842" t="s">
        <v>810</v>
      </c>
      <c r="AX4" s="842"/>
      <c r="AY4" s="842" t="s">
        <v>811</v>
      </c>
      <c r="AZ4" s="842"/>
    </row>
    <row r="5" spans="1:52" s="24" customFormat="1" ht="27" customHeight="1">
      <c r="A5" s="806"/>
      <c r="B5" s="821"/>
      <c r="C5" s="806" t="s">
        <v>144</v>
      </c>
      <c r="D5" s="806"/>
      <c r="E5" s="806"/>
      <c r="F5" s="806" t="s">
        <v>764</v>
      </c>
      <c r="G5" s="806"/>
      <c r="H5" s="806" t="s">
        <v>144</v>
      </c>
      <c r="I5" s="806"/>
      <c r="J5" s="806"/>
      <c r="K5" s="806" t="s">
        <v>764</v>
      </c>
      <c r="L5" s="806"/>
      <c r="M5" s="806" t="s">
        <v>144</v>
      </c>
      <c r="N5" s="806"/>
      <c r="O5" s="806"/>
      <c r="P5" s="806" t="s">
        <v>764</v>
      </c>
      <c r="Q5" s="806"/>
      <c r="R5" s="26" t="s">
        <v>70</v>
      </c>
      <c r="S5" s="806" t="s">
        <v>149</v>
      </c>
      <c r="T5" s="806"/>
      <c r="U5" s="806"/>
      <c r="V5" s="806" t="s">
        <v>162</v>
      </c>
      <c r="W5" s="831"/>
      <c r="X5" s="832"/>
      <c r="Z5" s="834"/>
      <c r="AA5" s="806" t="s">
        <v>144</v>
      </c>
      <c r="AB5" s="806"/>
      <c r="AC5" s="806"/>
      <c r="AD5" s="806" t="s">
        <v>764</v>
      </c>
      <c r="AE5" s="806"/>
      <c r="AF5" s="806" t="s">
        <v>144</v>
      </c>
      <c r="AG5" s="806"/>
      <c r="AH5" s="806"/>
      <c r="AI5" s="806" t="s">
        <v>764</v>
      </c>
      <c r="AJ5" s="806"/>
      <c r="AK5" s="806" t="s">
        <v>144</v>
      </c>
      <c r="AL5" s="806"/>
      <c r="AM5" s="806"/>
      <c r="AN5" s="806" t="s">
        <v>764</v>
      </c>
      <c r="AO5" s="806"/>
      <c r="AP5" s="835" t="s">
        <v>158</v>
      </c>
      <c r="AQ5" s="805"/>
      <c r="AR5" s="805"/>
      <c r="AS5" s="805"/>
      <c r="AT5" s="805"/>
      <c r="AU5" s="831"/>
      <c r="AV5" s="842"/>
      <c r="AW5" s="842"/>
      <c r="AX5" s="842"/>
      <c r="AY5" s="842"/>
      <c r="AZ5" s="842"/>
    </row>
    <row r="6" spans="1:52" s="24" customFormat="1" ht="68.25" customHeight="1">
      <c r="A6" s="806"/>
      <c r="B6" s="821"/>
      <c r="C6" s="807" t="s">
        <v>153</v>
      </c>
      <c r="D6" s="807" t="s">
        <v>154</v>
      </c>
      <c r="E6" s="807" t="s">
        <v>160</v>
      </c>
      <c r="F6" s="819" t="s">
        <v>156</v>
      </c>
      <c r="G6" s="819" t="s">
        <v>157</v>
      </c>
      <c r="H6" s="807" t="s">
        <v>153</v>
      </c>
      <c r="I6" s="807" t="s">
        <v>154</v>
      </c>
      <c r="J6" s="807" t="s">
        <v>160</v>
      </c>
      <c r="K6" s="819" t="s">
        <v>156</v>
      </c>
      <c r="L6" s="819" t="s">
        <v>157</v>
      </c>
      <c r="M6" s="807" t="s">
        <v>153</v>
      </c>
      <c r="N6" s="807" t="s">
        <v>154</v>
      </c>
      <c r="O6" s="807" t="s">
        <v>160</v>
      </c>
      <c r="P6" s="819" t="s">
        <v>156</v>
      </c>
      <c r="Q6" s="819" t="s">
        <v>157</v>
      </c>
      <c r="R6" s="827" t="s">
        <v>158</v>
      </c>
      <c r="S6" s="807" t="s">
        <v>153</v>
      </c>
      <c r="T6" s="807" t="s">
        <v>159</v>
      </c>
      <c r="U6" s="819" t="s">
        <v>235</v>
      </c>
      <c r="V6" s="806"/>
      <c r="W6" s="838" t="s">
        <v>236</v>
      </c>
      <c r="X6" s="839"/>
      <c r="Z6" s="834"/>
      <c r="AA6" s="807" t="s">
        <v>153</v>
      </c>
      <c r="AB6" s="807" t="s">
        <v>154</v>
      </c>
      <c r="AC6" s="807" t="s">
        <v>237</v>
      </c>
      <c r="AD6" s="819" t="s">
        <v>156</v>
      </c>
      <c r="AE6" s="819" t="s">
        <v>157</v>
      </c>
      <c r="AF6" s="807" t="s">
        <v>153</v>
      </c>
      <c r="AG6" s="807" t="s">
        <v>154</v>
      </c>
      <c r="AH6" s="807" t="s">
        <v>237</v>
      </c>
      <c r="AI6" s="819" t="s">
        <v>156</v>
      </c>
      <c r="AJ6" s="819" t="s">
        <v>157</v>
      </c>
      <c r="AK6" s="807" t="s">
        <v>153</v>
      </c>
      <c r="AL6" s="807" t="s">
        <v>154</v>
      </c>
      <c r="AM6" s="807" t="s">
        <v>237</v>
      </c>
      <c r="AN6" s="819" t="s">
        <v>156</v>
      </c>
      <c r="AO6" s="819" t="s">
        <v>157</v>
      </c>
      <c r="AP6" s="836"/>
      <c r="AQ6" s="819" t="s">
        <v>153</v>
      </c>
      <c r="AR6" s="819" t="s">
        <v>154</v>
      </c>
      <c r="AS6" s="819" t="s">
        <v>235</v>
      </c>
      <c r="AT6" s="806" t="s">
        <v>238</v>
      </c>
      <c r="AU6" s="24" t="s">
        <v>807</v>
      </c>
      <c r="AV6" s="24" t="s">
        <v>808</v>
      </c>
      <c r="AW6" s="24" t="s">
        <v>807</v>
      </c>
      <c r="AX6" s="24" t="s">
        <v>808</v>
      </c>
      <c r="AY6" s="24" t="s">
        <v>807</v>
      </c>
      <c r="AZ6" s="24" t="s">
        <v>808</v>
      </c>
    </row>
    <row r="7" spans="1:52" s="24" customFormat="1" ht="60" customHeight="1">
      <c r="A7" s="806"/>
      <c r="B7" s="821"/>
      <c r="C7" s="807"/>
      <c r="D7" s="807"/>
      <c r="E7" s="807"/>
      <c r="F7" s="819"/>
      <c r="G7" s="819"/>
      <c r="H7" s="807"/>
      <c r="I7" s="807"/>
      <c r="J7" s="807"/>
      <c r="K7" s="819"/>
      <c r="L7" s="819"/>
      <c r="M7" s="807"/>
      <c r="N7" s="807"/>
      <c r="O7" s="807"/>
      <c r="P7" s="819"/>
      <c r="Q7" s="819"/>
      <c r="R7" s="827"/>
      <c r="S7" s="807"/>
      <c r="T7" s="807"/>
      <c r="U7" s="820"/>
      <c r="V7" s="814"/>
      <c r="W7" s="807" t="s">
        <v>167</v>
      </c>
      <c r="X7" s="840" t="s">
        <v>168</v>
      </c>
      <c r="Z7" s="29"/>
      <c r="AA7" s="807"/>
      <c r="AB7" s="807"/>
      <c r="AC7" s="807"/>
      <c r="AD7" s="820"/>
      <c r="AE7" s="820"/>
      <c r="AF7" s="807"/>
      <c r="AG7" s="807"/>
      <c r="AH7" s="807"/>
      <c r="AI7" s="819"/>
      <c r="AJ7" s="819"/>
      <c r="AK7" s="807"/>
      <c r="AL7" s="807"/>
      <c r="AM7" s="807"/>
      <c r="AN7" s="819"/>
      <c r="AO7" s="819"/>
      <c r="AP7" s="837"/>
      <c r="AQ7" s="820"/>
      <c r="AR7" s="820"/>
      <c r="AS7" s="820"/>
      <c r="AT7" s="806"/>
    </row>
    <row r="8" spans="1:52" s="24" customFormat="1" ht="38.25" customHeight="1">
      <c r="A8" s="806"/>
      <c r="B8" s="32" t="s">
        <v>174</v>
      </c>
      <c r="C8" s="31" t="s">
        <v>239</v>
      </c>
      <c r="D8" s="31" t="s">
        <v>240</v>
      </c>
      <c r="E8" s="31" t="s">
        <v>241</v>
      </c>
      <c r="F8" s="31" t="s">
        <v>94</v>
      </c>
      <c r="G8" s="31" t="s">
        <v>95</v>
      </c>
      <c r="H8" s="31" t="s">
        <v>96</v>
      </c>
      <c r="I8" s="31" t="s">
        <v>97</v>
      </c>
      <c r="J8" s="31" t="s">
        <v>98</v>
      </c>
      <c r="K8" s="31" t="s">
        <v>242</v>
      </c>
      <c r="L8" s="31" t="s">
        <v>208</v>
      </c>
      <c r="M8" s="31" t="s">
        <v>243</v>
      </c>
      <c r="N8" s="31" t="s">
        <v>244</v>
      </c>
      <c r="O8" s="31" t="s">
        <v>245</v>
      </c>
      <c r="P8" s="31" t="s">
        <v>246</v>
      </c>
      <c r="Q8" s="31" t="s">
        <v>247</v>
      </c>
      <c r="R8" s="31" t="s">
        <v>248</v>
      </c>
      <c r="S8" s="31" t="s">
        <v>249</v>
      </c>
      <c r="T8" s="31" t="s">
        <v>250</v>
      </c>
      <c r="U8" s="31" t="s">
        <v>251</v>
      </c>
      <c r="V8" s="814"/>
      <c r="W8" s="807"/>
      <c r="X8" s="841"/>
      <c r="Z8" s="360" t="e">
        <f>①基本情報!G10+①基本情報!H10</f>
        <v>#N/A</v>
      </c>
      <c r="AA8" s="31" t="s">
        <v>218</v>
      </c>
      <c r="AB8" s="31" t="s">
        <v>219</v>
      </c>
      <c r="AC8" s="31" t="s">
        <v>220</v>
      </c>
      <c r="AD8" s="31" t="s">
        <v>221</v>
      </c>
      <c r="AE8" s="31" t="s">
        <v>222</v>
      </c>
      <c r="AF8" s="31" t="s">
        <v>388</v>
      </c>
      <c r="AG8" s="31" t="s">
        <v>389</v>
      </c>
      <c r="AH8" s="31" t="s">
        <v>390</v>
      </c>
      <c r="AI8" s="31" t="s">
        <v>391</v>
      </c>
      <c r="AJ8" s="31" t="s">
        <v>392</v>
      </c>
      <c r="AK8" s="31" t="s">
        <v>393</v>
      </c>
      <c r="AL8" s="31" t="s">
        <v>394</v>
      </c>
      <c r="AM8" s="31" t="s">
        <v>395</v>
      </c>
      <c r="AN8" s="31" t="s">
        <v>396</v>
      </c>
      <c r="AO8" s="31" t="s">
        <v>397</v>
      </c>
      <c r="AP8" s="31" t="s">
        <v>398</v>
      </c>
      <c r="AQ8" s="31" t="s">
        <v>399</v>
      </c>
      <c r="AR8" s="31" t="s">
        <v>400</v>
      </c>
      <c r="AS8" s="24" t="s">
        <v>401</v>
      </c>
      <c r="AT8" s="806"/>
    </row>
    <row r="9" spans="1:52" s="34" customFormat="1" ht="37.5" customHeight="1">
      <c r="A9" s="164">
        <v>4</v>
      </c>
      <c r="B9" s="315">
        <f>'②-2勤務時間数入力'!AH7</f>
        <v>0</v>
      </c>
      <c r="C9" s="314">
        <f>COUNTIFS('②-1職員名簿'!$L$7:$L$106,"有",'②-1職員名簿'!AP$7:AP$106,"C",'②-2勤務時間数入力'!F$7:F$106,"正")</f>
        <v>0</v>
      </c>
      <c r="D9" s="314">
        <f>COUNTIFS('②-1職員名簿'!$L$7:$L$106,"有",'②-1職員名簿'!AP$7:AP$106,"C",'②-2勤務時間数入力'!$C$7:$C$106,"常勤的非常勤",'②-2勤務時間数入力'!R$7:R$106,"常")</f>
        <v>0</v>
      </c>
      <c r="E9" s="314">
        <f>SUMIFS('②-2勤務時間数入力'!R$7:R$106,'②-1職員名簿'!$L$7:$L$106,"有",'②-1職員名簿'!AP$7:AP$106,"C",'②-1職員名簿'!$C$7:$C$106,"パート")</f>
        <v>0</v>
      </c>
      <c r="F9" s="314">
        <f>COUNTIFS('②-1職員名簿'!$L$7:$L$106,"有",'②-1職員名簿'!AP$7:AP$106,"C",'②-2勤務時間数入力'!$C$7:$C$106,"嘱託常勤",'②-2勤務時間数入力'!R$7:R$106,"常")</f>
        <v>0</v>
      </c>
      <c r="G9" s="314">
        <f>SUMIFS('②-2勤務時間数入力'!R$7:R$106,'②-1職員名簿'!$L$7:$L$106,"有",'②-1職員名簿'!AP$7:AP$106,"C",'②-1職員名簿'!$C$7:$C$106,"嘱託等")</f>
        <v>0</v>
      </c>
      <c r="H9" s="314">
        <f>COUNTIFS('②-1職員名簿'!$M$7:$M$106,"有",'②-1職員名簿'!AP$7:AP$106,"C",'②-2勤務時間数入力'!F$7:F$106,"正",'②-1職員名簿'!$L$7:$L$106,"")</f>
        <v>0</v>
      </c>
      <c r="I9" s="314">
        <f>COUNTIFS('②-1職員名簿'!$M$7:$M$106,"有",'②-1職員名簿'!AP$7:AP$106,"C",'②-2勤務時間数入力'!$C$7:$C$106,"常勤的非常勤",'②-2勤務時間数入力'!R$7:R$106,"常",'②-1職員名簿'!$L$7:$L$106,"")</f>
        <v>0</v>
      </c>
      <c r="J9" s="314">
        <f>SUMIFS('②-2勤務時間数入力'!R$7:R$106,'②-1職員名簿'!$M$7:$M$106,"有",'②-1職員名簿'!AP$7:AP$106,"C",'②-1職員名簿'!$C$7:$C$106,"パート",'②-1職員名簿'!$L$7:$L$106,"")</f>
        <v>0</v>
      </c>
      <c r="K9" s="314">
        <f>COUNTIFS('②-1職員名簿'!$M$7:$M$106,"有",'②-1職員名簿'!AP$7:AP$106,"C",'②-2勤務時間数入力'!$C$7:$C$106,"嘱託常勤",'②-2勤務時間数入力'!R$7:R$106,"常",'②-1職員名簿'!$L$7:$L$106,"")</f>
        <v>0</v>
      </c>
      <c r="L9" s="314">
        <f>SUMIFS('②-2勤務時間数入力'!R$7:R$106,'②-1職員名簿'!$M$7:$M$106,"有",'②-1職員名簿'!AP$7:AP$106,"C",'②-1職員名簿'!$C$7:$C$106,"嘱託等",'②-1職員名簿'!$L$7:$L$106,"")</f>
        <v>0</v>
      </c>
      <c r="M9" s="314">
        <f>COUNTIFS('②-1職員名簿'!$N$7:$N$106,"有",'②-1職員名簿'!AP$7:AP$106,"C",'②-2勤務時間数入力'!F$7:F$106,"正",'②-1職員名簿'!$L$7:$L$106,"",'②-1職員名簿'!$M$7:$M$106,"")</f>
        <v>0</v>
      </c>
      <c r="N9" s="314">
        <f>COUNTIFS('②-1職員名簿'!$N$7:$N$106,"有",'②-1職員名簿'!AP$7:AP$106,"C",'②-2勤務時間数入力'!$C$7:$C$106,"常勤的非常勤",'②-2勤務時間数入力'!R$7:R$106,"常",'②-1職員名簿'!$L$7:$L$106,"",'②-1職員名簿'!$M$7:$M$106,"")</f>
        <v>0</v>
      </c>
      <c r="O9" s="314">
        <f>SUMIFS('②-2勤務時間数入力'!R$7:R$106,'②-1職員名簿'!$N$7:$N$106,"有",'②-1職員名簿'!AP$7:AP$106,"C",'②-1職員名簿'!$C$7:$C$106,"パート",'②-1職員名簿'!$L$7:$L$106,"",'②-1職員名簿'!$M$7:$M$106,"")</f>
        <v>0</v>
      </c>
      <c r="P9" s="314">
        <f>COUNTIFS('②-1職員名簿'!$N$7:$N$106,"有",'②-1職員名簿'!AP$7:AP$106,"C",'②-2勤務時間数入力'!$C$7:$C$106,"嘱託常勤",'②-2勤務時間数入力'!R$7:R$106,"常",'②-1職員名簿'!$L$7:$L$106,"",'②-1職員名簿'!$M$7:$M$106,"")</f>
        <v>0</v>
      </c>
      <c r="Q9" s="314">
        <f>SUMIFS('②-2勤務時間数入力'!R$7:R$106,'②-1職員名簿'!$N$7:$N$106,"有",'②-1職員名簿'!AP$7:AP$106,"C",'②-1職員名簿'!$C$7:$C$106,"嘱託等",'②-1職員名簿'!$L$7:$L$106,"",'②-1職員名簿'!$M$7:$M$106,"")</f>
        <v>0</v>
      </c>
      <c r="R9" s="316">
        <f>COUNTIFS('②-1職員名簿'!$W$7:$W$106,"園長",'②-1職員名簿'!AP$7:AP$106,"C")</f>
        <v>0</v>
      </c>
      <c r="S9" s="317">
        <f t="shared" ref="S9:S20" si="0">C9+H9+M9-R9</f>
        <v>0</v>
      </c>
      <c r="T9" s="318">
        <f t="shared" ref="T9:T20" si="1">D9+F9+I9+K9+N9+P9</f>
        <v>0</v>
      </c>
      <c r="U9" s="319" t="e">
        <f t="shared" ref="U9:U20" si="2">ROUNDDOWN((E9+G9+J9+L9+O9+Q9)/B9,3)</f>
        <v>#DIV/0!</v>
      </c>
      <c r="V9" s="319" t="e">
        <f t="shared" ref="V9:V20" si="3">+S9+T9+U9</f>
        <v>#DIV/0!</v>
      </c>
      <c r="W9" s="513" t="e">
        <f>MIN(V9,1)</f>
        <v>#DIV/0!</v>
      </c>
      <c r="X9" s="319" t="e">
        <f>MIN(1,V9-W9)</f>
        <v>#DIV/0!</v>
      </c>
      <c r="Y9" s="320"/>
      <c r="Z9" s="321" t="e">
        <f>IF($Z$8&gt;=151,3,IF($Z$8&gt;=41,2,1))</f>
        <v>#N/A</v>
      </c>
      <c r="AA9" s="316">
        <f>COUNTIFS('②-1職員名簿'!AP$7:AP$106,"D",'②-2勤務時間数入力'!F$7:F$106,"正")</f>
        <v>0</v>
      </c>
      <c r="AB9" s="314">
        <f>COUNTIFS('②-1職員名簿'!AP$7:AP$106,"D",'②-2勤務時間数入力'!$C$7:$C$106,"常勤的非常勤",'②-2勤務時間数入力'!R$7:R$106,"常")</f>
        <v>0</v>
      </c>
      <c r="AC9" s="314">
        <f>SUMIFS('②-2勤務時間数入力'!R$7:R$106,'②-1職員名簿'!AP$7:AP$106,"D",'②-1職員名簿'!$C$7:$C$106,"パート")</f>
        <v>0</v>
      </c>
      <c r="AD9" s="314">
        <f>COUNTIFS('②-1職員名簿'!AP$7:AP$106,"D",'②-2勤務時間数入力'!$C$7:$C$106,"嘱託常勤",'②-2勤務時間数入力'!R$7:R$106,"常")</f>
        <v>0</v>
      </c>
      <c r="AE9" s="314">
        <f>SUMIFS('②-2勤務時間数入力'!R$7:R$106,'②-1職員名簿'!AP$7:AP$106,"D",'②-1職員名簿'!$C$7:$C$106,"嘱託等")</f>
        <v>0</v>
      </c>
      <c r="AF9" s="316">
        <f>COUNTIFS('②-1職員名簿'!$P$7:$P$106,"有",'②-1職員名簿'!AP$7:AP$106,"E",'②-2勤務時間数入力'!F$7:F$106,"正",'②-1職員名簿'!$O$7:$O$106,"")</f>
        <v>0</v>
      </c>
      <c r="AG9" s="314">
        <f>COUNTIFS('②-1職員名簿'!$P$7:$P$106,"有",'②-1職員名簿'!AP$7:AP$106,"E",'②-2勤務時間数入力'!$C$7:$C$106,"常勤的非常勤",'②-2勤務時間数入力'!R$7:R$106,"常",'②-1職員名簿'!$O$7:$O$106,"")</f>
        <v>0</v>
      </c>
      <c r="AH9" s="314">
        <f>SUMIFS('②-2勤務時間数入力'!R$7:R$106,'②-1職員名簿'!AP$7:AP$106,"E",'②-1職員名簿'!$P$7:$P$106,"有",'②-1職員名簿'!$C$7:$C$106,"パート",'②-1職員名簿'!$O$7:$O$106,"")</f>
        <v>0</v>
      </c>
      <c r="AI9" s="314">
        <f>COUNTIFS('②-1職員名簿'!$P$7:$P$106,"有",'②-1職員名簿'!AP$7:AP$106,"E",'②-2勤務時間数入力'!$C$7:$C$106,"嘱託常勤",'②-2勤務時間数入力'!R$7:R$106,"常",'②-1職員名簿'!$O$7:$O$106,"")</f>
        <v>0</v>
      </c>
      <c r="AJ9" s="314">
        <f>SUMIFS('②-2勤務時間数入力'!R$7:R$106,'②-1職員名簿'!AP$7:AP$106,"E",'②-1職員名簿'!$P$7:$P$106,"有",'②-1職員名簿'!$C$7:$C$106,"嘱託等",'②-1職員名簿'!$O$7:$O$106,"")</f>
        <v>0</v>
      </c>
      <c r="AK9" s="322">
        <f>COUNTIFS('②-1職員名簿'!AP$7:AP$106,"E",'②-2勤務時間数入力'!F$7:F$106,"正",'②-1職員名簿'!$P$7:$P$106,"")</f>
        <v>0</v>
      </c>
      <c r="AL9" s="323">
        <f>COUNTIFS('②-1職員名簿'!AP$7:AP$106,"E",'②-2勤務時間数入力'!$C$7:$C$106,"常勤的非常勤",'②-2勤務時間数入力'!R$7:R$106,"常",'②-1職員名簿'!$P$7:$P$106,"")</f>
        <v>0</v>
      </c>
      <c r="AM9" s="323">
        <f>SUMIFS('②-2勤務時間数入力'!R$7:R$106,'②-1職員名簿'!AP$7:AP$106,"E",'②-1職員名簿'!$C$7:$C$106,"パート",'②-1職員名簿'!$P$7:$P$106,"")</f>
        <v>0</v>
      </c>
      <c r="AN9" s="323">
        <f>COUNTIFS('②-1職員名簿'!AP$7:AP$106,"E",'②-2勤務時間数入力'!$C$7:$C$106,"嘱託常勤",'②-2勤務時間数入力'!R$7:R$106,"常",'②-1職員名簿'!$P$7:$P$106,"")</f>
        <v>0</v>
      </c>
      <c r="AO9" s="323">
        <f>SUMIFS('②-2勤務時間数入力'!R$7:R$106,'②-1職員名簿'!AP$7:AP$106,"E",'②-1職員名簿'!$C$7:$C$106,"嘱託等",'②-1職員名簿'!$P$7:$P$106,"")</f>
        <v>0</v>
      </c>
      <c r="AP9" s="251">
        <f>AU9+AV9</f>
        <v>0</v>
      </c>
      <c r="AQ9" s="251">
        <f>AA9+AF9+AK9-AP9</f>
        <v>0</v>
      </c>
      <c r="AR9" s="251">
        <f t="shared" ref="AR9:AR20" si="4">+AB9+AD9+AG9+AI9+AL9+AN9</f>
        <v>0</v>
      </c>
      <c r="AS9" s="597" t="e">
        <f t="shared" ref="AS9:AS20" si="5">ROUNDDOWN((AC9+AE9+AH9+AJ9+AM9+AO9)/B9,3)</f>
        <v>#DIV/0!</v>
      </c>
      <c r="AT9" s="598" t="e">
        <f>+AQ9+AR9+AS9</f>
        <v>#DIV/0!</v>
      </c>
      <c r="AU9" s="307">
        <f>COUNTIFS('②-1職員名簿'!$W$7:$W$106,"園長",'②-1職員名簿'!AP$7:AP$106,"D")</f>
        <v>0</v>
      </c>
      <c r="AV9" s="307">
        <f>COUNTIFS('②-1職員名簿'!$W$7:$W$106,"園長",'②-1職員名簿'!$P$7:$P$106,"有",'②-1職員名簿'!AP$7:AP$106,"E")</f>
        <v>0</v>
      </c>
      <c r="AW9" s="252" t="e">
        <f t="shared" ref="AW9:AW20" si="6">SUM(AA9:AB9,AD9,ROUNDDOWN((AC9+AE9)/B9,3))-AU9</f>
        <v>#DIV/0!</v>
      </c>
      <c r="AX9" s="252" t="e">
        <f t="shared" ref="AX9:AX20" si="7">SUM(AF9:AG9,AK9:AL9,AI9,AN9,ROUNDDOWN(SUM(AH9,AJ9,AM9,AO9)/B9,3))-AV9</f>
        <v>#DIV/0!</v>
      </c>
      <c r="AY9" s="252" t="e">
        <f t="shared" ref="AY9:AY20" si="8">IF(AND($Z9&gt;0,$AT9&gt;$Z9),MAX(AW9-Z9,0),0)</f>
        <v>#N/A</v>
      </c>
      <c r="AZ9" s="253" t="e">
        <f>IF(AND($Z9&gt;0,$AT9&gt;$Z9),AT9-Z9-AY9,0)</f>
        <v>#N/A</v>
      </c>
    </row>
    <row r="10" spans="1:52" s="34" customFormat="1" ht="36" customHeight="1">
      <c r="A10" s="282">
        <v>5</v>
      </c>
      <c r="B10" s="315">
        <f>'②-2勤務時間数入力'!AH8</f>
        <v>0</v>
      </c>
      <c r="C10" s="314">
        <f>COUNTIFS('②-1職員名簿'!$L$7:$L$106,"有",'②-1職員名簿'!AD$7:AD$106,"○",'②-2勤務時間数入力'!G$7:G$106,"正")</f>
        <v>0</v>
      </c>
      <c r="D10" s="314">
        <f>COUNTIFS('②-1職員名簿'!$L$7:$L$106,"有",'②-2勤務時間数入力'!$C$7:$C$106,"常勤的非常勤",'②-2勤務時間数入力'!S$7:S$106,"常")</f>
        <v>0</v>
      </c>
      <c r="E10" s="314">
        <f>SUMIFS('②-2勤務時間数入力'!S$7:S$106,'②-1職員名簿'!$L$7:$L$106,"有",'②-1職員名簿'!$C$7:$C$106,"パート")</f>
        <v>0</v>
      </c>
      <c r="F10" s="314">
        <f>COUNTIFS('②-1職員名簿'!$L$7:$L$106,"有",'②-2勤務時間数入力'!$C$7:$C$106,"嘱託常勤",'②-2勤務時間数入力'!S$7:S$106,"常")</f>
        <v>0</v>
      </c>
      <c r="G10" s="314">
        <f>SUMIFS('②-2勤務時間数入力'!S$7:S$106,'②-1職員名簿'!$L$7:$L$106,"有",'②-1職員名簿'!$C$7:$C$106,"嘱託等")</f>
        <v>0</v>
      </c>
      <c r="H10" s="314">
        <f>COUNTIFS('②-1職員名簿'!$M$7:$M$106,"有",'②-1職員名簿'!AQ$7:AQ$106,"C",'②-2勤務時間数入力'!G$7:G$106,"正",'②-1職員名簿'!$L$7:$L$106,"")</f>
        <v>0</v>
      </c>
      <c r="I10" s="314">
        <f>COUNTIFS('②-1職員名簿'!$M$7:$M$106,"有",'②-1職員名簿'!AQ$7:AQ$106,"C",'②-2勤務時間数入力'!$C$7:$C$106,"常勤的非常勤",'②-2勤務時間数入力'!S$7:S$106,"常",'②-1職員名簿'!$L$7:$L$106,"")</f>
        <v>0</v>
      </c>
      <c r="J10" s="314">
        <f>SUMIFS('②-2勤務時間数入力'!S$7:S$106,'②-1職員名簿'!$M$7:$M$106,"有",'②-1職員名簿'!AQ$7:AQ$106,"C",'②-1職員名簿'!$C$7:$C$106,"パート",'②-1職員名簿'!$L$7:$L$106,"")</f>
        <v>0</v>
      </c>
      <c r="K10" s="314">
        <f>COUNTIFS('②-1職員名簿'!$M$7:$M$106,"有",'②-1職員名簿'!AQ$7:AQ$106,"C",'②-2勤務時間数入力'!$C$7:$C$106,"嘱託常勤",'②-2勤務時間数入力'!S$7:S$106,"常",'②-1職員名簿'!$L$7:$L$106,"")</f>
        <v>0</v>
      </c>
      <c r="L10" s="314">
        <f>SUMIFS('②-2勤務時間数入力'!S$7:S$106,'②-1職員名簿'!$M$7:$M$106,"有",'②-1職員名簿'!AQ$7:AQ$106,"C",'②-1職員名簿'!$C$7:$C$106,"嘱託等",'②-1職員名簿'!$L$7:$L$106,"")</f>
        <v>0</v>
      </c>
      <c r="M10" s="314">
        <f>COUNTIFS('②-1職員名簿'!$N$7:$N$106,"有",'②-1職員名簿'!AQ$7:AQ$106,"C",'②-2勤務時間数入力'!G$7:G$106,"正",'②-1職員名簿'!$L$7:$L$106,"",'②-1職員名簿'!$M$7:$M$106,"")</f>
        <v>0</v>
      </c>
      <c r="N10" s="314">
        <f>COUNTIFS('②-1職員名簿'!$N$7:$N$106,"有",'②-1職員名簿'!AQ$7:AQ$106,"C",'②-2勤務時間数入力'!$C$7:$C$106,"常勤的非常勤",'②-2勤務時間数入力'!S$7:S$106,"常",'②-1職員名簿'!$L$7:$L$106,"",'②-1職員名簿'!$M$7:$M$106,"")</f>
        <v>0</v>
      </c>
      <c r="O10" s="314">
        <f>SUMIFS('②-2勤務時間数入力'!S$7:S$106,'②-1職員名簿'!$N$7:$N$106,"有",'②-1職員名簿'!AQ$7:AQ$106,"C",'②-1職員名簿'!$C$7:$C$106,"パート",'②-1職員名簿'!$L$7:$L$106,"",'②-1職員名簿'!$M$7:$M$106,"")</f>
        <v>0</v>
      </c>
      <c r="P10" s="314">
        <f>COUNTIFS('②-1職員名簿'!$N$7:$N$106,"有",'②-1職員名簿'!AQ$7:AQ$106,"C",'②-2勤務時間数入力'!$C$7:$C$106,"嘱託常勤",'②-2勤務時間数入力'!S$7:S$106,"常",'②-1職員名簿'!$L$7:$L$106,"",'②-1職員名簿'!$M$7:$M$106,"")</f>
        <v>0</v>
      </c>
      <c r="Q10" s="314">
        <f>SUMIFS('②-2勤務時間数入力'!S$7:S$106,'②-1職員名簿'!$N$7:$N$106,"有",'②-1職員名簿'!AQ$7:AQ$106,"C",'②-1職員名簿'!$C$7:$C$106,"嘱託等",'②-1職員名簿'!$L$7:$L$106,"",'②-1職員名簿'!$M$7:$M$106,"")</f>
        <v>0</v>
      </c>
      <c r="R10" s="316">
        <f>COUNTIFS('②-1職員名簿'!$W$7:$W$106,"園長",'②-1職員名簿'!AQ$7:AQ$106,"C")</f>
        <v>0</v>
      </c>
      <c r="S10" s="317">
        <f t="shared" si="0"/>
        <v>0</v>
      </c>
      <c r="T10" s="318">
        <f t="shared" si="1"/>
        <v>0</v>
      </c>
      <c r="U10" s="319" t="e">
        <f t="shared" si="2"/>
        <v>#DIV/0!</v>
      </c>
      <c r="V10" s="319" t="e">
        <f t="shared" si="3"/>
        <v>#DIV/0!</v>
      </c>
      <c r="W10" s="513" t="e">
        <f t="shared" ref="W10:W20" si="9">MIN(V10,1)</f>
        <v>#DIV/0!</v>
      </c>
      <c r="X10" s="319" t="e">
        <f t="shared" ref="X10:X20" si="10">MIN(1,V10-W10)</f>
        <v>#DIV/0!</v>
      </c>
      <c r="Y10" s="320"/>
      <c r="Z10" s="321" t="e">
        <f t="shared" ref="Z10:Z20" si="11">IF($Z$8&gt;=151,3,IF($Z$8&gt;=41,2,1))</f>
        <v>#N/A</v>
      </c>
      <c r="AA10" s="316">
        <f>COUNTIFS('②-1職員名簿'!AQ$7:AQ$106,"D",'②-2勤務時間数入力'!G$7:G$106,"正")</f>
        <v>0</v>
      </c>
      <c r="AB10" s="314">
        <f>COUNTIFS('②-1職員名簿'!AQ$7:AQ$106,"D",'②-2勤務時間数入力'!$C$7:$C$106,"常勤的非常勤",'②-2勤務時間数入力'!S$7:S$106,"常")</f>
        <v>0</v>
      </c>
      <c r="AC10" s="314">
        <f>SUMIFS('②-2勤務時間数入力'!S$7:S$106,'②-1職員名簿'!AQ$7:AQ$106,"D",'②-1職員名簿'!$C$7:$C$106,"パート")</f>
        <v>0</v>
      </c>
      <c r="AD10" s="314">
        <f>COUNTIFS('②-1職員名簿'!AQ$7:AQ$106,"D",'②-2勤務時間数入力'!$C$7:$C$106,"嘱託常勤",'②-2勤務時間数入力'!S$7:S$106,"常")</f>
        <v>0</v>
      </c>
      <c r="AE10" s="314">
        <f>SUMIFS('②-2勤務時間数入力'!S$7:S$106,'②-1職員名簿'!AQ$7:AQ$106,"D",'②-1職員名簿'!$C$7:$C$106,"嘱託等")</f>
        <v>0</v>
      </c>
      <c r="AF10" s="316">
        <f>COUNTIFS('②-1職員名簿'!$P$7:$P$106,"有",'②-1職員名簿'!AQ$7:AQ$106,"E",'②-2勤務時間数入力'!G$7:G$106,"正",'②-1職員名簿'!$O$7:$O$106,"")</f>
        <v>0</v>
      </c>
      <c r="AG10" s="314">
        <f>COUNTIFS('②-1職員名簿'!$P$7:$P$106,"有",'②-1職員名簿'!AQ$7:AQ$106,"E",'②-2勤務時間数入力'!$C$7:$C$106,"常勤的非常勤",'②-2勤務時間数入力'!S$7:S$106,"常",'②-1職員名簿'!$O$7:$O$106,"")</f>
        <v>0</v>
      </c>
      <c r="AH10" s="314">
        <f>SUMIFS('②-2勤務時間数入力'!S$7:S$106,'②-1職員名簿'!AQ$7:AQ$106,"E",'②-1職員名簿'!$P$7:$P$106,"有",'②-1職員名簿'!$C$7:$C$106,"パート",'②-1職員名簿'!$O$7:$O$106,"")</f>
        <v>0</v>
      </c>
      <c r="AI10" s="314">
        <f>COUNTIFS('②-1職員名簿'!$P$7:$P$106,"有",'②-1職員名簿'!AQ$7:AQ$106,"E",'②-2勤務時間数入力'!$C$7:$C$106,"嘱託常勤",'②-2勤務時間数入力'!S$7:S$106,"常",'②-1職員名簿'!$O$7:$O$106,"")</f>
        <v>0</v>
      </c>
      <c r="AJ10" s="314">
        <f>SUMIFS('②-2勤務時間数入力'!S$7:S$106,'②-1職員名簿'!AQ$7:AQ$106,"E",'②-1職員名簿'!$P$7:$P$106,"有",'②-1職員名簿'!$C$7:$C$106,"嘱託等",'②-1職員名簿'!$O$7:$O$106,"")</f>
        <v>0</v>
      </c>
      <c r="AK10" s="322">
        <f>COUNTIFS('②-1職員名簿'!AQ$7:AQ$106,"E",'②-2勤務時間数入力'!G$7:G$106,"正",'②-1職員名簿'!$P$7:$P$106,"")</f>
        <v>0</v>
      </c>
      <c r="AL10" s="323">
        <f>COUNTIFS('②-1職員名簿'!AQ$7:AQ$106,"E",'②-2勤務時間数入力'!$C$7:$C$106,"常勤的非常勤",'②-2勤務時間数入力'!S$7:S$106,"常",'②-1職員名簿'!$P$7:$P$106,"")</f>
        <v>0</v>
      </c>
      <c r="AM10" s="323">
        <f>SUMIFS('②-2勤務時間数入力'!S$7:S$106,'②-1職員名簿'!AQ$7:AQ$106,"E",'②-1職員名簿'!$C$7:$C$106,"パート",'②-1職員名簿'!$P$7:$P$106,"")</f>
        <v>0</v>
      </c>
      <c r="AN10" s="323">
        <f>COUNTIFS('②-1職員名簿'!AQ$7:AQ$106,"E",'②-2勤務時間数入力'!$C$7:$C$106,"嘱託常勤",'②-2勤務時間数入力'!S$7:S$106,"常",'②-1職員名簿'!$P$7:$P$106,"")</f>
        <v>0</v>
      </c>
      <c r="AO10" s="323">
        <f>SUMIFS('②-2勤務時間数入力'!S$7:S$106,'②-1職員名簿'!AQ$7:AQ$106,"E",'②-1職員名簿'!$C$7:$C$106,"嘱託等",'②-1職員名簿'!$P$7:$P$106,"")</f>
        <v>0</v>
      </c>
      <c r="AP10" s="251">
        <f t="shared" ref="AP10:AP20" si="12">AU10+AV10</f>
        <v>0</v>
      </c>
      <c r="AQ10" s="251">
        <f>AA10+AF10+AK10-AP10</f>
        <v>0</v>
      </c>
      <c r="AR10" s="251">
        <f t="shared" si="4"/>
        <v>0</v>
      </c>
      <c r="AS10" s="597" t="e">
        <f t="shared" si="5"/>
        <v>#DIV/0!</v>
      </c>
      <c r="AT10" s="598" t="e">
        <f t="shared" ref="AT10:AT20" si="13">+AQ10+AR10+AS10</f>
        <v>#DIV/0!</v>
      </c>
      <c r="AU10" s="308">
        <f>COUNTIFS('②-1職員名簿'!$W$7:$W$106,"園長",'②-1職員名簿'!AQ$7:AQ$106,"D")</f>
        <v>0</v>
      </c>
      <c r="AV10" s="309">
        <f>COUNTIFS('②-1職員名簿'!$W$7:$W$106,"園長",'②-1職員名簿'!$P$7:$P$106,"有",'②-1職員名簿'!AQ$7:AQ$106,"E")</f>
        <v>0</v>
      </c>
      <c r="AW10" s="252" t="e">
        <f t="shared" si="6"/>
        <v>#DIV/0!</v>
      </c>
      <c r="AX10" s="252" t="e">
        <f t="shared" si="7"/>
        <v>#DIV/0!</v>
      </c>
      <c r="AY10" s="252" t="e">
        <f t="shared" si="8"/>
        <v>#N/A</v>
      </c>
      <c r="AZ10" s="253" t="e">
        <f t="shared" ref="AZ10:AZ20" si="14">IF(AND($Z10&gt;0,$AT10&gt;$Z10),AT10-Z10-AY10,0)</f>
        <v>#N/A</v>
      </c>
    </row>
    <row r="11" spans="1:52" s="34" customFormat="1" ht="36" customHeight="1">
      <c r="A11" s="282">
        <v>6</v>
      </c>
      <c r="B11" s="315">
        <f>'②-2勤務時間数入力'!AH9</f>
        <v>0</v>
      </c>
      <c r="C11" s="314">
        <f>COUNTIFS('②-1職員名簿'!$L$7:$L$106,"有",'②-1職員名簿'!AE$7:AE$106,"○",'②-2勤務時間数入力'!H$7:H$106,"正")</f>
        <v>0</v>
      </c>
      <c r="D11" s="314">
        <f>COUNTIFS('②-1職員名簿'!$L$7:$L$106,"有",'②-2勤務時間数入力'!$C$7:$C$106,"常勤的非常勤",'②-2勤務時間数入力'!T$7:T$106,"常")</f>
        <v>0</v>
      </c>
      <c r="E11" s="314">
        <f>SUMIFS('②-2勤務時間数入力'!T$7:T$106,'②-1職員名簿'!$L$7:$L$106,"有",'②-1職員名簿'!$C$7:$C$106,"パート")</f>
        <v>0</v>
      </c>
      <c r="F11" s="314">
        <f>COUNTIFS('②-1職員名簿'!$L$7:$L$106,"有",'②-2勤務時間数入力'!$C$7:$C$106,"嘱託常勤",'②-2勤務時間数入力'!T$7:T$106,"常")</f>
        <v>0</v>
      </c>
      <c r="G11" s="314">
        <f>SUMIFS('②-2勤務時間数入力'!T$7:T$106,'②-1職員名簿'!$L$7:$L$106,"有",'②-1職員名簿'!$C$7:$C$106,"嘱託等")</f>
        <v>0</v>
      </c>
      <c r="H11" s="314">
        <f>COUNTIFS('②-1職員名簿'!$M$7:$M$106,"有",'②-1職員名簿'!AR$7:AR$106,"C",'②-2勤務時間数入力'!H$7:H$106,"正",'②-1職員名簿'!$L$7:$L$106,"")</f>
        <v>0</v>
      </c>
      <c r="I11" s="314">
        <f>COUNTIFS('②-1職員名簿'!$M$7:$M$106,"有",'②-1職員名簿'!AR$7:AR$106,"C",'②-2勤務時間数入力'!$C$7:$C$106,"常勤的非常勤",'②-2勤務時間数入力'!T$7:T$106,"常",'②-1職員名簿'!$L$7:$L$106,"")</f>
        <v>0</v>
      </c>
      <c r="J11" s="314">
        <f>SUMIFS('②-2勤務時間数入力'!T$7:T$106,'②-1職員名簿'!$M$7:$M$106,"有",'②-1職員名簿'!AR$7:AR$106,"C",'②-1職員名簿'!$C$7:$C$106,"パート",'②-1職員名簿'!$L$7:$L$106,"")</f>
        <v>0</v>
      </c>
      <c r="K11" s="314">
        <f>COUNTIFS('②-1職員名簿'!$M$7:$M$106,"有",'②-1職員名簿'!AR$7:AR$106,"C",'②-2勤務時間数入力'!$C$7:$C$106,"嘱託常勤",'②-2勤務時間数入力'!T$7:T$106,"常",'②-1職員名簿'!$L$7:$L$106,"")</f>
        <v>0</v>
      </c>
      <c r="L11" s="314">
        <f>SUMIFS('②-2勤務時間数入力'!T$7:T$106,'②-1職員名簿'!$M$7:$M$106,"有",'②-1職員名簿'!AR$7:AR$106,"C",'②-1職員名簿'!$C$7:$C$106,"嘱託等",'②-1職員名簿'!$L$7:$L$106,"")</f>
        <v>0</v>
      </c>
      <c r="M11" s="314">
        <f>COUNTIFS('②-1職員名簿'!$N$7:$N$106,"有",'②-1職員名簿'!AR$7:AR$106,"C",'②-2勤務時間数入力'!H$7:H$106,"正",'②-1職員名簿'!$L$7:$L$106,"",'②-1職員名簿'!$M$7:$M$106,"")</f>
        <v>0</v>
      </c>
      <c r="N11" s="314">
        <f>COUNTIFS('②-1職員名簿'!$N$7:$N$106,"有",'②-1職員名簿'!AR$7:AR$106,"C",'②-2勤務時間数入力'!$C$7:$C$106,"常勤的非常勤",'②-2勤務時間数入力'!T$7:T$106,"常",'②-1職員名簿'!$L$7:$L$106,"",'②-1職員名簿'!$M$7:$M$106,"")</f>
        <v>0</v>
      </c>
      <c r="O11" s="314">
        <f>SUMIFS('②-2勤務時間数入力'!T$7:T$106,'②-1職員名簿'!$N$7:$N$106,"有",'②-1職員名簿'!AR$7:AR$106,"C",'②-1職員名簿'!$C$7:$C$106,"パート",'②-1職員名簿'!$L$7:$L$106,"",'②-1職員名簿'!$M$7:$M$106,"")</f>
        <v>0</v>
      </c>
      <c r="P11" s="314">
        <f>COUNTIFS('②-1職員名簿'!$N$7:$N$106,"有",'②-1職員名簿'!AR$7:AR$106,"C",'②-2勤務時間数入力'!$C$7:$C$106,"嘱託常勤",'②-2勤務時間数入力'!T$7:T$106,"常",'②-1職員名簿'!$L$7:$L$106,"",'②-1職員名簿'!$M$7:$M$106,"")</f>
        <v>0</v>
      </c>
      <c r="Q11" s="314">
        <f>SUMIFS('②-2勤務時間数入力'!T$7:T$106,'②-1職員名簿'!$N$7:$N$106,"有",'②-1職員名簿'!AR$7:AR$106,"C",'②-1職員名簿'!$C$7:$C$106,"嘱託等",'②-1職員名簿'!$L$7:$L$106,"",'②-1職員名簿'!$M$7:$M$106,"")</f>
        <v>0</v>
      </c>
      <c r="R11" s="316">
        <f>COUNTIFS('②-1職員名簿'!$W$7:$W$106,"園長",'②-1職員名簿'!AR$7:AR$106,"C")</f>
        <v>0</v>
      </c>
      <c r="S11" s="317">
        <f t="shared" si="0"/>
        <v>0</v>
      </c>
      <c r="T11" s="318">
        <f t="shared" si="1"/>
        <v>0</v>
      </c>
      <c r="U11" s="319" t="e">
        <f t="shared" si="2"/>
        <v>#DIV/0!</v>
      </c>
      <c r="V11" s="319" t="e">
        <f t="shared" si="3"/>
        <v>#DIV/0!</v>
      </c>
      <c r="W11" s="513" t="e">
        <f t="shared" si="9"/>
        <v>#DIV/0!</v>
      </c>
      <c r="X11" s="319" t="e">
        <f t="shared" si="10"/>
        <v>#DIV/0!</v>
      </c>
      <c r="Y11" s="320"/>
      <c r="Z11" s="321" t="e">
        <f t="shared" si="11"/>
        <v>#N/A</v>
      </c>
      <c r="AA11" s="316">
        <f>COUNTIFS('②-1職員名簿'!AR$7:AR$106,"D",'②-2勤務時間数入力'!H$7:H$106,"正")</f>
        <v>0</v>
      </c>
      <c r="AB11" s="314">
        <f>COUNTIFS('②-1職員名簿'!AR$7:AR$106,"D",'②-2勤務時間数入力'!$C$7:$C$106,"常勤的非常勤",'②-2勤務時間数入力'!T$7:T$106,"常")</f>
        <v>0</v>
      </c>
      <c r="AC11" s="314">
        <f>SUMIFS('②-2勤務時間数入力'!T$7:T$106,'②-1職員名簿'!AR$7:AR$106,"D",'②-1職員名簿'!$C$7:$C$106,"パート")</f>
        <v>0</v>
      </c>
      <c r="AD11" s="314">
        <f>COUNTIFS('②-1職員名簿'!AR$7:AR$106,"D",'②-2勤務時間数入力'!$C$7:$C$106,"嘱託常勤",'②-2勤務時間数入力'!T$7:T$106,"常")</f>
        <v>0</v>
      </c>
      <c r="AE11" s="314">
        <f>SUMIFS('②-2勤務時間数入力'!T$7:T$106,'②-1職員名簿'!AR$7:AR$106,"D",'②-1職員名簿'!$C$7:$C$106,"嘱託等")</f>
        <v>0</v>
      </c>
      <c r="AF11" s="316">
        <f>COUNTIFS('②-1職員名簿'!$P$7:$P$106,"有",'②-1職員名簿'!AR$7:AR$106,"E",'②-2勤務時間数入力'!H$7:H$106,"正",'②-1職員名簿'!$O$7:$O$106,"")</f>
        <v>0</v>
      </c>
      <c r="AG11" s="314">
        <f>COUNTIFS('②-1職員名簿'!$P$7:$P$106,"有",'②-1職員名簿'!AR$7:AR$106,"E",'②-2勤務時間数入力'!$C$7:$C$106,"常勤的非常勤",'②-2勤務時間数入力'!T$7:T$106,"常",'②-1職員名簿'!$O$7:$O$106,"")</f>
        <v>0</v>
      </c>
      <c r="AH11" s="314">
        <f>SUMIFS('②-2勤務時間数入力'!T$7:T$106,'②-1職員名簿'!AR$7:AR$106,"E",'②-1職員名簿'!$P$7:$P$106,"有",'②-1職員名簿'!$C$7:$C$106,"パート",'②-1職員名簿'!$O$7:$O$106,"")</f>
        <v>0</v>
      </c>
      <c r="AI11" s="314">
        <f>COUNTIFS('②-1職員名簿'!$P$7:$P$106,"有",'②-1職員名簿'!AR$7:AR$106,"E",'②-2勤務時間数入力'!$C$7:$C$106,"嘱託常勤",'②-2勤務時間数入力'!T$7:T$106,"常",'②-1職員名簿'!$O$7:$O$106,"")</f>
        <v>0</v>
      </c>
      <c r="AJ11" s="314">
        <f>SUMIFS('②-2勤務時間数入力'!T$7:T$106,'②-1職員名簿'!AR$7:AR$106,"E",'②-1職員名簿'!$P$7:$P$106,"有",'②-1職員名簿'!$C$7:$C$106,"嘱託等",'②-1職員名簿'!$O$7:$O$106,"")</f>
        <v>0</v>
      </c>
      <c r="AK11" s="322">
        <f>COUNTIFS('②-1職員名簿'!AR$7:AR$106,"E",'②-2勤務時間数入力'!H$7:H$106,"正",'②-1職員名簿'!$P$7:$P$106,"")</f>
        <v>0</v>
      </c>
      <c r="AL11" s="323">
        <f>COUNTIFS('②-1職員名簿'!AR$7:AR$106,"E",'②-2勤務時間数入力'!$C$7:$C$106,"常勤的非常勤",'②-2勤務時間数入力'!T$7:T$106,"常",'②-1職員名簿'!$P$7:$P$106,"")</f>
        <v>0</v>
      </c>
      <c r="AM11" s="323">
        <f>SUMIFS('②-2勤務時間数入力'!T$7:T$106,'②-1職員名簿'!AR$7:AR$106,"E",'②-1職員名簿'!$C$7:$C$106,"パート",'②-1職員名簿'!$P$7:$P$106,"")</f>
        <v>0</v>
      </c>
      <c r="AN11" s="323">
        <f>COUNTIFS('②-1職員名簿'!AR$7:AR$106,"E",'②-2勤務時間数入力'!$C$7:$C$106,"嘱託常勤",'②-2勤務時間数入力'!T$7:T$106,"常",'②-1職員名簿'!$P$7:$P$106,"")</f>
        <v>0</v>
      </c>
      <c r="AO11" s="323">
        <f>SUMIFS('②-2勤務時間数入力'!T$7:T$106,'②-1職員名簿'!AR$7:AR$106,"E",'②-1職員名簿'!$C$7:$C$106,"嘱託等",'②-1職員名簿'!$P$7:$P$106,"")</f>
        <v>0</v>
      </c>
      <c r="AP11" s="251">
        <f t="shared" si="12"/>
        <v>0</v>
      </c>
      <c r="AQ11" s="251">
        <f>AA11+AF11+AK11-AP11</f>
        <v>0</v>
      </c>
      <c r="AR11" s="251">
        <f t="shared" si="4"/>
        <v>0</v>
      </c>
      <c r="AS11" s="597" t="e">
        <f t="shared" si="5"/>
        <v>#DIV/0!</v>
      </c>
      <c r="AT11" s="598" t="e">
        <f t="shared" si="13"/>
        <v>#DIV/0!</v>
      </c>
      <c r="AU11" s="308">
        <f>COUNTIFS('②-1職員名簿'!$W$7:$W$106,"園長",'②-1職員名簿'!AR$7:AR$106,"D")</f>
        <v>0</v>
      </c>
      <c r="AV11" s="309">
        <f>COUNTIFS('②-1職員名簿'!$W$7:$W$106,"園長",'②-1職員名簿'!$P$7:$P$106,"有",'②-1職員名簿'!AR$7:AR$106,"E")</f>
        <v>0</v>
      </c>
      <c r="AW11" s="252" t="e">
        <f t="shared" si="6"/>
        <v>#DIV/0!</v>
      </c>
      <c r="AX11" s="252" t="e">
        <f t="shared" si="7"/>
        <v>#DIV/0!</v>
      </c>
      <c r="AY11" s="252" t="e">
        <f t="shared" si="8"/>
        <v>#N/A</v>
      </c>
      <c r="AZ11" s="253" t="e">
        <f t="shared" si="14"/>
        <v>#N/A</v>
      </c>
    </row>
    <row r="12" spans="1:52" s="34" customFormat="1" ht="36" customHeight="1">
      <c r="A12" s="282">
        <v>7</v>
      </c>
      <c r="B12" s="315">
        <f>'②-2勤務時間数入力'!AH10</f>
        <v>0</v>
      </c>
      <c r="C12" s="314">
        <f>COUNTIFS('②-1職員名簿'!$L$7:$L$106,"有",'②-1職員名簿'!AF$7:AF$106,"○",'②-2勤務時間数入力'!I$7:I$106,"正")</f>
        <v>0</v>
      </c>
      <c r="D12" s="314">
        <f>COUNTIFS('②-1職員名簿'!$L$7:$L$106,"有",'②-2勤務時間数入力'!$C$7:$C$106,"常勤的非常勤",'②-2勤務時間数入力'!U$7:U$106,"常")</f>
        <v>0</v>
      </c>
      <c r="E12" s="314">
        <f>SUMIFS('②-2勤務時間数入力'!U$7:U$106,'②-1職員名簿'!$L$7:$L$106,"有",'②-1職員名簿'!$C$7:$C$106,"パート")</f>
        <v>0</v>
      </c>
      <c r="F12" s="314">
        <f>COUNTIFS('②-1職員名簿'!$L$7:$L$106,"有",'②-2勤務時間数入力'!$C$7:$C$106,"嘱託常勤",'②-2勤務時間数入力'!U$7:U$106,"常")</f>
        <v>0</v>
      </c>
      <c r="G12" s="314">
        <f>SUMIFS('②-2勤務時間数入力'!U$7:U$106,'②-1職員名簿'!$L$7:$L$106,"有",'②-1職員名簿'!$C$7:$C$106,"嘱託等")</f>
        <v>0</v>
      </c>
      <c r="H12" s="314">
        <f>COUNTIFS('②-1職員名簿'!$M$7:$M$106,"有",'②-1職員名簿'!AS$7:AS$106,"C",'②-2勤務時間数入力'!I$7:I$106,"正",'②-1職員名簿'!$L$7:$L$106,"")</f>
        <v>0</v>
      </c>
      <c r="I12" s="314">
        <f>COUNTIFS('②-1職員名簿'!$M$7:$M$106,"有",'②-1職員名簿'!AS$7:AS$106,"C",'②-2勤務時間数入力'!$C$7:$C$106,"常勤的非常勤",'②-2勤務時間数入力'!U$7:U$106,"常",'②-1職員名簿'!$L$7:$L$106,"")</f>
        <v>0</v>
      </c>
      <c r="J12" s="314">
        <f>SUMIFS('②-2勤務時間数入力'!U$7:U$106,'②-1職員名簿'!$M$7:$M$106,"有",'②-1職員名簿'!AS$7:AS$106,"C",'②-1職員名簿'!$C$7:$C$106,"パート",'②-1職員名簿'!$L$7:$L$106,"")</f>
        <v>0</v>
      </c>
      <c r="K12" s="314">
        <f>COUNTIFS('②-1職員名簿'!$M$7:$M$106,"有",'②-1職員名簿'!AS$7:AS$106,"C",'②-2勤務時間数入力'!$C$7:$C$106,"嘱託常勤",'②-2勤務時間数入力'!U$7:U$106,"常",'②-1職員名簿'!$L$7:$L$106,"")</f>
        <v>0</v>
      </c>
      <c r="L12" s="314">
        <f>SUMIFS('②-2勤務時間数入力'!U$7:U$106,'②-1職員名簿'!$M$7:$M$106,"有",'②-1職員名簿'!AS$7:AS$106,"C",'②-1職員名簿'!$C$7:$C$106,"嘱託等",'②-1職員名簿'!$L$7:$L$106,"")</f>
        <v>0</v>
      </c>
      <c r="M12" s="314">
        <f>COUNTIFS('②-1職員名簿'!$N$7:$N$106,"有",'②-1職員名簿'!AS$7:AS$106,"C",'②-2勤務時間数入力'!I$7:I$106,"正",'②-1職員名簿'!$L$7:$L$106,"",'②-1職員名簿'!$M$7:$M$106,"")</f>
        <v>0</v>
      </c>
      <c r="N12" s="314">
        <f>COUNTIFS('②-1職員名簿'!$N$7:$N$106,"有",'②-1職員名簿'!AS$7:AS$106,"C",'②-2勤務時間数入力'!$C$7:$C$106,"常勤的非常勤",'②-2勤務時間数入力'!U$7:U$106,"常",'②-1職員名簿'!$L$7:$L$106,"",'②-1職員名簿'!$M$7:$M$106,"")</f>
        <v>0</v>
      </c>
      <c r="O12" s="314">
        <f>SUMIFS('②-2勤務時間数入力'!U$7:U$106,'②-1職員名簿'!$N$7:$N$106,"有",'②-1職員名簿'!AS$7:AS$106,"C",'②-1職員名簿'!$C$7:$C$106,"パート",'②-1職員名簿'!$L$7:$L$106,"",'②-1職員名簿'!$M$7:$M$106,"")</f>
        <v>0</v>
      </c>
      <c r="P12" s="314">
        <f>COUNTIFS('②-1職員名簿'!$N$7:$N$106,"有",'②-1職員名簿'!AS$7:AS$106,"C",'②-2勤務時間数入力'!$C$7:$C$106,"嘱託常勤",'②-2勤務時間数入力'!U$7:U$106,"常",'②-1職員名簿'!$L$7:$L$106,"",'②-1職員名簿'!$M$7:$M$106,"")</f>
        <v>0</v>
      </c>
      <c r="Q12" s="314">
        <f>SUMIFS('②-2勤務時間数入力'!U$7:U$106,'②-1職員名簿'!$N$7:$N$106,"有",'②-1職員名簿'!AS$7:AS$106,"C",'②-1職員名簿'!$C$7:$C$106,"嘱託等",'②-1職員名簿'!$L$7:$L$106,"",'②-1職員名簿'!$M$7:$M$106,"")</f>
        <v>0</v>
      </c>
      <c r="R12" s="316">
        <f>COUNTIFS('②-1職員名簿'!$W$7:$W$106,"園長",'②-1職員名簿'!AS$7:AS$106,"C")</f>
        <v>0</v>
      </c>
      <c r="S12" s="317">
        <f t="shared" si="0"/>
        <v>0</v>
      </c>
      <c r="T12" s="318">
        <f t="shared" si="1"/>
        <v>0</v>
      </c>
      <c r="U12" s="319" t="e">
        <f t="shared" si="2"/>
        <v>#DIV/0!</v>
      </c>
      <c r="V12" s="319" t="e">
        <f t="shared" si="3"/>
        <v>#DIV/0!</v>
      </c>
      <c r="W12" s="513" t="e">
        <f t="shared" si="9"/>
        <v>#DIV/0!</v>
      </c>
      <c r="X12" s="319" t="e">
        <f t="shared" si="10"/>
        <v>#DIV/0!</v>
      </c>
      <c r="Y12" s="320"/>
      <c r="Z12" s="321" t="e">
        <f t="shared" si="11"/>
        <v>#N/A</v>
      </c>
      <c r="AA12" s="316">
        <f>COUNTIFS('②-1職員名簿'!AS$7:AS$106,"D",'②-2勤務時間数入力'!I$7:I$106,"正")</f>
        <v>0</v>
      </c>
      <c r="AB12" s="314">
        <f>COUNTIFS('②-1職員名簿'!AS$7:AS$106,"D",'②-2勤務時間数入力'!$C$7:$C$106,"常勤的非常勤",'②-2勤務時間数入力'!U$7:U$106,"常")</f>
        <v>0</v>
      </c>
      <c r="AC12" s="314">
        <f>SUMIFS('②-2勤務時間数入力'!U$7:U$106,'②-1職員名簿'!AS$7:AS$106,"D",'②-1職員名簿'!$C$7:$C$106,"パート")</f>
        <v>0</v>
      </c>
      <c r="AD12" s="314">
        <f>COUNTIFS('②-1職員名簿'!AS$7:AS$106,"D",'②-2勤務時間数入力'!$C$7:$C$106,"嘱託常勤",'②-2勤務時間数入力'!U$7:U$106,"常")</f>
        <v>0</v>
      </c>
      <c r="AE12" s="314">
        <f>SUMIFS('②-2勤務時間数入力'!U$7:U$106,'②-1職員名簿'!AS$7:AS$106,"D",'②-1職員名簿'!$C$7:$C$106,"嘱託等")</f>
        <v>0</v>
      </c>
      <c r="AF12" s="316">
        <f>COUNTIFS('②-1職員名簿'!$P$7:$P$106,"有",'②-1職員名簿'!AS$7:AS$106,"E",'②-2勤務時間数入力'!I$7:I$106,"正",'②-1職員名簿'!$O$7:$O$106,"")</f>
        <v>0</v>
      </c>
      <c r="AG12" s="314">
        <f>COUNTIFS('②-1職員名簿'!$P$7:$P$106,"有",'②-1職員名簿'!AS$7:AS$106,"E",'②-2勤務時間数入力'!$C$7:$C$106,"常勤的非常勤",'②-2勤務時間数入力'!U$7:U$106,"常",'②-1職員名簿'!$O$7:$O$106,"")</f>
        <v>0</v>
      </c>
      <c r="AH12" s="314">
        <f>SUMIFS('②-2勤務時間数入力'!U$7:U$106,'②-1職員名簿'!AS$7:AS$106,"E",'②-1職員名簿'!$P$7:$P$106,"有",'②-1職員名簿'!$C$7:$C$106,"パート",'②-1職員名簿'!$O$7:$O$106,"")</f>
        <v>0</v>
      </c>
      <c r="AI12" s="314">
        <f>COUNTIFS('②-1職員名簿'!$P$7:$P$106,"有",'②-1職員名簿'!AS$7:AS$106,"E",'②-2勤務時間数入力'!$C$7:$C$106,"嘱託常勤",'②-2勤務時間数入力'!U$7:U$106,"常",'②-1職員名簿'!$O$7:$O$106,"")</f>
        <v>0</v>
      </c>
      <c r="AJ12" s="314">
        <f>SUMIFS('②-2勤務時間数入力'!U$7:U$106,'②-1職員名簿'!AS$7:AS$106,"E",'②-1職員名簿'!$P$7:$P$106,"有",'②-1職員名簿'!$C$7:$C$106,"嘱託等",'②-1職員名簿'!$O$7:$O$106,"")</f>
        <v>0</v>
      </c>
      <c r="AK12" s="322">
        <f>COUNTIFS('②-1職員名簿'!AS$7:AS$106,"E",'②-2勤務時間数入力'!I$7:I$106,"正",'②-1職員名簿'!$P$7:$P$106,"")</f>
        <v>0</v>
      </c>
      <c r="AL12" s="323">
        <f>COUNTIFS('②-1職員名簿'!AS$7:AS$106,"E",'②-2勤務時間数入力'!$C$7:$C$106,"常勤的非常勤",'②-2勤務時間数入力'!U$7:U$106,"常",'②-1職員名簿'!$P$7:$P$106,"")</f>
        <v>0</v>
      </c>
      <c r="AM12" s="323">
        <f>SUMIFS('②-2勤務時間数入力'!U$7:U$106,'②-1職員名簿'!AS$7:AS$106,"E",'②-1職員名簿'!$C$7:$C$106,"パート",'②-1職員名簿'!$P$7:$P$106,"")</f>
        <v>0</v>
      </c>
      <c r="AN12" s="323">
        <f>COUNTIFS('②-1職員名簿'!AS$7:AS$106,"E",'②-2勤務時間数入力'!$C$7:$C$106,"嘱託常勤",'②-2勤務時間数入力'!U$7:U$106,"常",'②-1職員名簿'!$P$7:$P$106,"")</f>
        <v>0</v>
      </c>
      <c r="AO12" s="323">
        <f>SUMIFS('②-2勤務時間数入力'!U$7:U$106,'②-1職員名簿'!AS$7:AS$106,"E",'②-1職員名簿'!$C$7:$C$106,"嘱託等",'②-1職員名簿'!$P$7:$P$106,"")</f>
        <v>0</v>
      </c>
      <c r="AP12" s="251">
        <f t="shared" si="12"/>
        <v>0</v>
      </c>
      <c r="AQ12" s="251">
        <f t="shared" ref="AQ12" si="15">AA12+AF12+AK12-AP12</f>
        <v>0</v>
      </c>
      <c r="AR12" s="251">
        <f t="shared" si="4"/>
        <v>0</v>
      </c>
      <c r="AS12" s="597" t="e">
        <f t="shared" si="5"/>
        <v>#DIV/0!</v>
      </c>
      <c r="AT12" s="598" t="e">
        <f t="shared" si="13"/>
        <v>#DIV/0!</v>
      </c>
      <c r="AU12" s="308">
        <f>COUNTIFS('②-1職員名簿'!$W$7:$W$106,"園長",'②-1職員名簿'!AS$7:AS$106,"D")</f>
        <v>0</v>
      </c>
      <c r="AV12" s="309">
        <f>COUNTIFS('②-1職員名簿'!$W$7:$W$106,"園長",'②-1職員名簿'!$P$7:$P$106,"有",'②-1職員名簿'!AS$7:AS$106,"E")</f>
        <v>0</v>
      </c>
      <c r="AW12" s="252" t="e">
        <f t="shared" si="6"/>
        <v>#DIV/0!</v>
      </c>
      <c r="AX12" s="252" t="e">
        <f t="shared" si="7"/>
        <v>#DIV/0!</v>
      </c>
      <c r="AY12" s="252" t="e">
        <f t="shared" si="8"/>
        <v>#N/A</v>
      </c>
      <c r="AZ12" s="253" t="e">
        <f t="shared" si="14"/>
        <v>#N/A</v>
      </c>
    </row>
    <row r="13" spans="1:52" s="34" customFormat="1" ht="36" customHeight="1">
      <c r="A13" s="282">
        <v>8</v>
      </c>
      <c r="B13" s="315">
        <f>'②-2勤務時間数入力'!AH11</f>
        <v>0</v>
      </c>
      <c r="C13" s="314">
        <f>COUNTIFS('②-1職員名簿'!$L$7:$L$106,"有",'②-1職員名簿'!AG$7:AG$106,"○",'②-2勤務時間数入力'!J$7:J$106,"正")</f>
        <v>0</v>
      </c>
      <c r="D13" s="314">
        <f>COUNTIFS('②-1職員名簿'!$L$7:$L$106,"有",'②-2勤務時間数入力'!$C$7:$C$106,"常勤的非常勤",'②-2勤務時間数入力'!V$7:V$106,"常")</f>
        <v>0</v>
      </c>
      <c r="E13" s="314">
        <f>SUMIFS('②-2勤務時間数入力'!V$7:V$106,'②-1職員名簿'!$L$7:$L$106,"有",'②-1職員名簿'!$C$7:$C$106,"パート")</f>
        <v>0</v>
      </c>
      <c r="F13" s="314">
        <f>COUNTIFS('②-1職員名簿'!$L$7:$L$106,"有",'②-2勤務時間数入力'!$C$7:$C$106,"嘱託常勤",'②-2勤務時間数入力'!V$7:V$106,"常")</f>
        <v>0</v>
      </c>
      <c r="G13" s="314">
        <f>SUMIFS('②-2勤務時間数入力'!V$7:V$106,'②-1職員名簿'!$L$7:$L$106,"有",'②-1職員名簿'!$C$7:$C$106,"嘱託等")</f>
        <v>0</v>
      </c>
      <c r="H13" s="314">
        <f>COUNTIFS('②-1職員名簿'!$M$7:$M$106,"有",'②-1職員名簿'!AT$7:AT$106,"C",'②-2勤務時間数入力'!J$7:J$106,"正",'②-1職員名簿'!$L$7:$L$106,"")</f>
        <v>0</v>
      </c>
      <c r="I13" s="314">
        <f>COUNTIFS('②-1職員名簿'!$M$7:$M$106,"有",'②-1職員名簿'!AT$7:AT$106,"C",'②-2勤務時間数入力'!$C$7:$C$106,"常勤的非常勤",'②-2勤務時間数入力'!V$7:V$106,"常",'②-1職員名簿'!$L$7:$L$106,"")</f>
        <v>0</v>
      </c>
      <c r="J13" s="314">
        <f>SUMIFS('②-2勤務時間数入力'!V$7:V$106,'②-1職員名簿'!$M$7:$M$106,"有",'②-1職員名簿'!AT$7:AT$106,"C",'②-1職員名簿'!$C$7:$C$106,"パート",'②-1職員名簿'!$L$7:$L$106,"")</f>
        <v>0</v>
      </c>
      <c r="K13" s="314">
        <f>COUNTIFS('②-1職員名簿'!$M$7:$M$106,"有",'②-1職員名簿'!AT$7:AT$106,"C",'②-2勤務時間数入力'!$C$7:$C$106,"嘱託常勤",'②-2勤務時間数入力'!V$7:V$106,"常",'②-1職員名簿'!$L$7:$L$106,"")</f>
        <v>0</v>
      </c>
      <c r="L13" s="314">
        <f>SUMIFS('②-2勤務時間数入力'!V$7:V$106,'②-1職員名簿'!$M$7:$M$106,"有",'②-1職員名簿'!AT$7:AT$106,"C",'②-1職員名簿'!$C$7:$C$106,"嘱託等",'②-1職員名簿'!$L$7:$L$106,"")</f>
        <v>0</v>
      </c>
      <c r="M13" s="314">
        <f>COUNTIFS('②-1職員名簿'!$N$7:$N$106,"有",'②-1職員名簿'!AT$7:AT$106,"C",'②-2勤務時間数入力'!J$7:J$106,"正",'②-1職員名簿'!$L$7:$L$106,"",'②-1職員名簿'!$M$7:$M$106,"")</f>
        <v>0</v>
      </c>
      <c r="N13" s="314">
        <f>COUNTIFS('②-1職員名簿'!$N$7:$N$106,"有",'②-1職員名簿'!AT$7:AT$106,"C",'②-2勤務時間数入力'!$C$7:$C$106,"常勤的非常勤",'②-2勤務時間数入力'!V$7:V$106,"常",'②-1職員名簿'!$L$7:$L$106,"",'②-1職員名簿'!$M$7:$M$106,"")</f>
        <v>0</v>
      </c>
      <c r="O13" s="314">
        <f>SUMIFS('②-2勤務時間数入力'!V$7:V$106,'②-1職員名簿'!$N$7:$N$106,"有",'②-1職員名簿'!AT$7:AT$106,"C",'②-1職員名簿'!$C$7:$C$106,"パート",'②-1職員名簿'!$L$7:$L$106,"",'②-1職員名簿'!$M$7:$M$106,"")</f>
        <v>0</v>
      </c>
      <c r="P13" s="314">
        <f>COUNTIFS('②-1職員名簿'!$N$7:$N$106,"有",'②-1職員名簿'!AT$7:AT$106,"C",'②-2勤務時間数入力'!$C$7:$C$106,"嘱託常勤",'②-2勤務時間数入力'!V$7:V$106,"常",'②-1職員名簿'!$L$7:$L$106,"",'②-1職員名簿'!$M$7:$M$106,"")</f>
        <v>0</v>
      </c>
      <c r="Q13" s="314">
        <f>SUMIFS('②-2勤務時間数入力'!V$7:V$106,'②-1職員名簿'!$N$7:$N$106,"有",'②-1職員名簿'!AT$7:AT$106,"C",'②-1職員名簿'!$C$7:$C$106,"嘱託等",'②-1職員名簿'!$L$7:$L$106,"",'②-1職員名簿'!$M$7:$M$106,"")</f>
        <v>0</v>
      </c>
      <c r="R13" s="316">
        <f>COUNTIFS('②-1職員名簿'!$W$7:$W$106,"園長",'②-1職員名簿'!AT$7:AT$106,"C")</f>
        <v>0</v>
      </c>
      <c r="S13" s="317">
        <f t="shared" si="0"/>
        <v>0</v>
      </c>
      <c r="T13" s="318">
        <f t="shared" si="1"/>
        <v>0</v>
      </c>
      <c r="U13" s="319" t="e">
        <f t="shared" si="2"/>
        <v>#DIV/0!</v>
      </c>
      <c r="V13" s="319" t="e">
        <f t="shared" si="3"/>
        <v>#DIV/0!</v>
      </c>
      <c r="W13" s="513" t="e">
        <f t="shared" si="9"/>
        <v>#DIV/0!</v>
      </c>
      <c r="X13" s="319" t="e">
        <f t="shared" si="10"/>
        <v>#DIV/0!</v>
      </c>
      <c r="Y13" s="320"/>
      <c r="Z13" s="321" t="e">
        <f t="shared" si="11"/>
        <v>#N/A</v>
      </c>
      <c r="AA13" s="316">
        <f>COUNTIFS('②-1職員名簿'!AT$7:AT$106,"D",'②-2勤務時間数入力'!J$7:J$106,"正")</f>
        <v>0</v>
      </c>
      <c r="AB13" s="314">
        <f>COUNTIFS('②-1職員名簿'!AT$7:AT$106,"D",'②-2勤務時間数入力'!$C$7:$C$106,"常勤的非常勤",'②-2勤務時間数入力'!V$7:V$106,"常")</f>
        <v>0</v>
      </c>
      <c r="AC13" s="314">
        <f>SUMIFS('②-2勤務時間数入力'!V$7:V$106,'②-1職員名簿'!AT$7:AT$106,"D",'②-1職員名簿'!$C$7:$C$106,"パート")</f>
        <v>0</v>
      </c>
      <c r="AD13" s="314">
        <f>COUNTIFS('②-1職員名簿'!AT$7:AT$106,"D",'②-2勤務時間数入力'!$C$7:$C$106,"嘱託常勤",'②-2勤務時間数入力'!V$7:V$106,"常")</f>
        <v>0</v>
      </c>
      <c r="AE13" s="314">
        <f>SUMIFS('②-2勤務時間数入力'!V$7:V$106,'②-1職員名簿'!AT$7:AT$106,"D",'②-1職員名簿'!$C$7:$C$106,"嘱託等")</f>
        <v>0</v>
      </c>
      <c r="AF13" s="316">
        <f>COUNTIFS('②-1職員名簿'!$P$7:$P$106,"有",'②-1職員名簿'!AT$7:AT$106,"E",'②-2勤務時間数入力'!J$7:J$106,"正",'②-1職員名簿'!$O$7:$O$106,"")</f>
        <v>0</v>
      </c>
      <c r="AG13" s="314">
        <f>COUNTIFS('②-1職員名簿'!$P$7:$P$106,"有",'②-1職員名簿'!AT$7:AT$106,"E",'②-2勤務時間数入力'!$C$7:$C$106,"常勤的非常勤",'②-2勤務時間数入力'!V$7:V$106,"常",'②-1職員名簿'!$O$7:$O$106,"")</f>
        <v>0</v>
      </c>
      <c r="AH13" s="314">
        <f>SUMIFS('②-2勤務時間数入力'!V$7:V$106,'②-1職員名簿'!AT$7:AT$106,"E",'②-1職員名簿'!$P$7:$P$106,"有",'②-1職員名簿'!$C$7:$C$106,"パート",'②-1職員名簿'!$O$7:$O$106,"")</f>
        <v>0</v>
      </c>
      <c r="AI13" s="314">
        <f>COUNTIFS('②-1職員名簿'!$P$7:$P$106,"有",'②-1職員名簿'!AT$7:AT$106,"E",'②-2勤務時間数入力'!$C$7:$C$106,"嘱託常勤",'②-2勤務時間数入力'!V$7:V$106,"常",'②-1職員名簿'!$O$7:$O$106,"")</f>
        <v>0</v>
      </c>
      <c r="AJ13" s="314">
        <f>SUMIFS('②-2勤務時間数入力'!V$7:V$106,'②-1職員名簿'!AT$7:AT$106,"E",'②-1職員名簿'!$P$7:$P$106,"有",'②-1職員名簿'!$C$7:$C$106,"嘱託等",'②-1職員名簿'!$O$7:$O$106,"")</f>
        <v>0</v>
      </c>
      <c r="AK13" s="322">
        <f>COUNTIFS('②-1職員名簿'!AT$7:AT$106,"E",'②-2勤務時間数入力'!J$7:J$106,"正",'②-1職員名簿'!$P$7:$P$106,"")</f>
        <v>0</v>
      </c>
      <c r="AL13" s="323">
        <f>COUNTIFS('②-1職員名簿'!AT$7:AT$106,"E",'②-2勤務時間数入力'!$C$7:$C$106,"常勤的非常勤",'②-2勤務時間数入力'!V$7:V$106,"常",'②-1職員名簿'!$P$7:$P$106,"")</f>
        <v>0</v>
      </c>
      <c r="AM13" s="323">
        <f>SUMIFS('②-2勤務時間数入力'!V$7:V$106,'②-1職員名簿'!AT$7:AT$106,"E",'②-1職員名簿'!$C$7:$C$106,"パート",'②-1職員名簿'!$P$7:$P$106,"")</f>
        <v>0</v>
      </c>
      <c r="AN13" s="323">
        <f>COUNTIFS('②-1職員名簿'!AT$7:AT$106,"E",'②-2勤務時間数入力'!$C$7:$C$106,"嘱託常勤",'②-2勤務時間数入力'!V$7:V$106,"常",'②-1職員名簿'!$P$7:$P$106,"")</f>
        <v>0</v>
      </c>
      <c r="AO13" s="323">
        <f>SUMIFS('②-2勤務時間数入力'!V$7:V$106,'②-1職員名簿'!AT$7:AT$106,"E",'②-1職員名簿'!$C$7:$C$106,"嘱託等",'②-1職員名簿'!$P$7:$P$106,"")</f>
        <v>0</v>
      </c>
      <c r="AP13" s="251">
        <f t="shared" si="12"/>
        <v>0</v>
      </c>
      <c r="AQ13" s="251">
        <f t="shared" ref="AQ13" si="16">AA13+AF13+AK13-AP13</f>
        <v>0</v>
      </c>
      <c r="AR13" s="251">
        <f t="shared" si="4"/>
        <v>0</v>
      </c>
      <c r="AS13" s="597" t="e">
        <f t="shared" si="5"/>
        <v>#DIV/0!</v>
      </c>
      <c r="AT13" s="598" t="e">
        <f t="shared" si="13"/>
        <v>#DIV/0!</v>
      </c>
      <c r="AU13" s="308">
        <f>COUNTIFS('②-1職員名簿'!$W$7:$W$106,"園長",'②-1職員名簿'!AT$7:AT$106,"D")</f>
        <v>0</v>
      </c>
      <c r="AV13" s="309">
        <f>COUNTIFS('②-1職員名簿'!$W$7:$W$106,"園長",'②-1職員名簿'!$P$7:$P$106,"有",'②-1職員名簿'!AT$7:AT$106,"E")</f>
        <v>0</v>
      </c>
      <c r="AW13" s="252" t="e">
        <f t="shared" si="6"/>
        <v>#DIV/0!</v>
      </c>
      <c r="AX13" s="252" t="e">
        <f t="shared" si="7"/>
        <v>#DIV/0!</v>
      </c>
      <c r="AY13" s="252" t="e">
        <f>IF(AND($Z13&gt;0,$AT13&gt;$Z13),MAX(AW13-Z13,0),0)</f>
        <v>#N/A</v>
      </c>
      <c r="AZ13" s="253" t="e">
        <f t="shared" si="14"/>
        <v>#N/A</v>
      </c>
    </row>
    <row r="14" spans="1:52" s="34" customFormat="1" ht="36" customHeight="1">
      <c r="A14" s="282">
        <v>9</v>
      </c>
      <c r="B14" s="315">
        <f>'②-2勤務時間数入力'!AH12</f>
        <v>0</v>
      </c>
      <c r="C14" s="314">
        <f>COUNTIFS('②-1職員名簿'!$L$7:$L$106,"有",'②-1職員名簿'!AH$7:AH$106,"○",'②-2勤務時間数入力'!K$7:K$106,"正")</f>
        <v>0</v>
      </c>
      <c r="D14" s="314">
        <f>COUNTIFS('②-1職員名簿'!$L$7:$L$106,"有",'②-2勤務時間数入力'!$C$7:$C$106,"常勤的非常勤",'②-2勤務時間数入力'!W$7:W$106,"常")</f>
        <v>0</v>
      </c>
      <c r="E14" s="314">
        <f>SUMIFS('②-2勤務時間数入力'!W$7:W$106,'②-1職員名簿'!$L$7:$L$106,"有",'②-1職員名簿'!$C$7:$C$106,"パート")</f>
        <v>0</v>
      </c>
      <c r="F14" s="314">
        <f>COUNTIFS('②-1職員名簿'!$L$7:$L$106,"有",'②-2勤務時間数入力'!$C$7:$C$106,"嘱託常勤",'②-2勤務時間数入力'!W$7:W$106,"常")</f>
        <v>0</v>
      </c>
      <c r="G14" s="314">
        <f>SUMIFS('②-2勤務時間数入力'!W$7:W$106,'②-1職員名簿'!$L$7:$L$106,"有",'②-1職員名簿'!$C$7:$C$106,"嘱託等")</f>
        <v>0</v>
      </c>
      <c r="H14" s="314">
        <f>COUNTIFS('②-1職員名簿'!$M$7:$M$106,"有",'②-1職員名簿'!AU$7:AU$106,"C",'②-2勤務時間数入力'!K$7:K$106,"正",'②-1職員名簿'!$L$7:$L$106,"")</f>
        <v>0</v>
      </c>
      <c r="I14" s="314">
        <f>COUNTIFS('②-1職員名簿'!$M$7:$M$106,"有",'②-1職員名簿'!AU$7:AU$106,"C",'②-2勤務時間数入力'!$C$7:$C$106,"常勤的非常勤",'②-2勤務時間数入力'!W$7:W$106,"常",'②-1職員名簿'!$L$7:$L$106,"")</f>
        <v>0</v>
      </c>
      <c r="J14" s="314">
        <f>SUMIFS('②-2勤務時間数入力'!W$7:W$106,'②-1職員名簿'!$M$7:$M$106,"有",'②-1職員名簿'!AU$7:AU$106,"C",'②-1職員名簿'!$C$7:$C$106,"パート",'②-1職員名簿'!$L$7:$L$106,"")</f>
        <v>0</v>
      </c>
      <c r="K14" s="314">
        <f>COUNTIFS('②-1職員名簿'!$M$7:$M$106,"有",'②-1職員名簿'!AU$7:AU$106,"C",'②-2勤務時間数入力'!$C$7:$C$106,"嘱託常勤",'②-2勤務時間数入力'!W$7:W$106,"常",'②-1職員名簿'!$L$7:$L$106,"")</f>
        <v>0</v>
      </c>
      <c r="L14" s="314">
        <f>SUMIFS('②-2勤務時間数入力'!W$7:W$106,'②-1職員名簿'!$M$7:$M$106,"有",'②-1職員名簿'!AU$7:AU$106,"C",'②-1職員名簿'!$C$7:$C$106,"嘱託等",'②-1職員名簿'!$L$7:$L$106,"")</f>
        <v>0</v>
      </c>
      <c r="M14" s="314">
        <f>COUNTIFS('②-1職員名簿'!$N$7:$N$106,"有",'②-1職員名簿'!AU$7:AU$106,"C",'②-2勤務時間数入力'!K$7:K$106,"正",'②-1職員名簿'!$L$7:$L$106,"",'②-1職員名簿'!$M$7:$M$106,"")</f>
        <v>0</v>
      </c>
      <c r="N14" s="314">
        <f>COUNTIFS('②-1職員名簿'!$N$7:$N$106,"有",'②-1職員名簿'!AU$7:AU$106,"C",'②-2勤務時間数入力'!$C$7:$C$106,"常勤的非常勤",'②-2勤務時間数入力'!W$7:W$106,"常",'②-1職員名簿'!$L$7:$L$106,"",'②-1職員名簿'!$M$7:$M$106,"")</f>
        <v>0</v>
      </c>
      <c r="O14" s="314">
        <f>SUMIFS('②-2勤務時間数入力'!W$7:W$106,'②-1職員名簿'!$N$7:$N$106,"有",'②-1職員名簿'!AU$7:AU$106,"C",'②-1職員名簿'!$C$7:$C$106,"パート",'②-1職員名簿'!$L$7:$L$106,"",'②-1職員名簿'!$M$7:$M$106,"")</f>
        <v>0</v>
      </c>
      <c r="P14" s="314">
        <f>COUNTIFS('②-1職員名簿'!$N$7:$N$106,"有",'②-1職員名簿'!AU$7:AU$106,"C",'②-2勤務時間数入力'!$C$7:$C$106,"嘱託常勤",'②-2勤務時間数入力'!W$7:W$106,"常",'②-1職員名簿'!$L$7:$L$106,"",'②-1職員名簿'!$M$7:$M$106,"")</f>
        <v>0</v>
      </c>
      <c r="Q14" s="314">
        <f>SUMIFS('②-2勤務時間数入力'!W$7:W$106,'②-1職員名簿'!$N$7:$N$106,"有",'②-1職員名簿'!AU$7:AU$106,"C",'②-1職員名簿'!$C$7:$C$106,"嘱託等",'②-1職員名簿'!$L$7:$L$106,"",'②-1職員名簿'!$M$7:$M$106,"")</f>
        <v>0</v>
      </c>
      <c r="R14" s="316">
        <f>COUNTIFS('②-1職員名簿'!$W$7:$W$106,"園長",'②-1職員名簿'!AU$7:AU$106,"C")</f>
        <v>0</v>
      </c>
      <c r="S14" s="317">
        <f t="shared" si="0"/>
        <v>0</v>
      </c>
      <c r="T14" s="318">
        <f t="shared" si="1"/>
        <v>0</v>
      </c>
      <c r="U14" s="319" t="e">
        <f t="shared" si="2"/>
        <v>#DIV/0!</v>
      </c>
      <c r="V14" s="319" t="e">
        <f t="shared" si="3"/>
        <v>#DIV/0!</v>
      </c>
      <c r="W14" s="513" t="e">
        <f t="shared" si="9"/>
        <v>#DIV/0!</v>
      </c>
      <c r="X14" s="319" t="e">
        <f t="shared" si="10"/>
        <v>#DIV/0!</v>
      </c>
      <c r="Y14" s="320"/>
      <c r="Z14" s="321" t="e">
        <f t="shared" si="11"/>
        <v>#N/A</v>
      </c>
      <c r="AA14" s="316">
        <f>COUNTIFS('②-1職員名簿'!AU$7:AU$106,"D",'②-2勤務時間数入力'!K$7:K$106,"正")</f>
        <v>0</v>
      </c>
      <c r="AB14" s="314">
        <f>COUNTIFS('②-1職員名簿'!AU$7:AU$106,"D",'②-2勤務時間数入力'!$C$7:$C$106,"常勤的非常勤",'②-2勤務時間数入力'!W$7:W$106,"常")</f>
        <v>0</v>
      </c>
      <c r="AC14" s="314">
        <f>SUMIFS('②-2勤務時間数入力'!W$7:W$106,'②-1職員名簿'!AU$7:AU$106,"D",'②-1職員名簿'!$C$7:$C$106,"パート")</f>
        <v>0</v>
      </c>
      <c r="AD14" s="314">
        <f>COUNTIFS('②-1職員名簿'!AU$7:AU$106,"D",'②-2勤務時間数入力'!$C$7:$C$106,"嘱託常勤",'②-2勤務時間数入力'!W$7:W$106,"常")</f>
        <v>0</v>
      </c>
      <c r="AE14" s="314">
        <f>SUMIFS('②-2勤務時間数入力'!W$7:W$106,'②-1職員名簿'!AU$7:AU$106,"D",'②-1職員名簿'!$C$7:$C$106,"嘱託等")</f>
        <v>0</v>
      </c>
      <c r="AF14" s="316">
        <f>COUNTIFS('②-1職員名簿'!$P$7:$P$106,"有",'②-1職員名簿'!AU$7:AU$106,"E",'②-2勤務時間数入力'!K$7:K$106,"正",'②-1職員名簿'!$O$7:$O$106,"")</f>
        <v>0</v>
      </c>
      <c r="AG14" s="314">
        <f>COUNTIFS('②-1職員名簿'!$P$7:$P$106,"有",'②-1職員名簿'!AU$7:AU$106,"E",'②-2勤務時間数入力'!$C$7:$C$106,"常勤的非常勤",'②-2勤務時間数入力'!W$7:W$106,"常",'②-1職員名簿'!$O$7:$O$106,"")</f>
        <v>0</v>
      </c>
      <c r="AH14" s="314">
        <f>SUMIFS('②-2勤務時間数入力'!W$7:W$106,'②-1職員名簿'!AU$7:AU$106,"E",'②-1職員名簿'!$P$7:$P$106,"有",'②-1職員名簿'!$C$7:$C$106,"パート",'②-1職員名簿'!$O$7:$O$106,"")</f>
        <v>0</v>
      </c>
      <c r="AI14" s="314">
        <f>COUNTIFS('②-1職員名簿'!$P$7:$P$106,"有",'②-1職員名簿'!AU$7:AU$106,"E",'②-2勤務時間数入力'!$C$7:$C$106,"嘱託常勤",'②-2勤務時間数入力'!W$7:W$106,"常",'②-1職員名簿'!$O$7:$O$106,"")</f>
        <v>0</v>
      </c>
      <c r="AJ14" s="314">
        <f>SUMIFS('②-2勤務時間数入力'!W$7:W$106,'②-1職員名簿'!AU$7:AU$106,"E",'②-1職員名簿'!$P$7:$P$106,"有",'②-1職員名簿'!$C$7:$C$106,"嘱託等",'②-1職員名簿'!$O$7:$O$106,"")</f>
        <v>0</v>
      </c>
      <c r="AK14" s="322">
        <f>COUNTIFS('②-1職員名簿'!AU$7:AU$106,"E",'②-2勤務時間数入力'!K$7:K$106,"正",'②-1職員名簿'!$P$7:$P$106,"")</f>
        <v>0</v>
      </c>
      <c r="AL14" s="323">
        <f>COUNTIFS('②-1職員名簿'!AU$7:AU$106,"E",'②-2勤務時間数入力'!$C$7:$C$106,"常勤的非常勤",'②-2勤務時間数入力'!W$7:W$106,"常",'②-1職員名簿'!$P$7:$P$106,"")</f>
        <v>0</v>
      </c>
      <c r="AM14" s="323">
        <f>SUMIFS('②-2勤務時間数入力'!W$7:W$106,'②-1職員名簿'!AU$7:AU$106,"E",'②-1職員名簿'!$C$7:$C$106,"パート",'②-1職員名簿'!$P$7:$P$106,"")</f>
        <v>0</v>
      </c>
      <c r="AN14" s="323">
        <f>COUNTIFS('②-1職員名簿'!AU$7:AU$106,"E",'②-2勤務時間数入力'!$C$7:$C$106,"嘱託常勤",'②-2勤務時間数入力'!W$7:W$106,"常",'②-1職員名簿'!$P$7:$P$106,"")</f>
        <v>0</v>
      </c>
      <c r="AO14" s="323">
        <f>SUMIFS('②-2勤務時間数入力'!W$7:W$106,'②-1職員名簿'!AU$7:AU$106,"E",'②-1職員名簿'!$C$7:$C$106,"嘱託等",'②-1職員名簿'!$P$7:$P$106,"")</f>
        <v>0</v>
      </c>
      <c r="AP14" s="251">
        <f t="shared" si="12"/>
        <v>0</v>
      </c>
      <c r="AQ14" s="251">
        <f t="shared" ref="AQ14" si="17">AA14+AF14+AK14-AP14</f>
        <v>0</v>
      </c>
      <c r="AR14" s="251">
        <f t="shared" si="4"/>
        <v>0</v>
      </c>
      <c r="AS14" s="597" t="e">
        <f t="shared" si="5"/>
        <v>#DIV/0!</v>
      </c>
      <c r="AT14" s="598" t="e">
        <f t="shared" si="13"/>
        <v>#DIV/0!</v>
      </c>
      <c r="AU14" s="308">
        <f>COUNTIFS('②-1職員名簿'!$W$7:$W$106,"園長",'②-1職員名簿'!AU$7:AU$106,"D")</f>
        <v>0</v>
      </c>
      <c r="AV14" s="309">
        <f>COUNTIFS('②-1職員名簿'!$W$7:$W$106,"園長",'②-1職員名簿'!$P$7:$P$106,"有",'②-1職員名簿'!AU$7:AU$106,"E")</f>
        <v>0</v>
      </c>
      <c r="AW14" s="252" t="e">
        <f t="shared" si="6"/>
        <v>#DIV/0!</v>
      </c>
      <c r="AX14" s="252" t="e">
        <f t="shared" si="7"/>
        <v>#DIV/0!</v>
      </c>
      <c r="AY14" s="252" t="e">
        <f>IF(AND($Z14&gt;0,$AT14&gt;$Z14),MAX(AW14-Z14,0),0)</f>
        <v>#N/A</v>
      </c>
      <c r="AZ14" s="253" t="e">
        <f t="shared" si="14"/>
        <v>#N/A</v>
      </c>
    </row>
    <row r="15" spans="1:52" s="34" customFormat="1" ht="36" customHeight="1">
      <c r="A15" s="282">
        <v>10</v>
      </c>
      <c r="B15" s="315">
        <f>'②-2勤務時間数入力'!AH13</f>
        <v>0</v>
      </c>
      <c r="C15" s="314">
        <f>COUNTIFS('②-1職員名簿'!$L$7:$L$106,"有",'②-1職員名簿'!AI$7:AI$106,"○",'②-2勤務時間数入力'!L$7:L$106,"正")</f>
        <v>0</v>
      </c>
      <c r="D15" s="314">
        <f>COUNTIFS('②-1職員名簿'!$L$7:$L$106,"有",'②-2勤務時間数入力'!$C$7:$C$106,"常勤的非常勤",'②-2勤務時間数入力'!X$7:X$106,"常")</f>
        <v>0</v>
      </c>
      <c r="E15" s="314">
        <f>SUMIFS('②-2勤務時間数入力'!X$7:X$106,'②-1職員名簿'!$L$7:$L$106,"有",'②-1職員名簿'!$C$7:$C$106,"パート")</f>
        <v>0</v>
      </c>
      <c r="F15" s="314">
        <f>COUNTIFS('②-1職員名簿'!$L$7:$L$106,"有",'②-2勤務時間数入力'!$C$7:$C$106,"嘱託常勤",'②-2勤務時間数入力'!X$7:X$106,"常")</f>
        <v>0</v>
      </c>
      <c r="G15" s="314">
        <f>SUMIFS('②-2勤務時間数入力'!X$7:X$106,'②-1職員名簿'!$L$7:$L$106,"有",'②-1職員名簿'!$C$7:$C$106,"嘱託等")</f>
        <v>0</v>
      </c>
      <c r="H15" s="314">
        <f>COUNTIFS('②-1職員名簿'!$M$7:$M$106,"有",'②-1職員名簿'!AV$7:AV$106,"C",'②-2勤務時間数入力'!L$7:L$106,"正",'②-1職員名簿'!$L$7:$L$106,"")</f>
        <v>0</v>
      </c>
      <c r="I15" s="314">
        <f>COUNTIFS('②-1職員名簿'!$M$7:$M$106,"有",'②-1職員名簿'!AV$7:AV$106,"C",'②-2勤務時間数入力'!$C$7:$C$106,"常勤的非常勤",'②-2勤務時間数入力'!X$7:X$106,"常",'②-1職員名簿'!$L$7:$L$106,"")</f>
        <v>0</v>
      </c>
      <c r="J15" s="314">
        <f>SUMIFS('②-2勤務時間数入力'!X$7:X$106,'②-1職員名簿'!$M$7:$M$106,"有",'②-1職員名簿'!AV$7:AV$106,"C",'②-1職員名簿'!$C$7:$C$106,"パート",'②-1職員名簿'!$L$7:$L$106,"")</f>
        <v>0</v>
      </c>
      <c r="K15" s="314">
        <f>COUNTIFS('②-1職員名簿'!$M$7:$M$106,"有",'②-1職員名簿'!AV$7:AV$106,"C",'②-2勤務時間数入力'!$C$7:$C$106,"嘱託常勤",'②-2勤務時間数入力'!X$7:X$106,"常",'②-1職員名簿'!$L$7:$L$106,"")</f>
        <v>0</v>
      </c>
      <c r="L15" s="314">
        <f>SUMIFS('②-2勤務時間数入力'!X$7:X$106,'②-1職員名簿'!$M$7:$M$106,"有",'②-1職員名簿'!AV$7:AV$106,"C",'②-1職員名簿'!$C$7:$C$106,"嘱託等",'②-1職員名簿'!$L$7:$L$106,"")</f>
        <v>0</v>
      </c>
      <c r="M15" s="314">
        <f>COUNTIFS('②-1職員名簿'!$N$7:$N$106,"有",'②-1職員名簿'!AV$7:AV$106,"C",'②-2勤務時間数入力'!L$7:L$106,"正",'②-1職員名簿'!$L$7:$L$106,"",'②-1職員名簿'!$M$7:$M$106,"")</f>
        <v>0</v>
      </c>
      <c r="N15" s="314">
        <f>COUNTIFS('②-1職員名簿'!$N$7:$N$106,"有",'②-1職員名簿'!AV$7:AV$106,"C",'②-2勤務時間数入力'!$C$7:$C$106,"常勤的非常勤",'②-2勤務時間数入力'!X$7:X$106,"常",'②-1職員名簿'!$L$7:$L$106,"",'②-1職員名簿'!$M$7:$M$106,"")</f>
        <v>0</v>
      </c>
      <c r="O15" s="314">
        <f>SUMIFS('②-2勤務時間数入力'!X$7:X$106,'②-1職員名簿'!$N$7:$N$106,"有",'②-1職員名簿'!AV$7:AV$106,"C",'②-1職員名簿'!$C$7:$C$106,"パート",'②-1職員名簿'!$L$7:$L$106,"",'②-1職員名簿'!$M$7:$M$106,"")</f>
        <v>0</v>
      </c>
      <c r="P15" s="314">
        <f>COUNTIFS('②-1職員名簿'!$N$7:$N$106,"有",'②-1職員名簿'!AV$7:AV$106,"C",'②-2勤務時間数入力'!$C$7:$C$106,"嘱託常勤",'②-2勤務時間数入力'!X$7:X$106,"常",'②-1職員名簿'!$L$7:$L$106,"",'②-1職員名簿'!$M$7:$M$106,"")</f>
        <v>0</v>
      </c>
      <c r="Q15" s="314">
        <f>SUMIFS('②-2勤務時間数入力'!X$7:X$106,'②-1職員名簿'!$N$7:$N$106,"有",'②-1職員名簿'!AV$7:AV$106,"C",'②-1職員名簿'!$C$7:$C$106,"嘱託等",'②-1職員名簿'!$L$7:$L$106,"",'②-1職員名簿'!$M$7:$M$106,"")</f>
        <v>0</v>
      </c>
      <c r="R15" s="316">
        <f>COUNTIFS('②-1職員名簿'!$W$7:$W$106,"園長",'②-1職員名簿'!AV$7:AV$106,"C")</f>
        <v>0</v>
      </c>
      <c r="S15" s="317">
        <f t="shared" si="0"/>
        <v>0</v>
      </c>
      <c r="T15" s="318">
        <f t="shared" si="1"/>
        <v>0</v>
      </c>
      <c r="U15" s="319" t="e">
        <f t="shared" si="2"/>
        <v>#DIV/0!</v>
      </c>
      <c r="V15" s="319" t="e">
        <f t="shared" si="3"/>
        <v>#DIV/0!</v>
      </c>
      <c r="W15" s="513" t="e">
        <f t="shared" si="9"/>
        <v>#DIV/0!</v>
      </c>
      <c r="X15" s="319" t="e">
        <f t="shared" si="10"/>
        <v>#DIV/0!</v>
      </c>
      <c r="Y15" s="320"/>
      <c r="Z15" s="321" t="e">
        <f t="shared" si="11"/>
        <v>#N/A</v>
      </c>
      <c r="AA15" s="316">
        <f>COUNTIFS('②-1職員名簿'!AV$7:AV$106,"D",'②-2勤務時間数入力'!L$7:L$106,"正")</f>
        <v>0</v>
      </c>
      <c r="AB15" s="314">
        <f>COUNTIFS('②-1職員名簿'!AV$7:AV$106,"D",'②-2勤務時間数入力'!$C$7:$C$106,"常勤的非常勤",'②-2勤務時間数入力'!X$7:X$106,"常")</f>
        <v>0</v>
      </c>
      <c r="AC15" s="314">
        <f>SUMIFS('②-2勤務時間数入力'!X$7:X$106,'②-1職員名簿'!AV$7:AV$106,"D",'②-1職員名簿'!$C$7:$C$106,"パート")</f>
        <v>0</v>
      </c>
      <c r="AD15" s="314">
        <f>COUNTIFS('②-1職員名簿'!AV$7:AV$106,"D",'②-2勤務時間数入力'!$C$7:$C$106,"嘱託常勤",'②-2勤務時間数入力'!X$7:X$106,"常")</f>
        <v>0</v>
      </c>
      <c r="AE15" s="314">
        <f>SUMIFS('②-2勤務時間数入力'!X$7:X$106,'②-1職員名簿'!AV$7:AV$106,"D",'②-1職員名簿'!$C$7:$C$106,"嘱託等")</f>
        <v>0</v>
      </c>
      <c r="AF15" s="316">
        <f>COUNTIFS('②-1職員名簿'!$P$7:$P$106,"有",'②-1職員名簿'!AV$7:AV$106,"E",'②-2勤務時間数入力'!L$7:L$106,"正",'②-1職員名簿'!$O$7:$O$106,"")</f>
        <v>0</v>
      </c>
      <c r="AG15" s="314">
        <f>COUNTIFS('②-1職員名簿'!$P$7:$P$106,"有",'②-1職員名簿'!AV$7:AV$106,"E",'②-2勤務時間数入力'!$C$7:$C$106,"常勤的非常勤",'②-2勤務時間数入力'!X$7:X$106,"常",'②-1職員名簿'!$O$7:$O$106,"")</f>
        <v>0</v>
      </c>
      <c r="AH15" s="314">
        <f>SUMIFS('②-2勤務時間数入力'!X$7:X$106,'②-1職員名簿'!AV$7:AV$106,"E",'②-1職員名簿'!$P$7:$P$106,"有",'②-1職員名簿'!$C$7:$C$106,"パート",'②-1職員名簿'!$O$7:$O$106,"")</f>
        <v>0</v>
      </c>
      <c r="AI15" s="314">
        <f>COUNTIFS('②-1職員名簿'!$P$7:$P$106,"有",'②-1職員名簿'!AV$7:AV$106,"E",'②-2勤務時間数入力'!$C$7:$C$106,"嘱託常勤",'②-2勤務時間数入力'!X$7:X$106,"常",'②-1職員名簿'!$O$7:$O$106,"")</f>
        <v>0</v>
      </c>
      <c r="AJ15" s="314">
        <f>SUMIFS('②-2勤務時間数入力'!X$7:X$106,'②-1職員名簿'!AV$7:AV$106,"E",'②-1職員名簿'!$P$7:$P$106,"有",'②-1職員名簿'!$C$7:$C$106,"嘱託等",'②-1職員名簿'!$O$7:$O$106,"")</f>
        <v>0</v>
      </c>
      <c r="AK15" s="322">
        <f>COUNTIFS('②-1職員名簿'!AV$7:AV$106,"E",'②-2勤務時間数入力'!L$7:L$106,"正",'②-1職員名簿'!$P$7:$P$106,"")</f>
        <v>0</v>
      </c>
      <c r="AL15" s="323">
        <f>COUNTIFS('②-1職員名簿'!AV$7:AV$106,"E",'②-2勤務時間数入力'!$C$7:$C$106,"常勤的非常勤",'②-2勤務時間数入力'!X$7:X$106,"常",'②-1職員名簿'!$P$7:$P$106,"")</f>
        <v>0</v>
      </c>
      <c r="AM15" s="323">
        <f>SUMIFS('②-2勤務時間数入力'!X$7:X$106,'②-1職員名簿'!AV$7:AV$106,"E",'②-1職員名簿'!$C$7:$C$106,"パート",'②-1職員名簿'!$P$7:$P$106,"")</f>
        <v>0</v>
      </c>
      <c r="AN15" s="323">
        <f>COUNTIFS('②-1職員名簿'!AV$7:AV$106,"E",'②-2勤務時間数入力'!$C$7:$C$106,"嘱託常勤",'②-2勤務時間数入力'!X$7:X$106,"常",'②-1職員名簿'!$P$7:$P$106,"")</f>
        <v>0</v>
      </c>
      <c r="AO15" s="323">
        <f>SUMIFS('②-2勤務時間数入力'!X$7:X$106,'②-1職員名簿'!AV$7:AV$106,"E",'②-1職員名簿'!$C$7:$C$106,"嘱託等",'②-1職員名簿'!$P$7:$P$106,"")</f>
        <v>0</v>
      </c>
      <c r="AP15" s="251">
        <f t="shared" si="12"/>
        <v>0</v>
      </c>
      <c r="AQ15" s="251">
        <f t="shared" ref="AQ15" si="18">AA15+AF15+AK15-AP15</f>
        <v>0</v>
      </c>
      <c r="AR15" s="251">
        <f t="shared" si="4"/>
        <v>0</v>
      </c>
      <c r="AS15" s="597" t="e">
        <f t="shared" si="5"/>
        <v>#DIV/0!</v>
      </c>
      <c r="AT15" s="598" t="e">
        <f t="shared" si="13"/>
        <v>#DIV/0!</v>
      </c>
      <c r="AU15" s="308">
        <f>COUNTIFS('②-1職員名簿'!$W$7:$W$106,"園長",'②-1職員名簿'!AV$7:AV$106,"D")</f>
        <v>0</v>
      </c>
      <c r="AV15" s="309">
        <f>COUNTIFS('②-1職員名簿'!$W$7:$W$106,"園長",'②-1職員名簿'!$P$7:$P$106,"有",'②-1職員名簿'!AV$7:AV$106,"E")</f>
        <v>0</v>
      </c>
      <c r="AW15" s="252" t="e">
        <f t="shared" si="6"/>
        <v>#DIV/0!</v>
      </c>
      <c r="AX15" s="252" t="e">
        <f t="shared" si="7"/>
        <v>#DIV/0!</v>
      </c>
      <c r="AY15" s="252" t="e">
        <f t="shared" si="8"/>
        <v>#N/A</v>
      </c>
      <c r="AZ15" s="253" t="e">
        <f t="shared" si="14"/>
        <v>#N/A</v>
      </c>
    </row>
    <row r="16" spans="1:52" s="34" customFormat="1" ht="36" customHeight="1">
      <c r="A16" s="282">
        <v>11</v>
      </c>
      <c r="B16" s="315">
        <f>'②-2勤務時間数入力'!AH14</f>
        <v>0</v>
      </c>
      <c r="C16" s="314">
        <f>COUNTIFS('②-1職員名簿'!$L$7:$L$106,"有",'②-1職員名簿'!AJ$7:AJ$106,"○",'②-2勤務時間数入力'!M$7:M$106,"正")</f>
        <v>0</v>
      </c>
      <c r="D16" s="314">
        <f>COUNTIFS('②-1職員名簿'!$L$7:$L$106,"有",'②-2勤務時間数入力'!$C$7:$C$106,"常勤的非常勤",'②-2勤務時間数入力'!Y$7:Y$106,"常")</f>
        <v>0</v>
      </c>
      <c r="E16" s="314">
        <f>SUMIFS('②-2勤務時間数入力'!Y$7:Y$106,'②-1職員名簿'!$L$7:$L$106,"有",'②-1職員名簿'!$C$7:$C$106,"パート")</f>
        <v>0</v>
      </c>
      <c r="F16" s="314">
        <f>COUNTIFS('②-1職員名簿'!$L$7:$L$106,"有",'②-2勤務時間数入力'!$C$7:$C$106,"嘱託常勤",'②-2勤務時間数入力'!Y$7:Y$106,"常")</f>
        <v>0</v>
      </c>
      <c r="G16" s="314">
        <f>SUMIFS('②-2勤務時間数入力'!Y$7:Y$106,'②-1職員名簿'!$L$7:$L$106,"有",'②-1職員名簿'!$C$7:$C$106,"嘱託等")</f>
        <v>0</v>
      </c>
      <c r="H16" s="314">
        <f>COUNTIFS('②-1職員名簿'!$M$7:$M$106,"有",'②-1職員名簿'!AW$7:AW$106,"C",'②-2勤務時間数入力'!M$7:M$106,"正",'②-1職員名簿'!$L$7:$L$106,"")</f>
        <v>0</v>
      </c>
      <c r="I16" s="314">
        <f>COUNTIFS('②-1職員名簿'!$M$7:$M$106,"有",'②-1職員名簿'!AW$7:AW$106,"C",'②-2勤務時間数入力'!$C$7:$C$106,"常勤的非常勤",'②-2勤務時間数入力'!Y$7:Y$106,"常",'②-1職員名簿'!$L$7:$L$106,"")</f>
        <v>0</v>
      </c>
      <c r="J16" s="314">
        <f>SUMIFS('②-2勤務時間数入力'!Y$7:Y$106,'②-1職員名簿'!$M$7:$M$106,"有",'②-1職員名簿'!AW$7:AW$106,"C",'②-1職員名簿'!$C$7:$C$106,"パート",'②-1職員名簿'!$L$7:$L$106,"")</f>
        <v>0</v>
      </c>
      <c r="K16" s="314">
        <f>COUNTIFS('②-1職員名簿'!$M$7:$M$106,"有",'②-1職員名簿'!AW$7:AW$106,"C",'②-2勤務時間数入力'!$C$7:$C$106,"嘱託常勤",'②-2勤務時間数入力'!Y$7:Y$106,"常",'②-1職員名簿'!$L$7:$L$106,"")</f>
        <v>0</v>
      </c>
      <c r="L16" s="314">
        <f>SUMIFS('②-2勤務時間数入力'!Y$7:Y$106,'②-1職員名簿'!$M$7:$M$106,"有",'②-1職員名簿'!AW$7:AW$106,"C",'②-1職員名簿'!$C$7:$C$106,"嘱託等",'②-1職員名簿'!$L$7:$L$106,"")</f>
        <v>0</v>
      </c>
      <c r="M16" s="314">
        <f>COUNTIFS('②-1職員名簿'!$N$7:$N$106,"有",'②-1職員名簿'!AW$7:AW$106,"C",'②-2勤務時間数入力'!M$7:M$106,"正",'②-1職員名簿'!$L$7:$L$106,"",'②-1職員名簿'!$M$7:$M$106,"")</f>
        <v>0</v>
      </c>
      <c r="N16" s="314">
        <f>COUNTIFS('②-1職員名簿'!$N$7:$N$106,"有",'②-1職員名簿'!AW$7:AW$106,"C",'②-2勤務時間数入力'!$C$7:$C$106,"常勤的非常勤",'②-2勤務時間数入力'!Y$7:Y$106,"常",'②-1職員名簿'!$L$7:$L$106,"",'②-1職員名簿'!$M$7:$M$106,"")</f>
        <v>0</v>
      </c>
      <c r="O16" s="314">
        <f>SUMIFS('②-2勤務時間数入力'!Y$7:Y$106,'②-1職員名簿'!$N$7:$N$106,"有",'②-1職員名簿'!AW$7:AW$106,"C",'②-1職員名簿'!$C$7:$C$106,"パート",'②-1職員名簿'!$L$7:$L$106,"",'②-1職員名簿'!$M$7:$M$106,"")</f>
        <v>0</v>
      </c>
      <c r="P16" s="314">
        <f>COUNTIFS('②-1職員名簿'!$N$7:$N$106,"有",'②-1職員名簿'!AW$7:AW$106,"C",'②-2勤務時間数入力'!$C$7:$C$106,"嘱託常勤",'②-2勤務時間数入力'!Y$7:Y$106,"常",'②-1職員名簿'!$L$7:$L$106,"",'②-1職員名簿'!$M$7:$M$106,"")</f>
        <v>0</v>
      </c>
      <c r="Q16" s="314">
        <f>SUMIFS('②-2勤務時間数入力'!Y$7:Y$106,'②-1職員名簿'!$N$7:$N$106,"有",'②-1職員名簿'!AW$7:AW$106,"C",'②-1職員名簿'!$C$7:$C$106,"嘱託等",'②-1職員名簿'!$L$7:$L$106,"",'②-1職員名簿'!$M$7:$M$106,"")</f>
        <v>0</v>
      </c>
      <c r="R16" s="316">
        <f>COUNTIFS('②-1職員名簿'!$W$7:$W$106,"園長",'②-1職員名簿'!AW$7:AW$106,"C")</f>
        <v>0</v>
      </c>
      <c r="S16" s="317">
        <f t="shared" si="0"/>
        <v>0</v>
      </c>
      <c r="T16" s="318">
        <f t="shared" si="1"/>
        <v>0</v>
      </c>
      <c r="U16" s="319" t="e">
        <f t="shared" si="2"/>
        <v>#DIV/0!</v>
      </c>
      <c r="V16" s="319" t="e">
        <f t="shared" si="3"/>
        <v>#DIV/0!</v>
      </c>
      <c r="W16" s="513" t="e">
        <f t="shared" si="9"/>
        <v>#DIV/0!</v>
      </c>
      <c r="X16" s="319" t="e">
        <f t="shared" si="10"/>
        <v>#DIV/0!</v>
      </c>
      <c r="Y16" s="320"/>
      <c r="Z16" s="321" t="e">
        <f t="shared" si="11"/>
        <v>#N/A</v>
      </c>
      <c r="AA16" s="316">
        <f>COUNTIFS('②-1職員名簿'!AW$7:AW$106,"D",'②-2勤務時間数入力'!M$7:M$106,"正")</f>
        <v>0</v>
      </c>
      <c r="AB16" s="314">
        <f>COUNTIFS('②-1職員名簿'!AW$7:AW$106,"D",'②-2勤務時間数入力'!$C$7:$C$106,"常勤的非常勤",'②-2勤務時間数入力'!Y$7:Y$106,"常")</f>
        <v>0</v>
      </c>
      <c r="AC16" s="314">
        <f>SUMIFS('②-2勤務時間数入力'!Y$7:Y$106,'②-1職員名簿'!AW$7:AW$106,"D",'②-1職員名簿'!$C$7:$C$106,"パート")</f>
        <v>0</v>
      </c>
      <c r="AD16" s="314">
        <f>COUNTIFS('②-1職員名簿'!AW$7:AW$106,"D",'②-2勤務時間数入力'!$C$7:$C$106,"嘱託常勤",'②-2勤務時間数入力'!Y$7:Y$106,"常")</f>
        <v>0</v>
      </c>
      <c r="AE16" s="314">
        <f>SUMIFS('②-2勤務時間数入力'!Y$7:Y$106,'②-1職員名簿'!AW$7:AW$106,"D",'②-1職員名簿'!$C$7:$C$106,"嘱託等")</f>
        <v>0</v>
      </c>
      <c r="AF16" s="316">
        <f>COUNTIFS('②-1職員名簿'!$P$7:$P$106,"有",'②-1職員名簿'!AW$7:AW$106,"E",'②-2勤務時間数入力'!M$7:M$106,"正",'②-1職員名簿'!$O$7:$O$106,"")</f>
        <v>0</v>
      </c>
      <c r="AG16" s="314">
        <f>COUNTIFS('②-1職員名簿'!$P$7:$P$106,"有",'②-1職員名簿'!AW$7:AW$106,"E",'②-2勤務時間数入力'!$C$7:$C$106,"常勤的非常勤",'②-2勤務時間数入力'!Y$7:Y$106,"常",'②-1職員名簿'!$O$7:$O$106,"")</f>
        <v>0</v>
      </c>
      <c r="AH16" s="314">
        <f>SUMIFS('②-2勤務時間数入力'!Y$7:Y$106,'②-1職員名簿'!AW$7:AW$106,"E",'②-1職員名簿'!$P$7:$P$106,"有",'②-1職員名簿'!$C$7:$C$106,"パート",'②-1職員名簿'!$O$7:$O$106,"")</f>
        <v>0</v>
      </c>
      <c r="AI16" s="314">
        <f>COUNTIFS('②-1職員名簿'!$P$7:$P$106,"有",'②-1職員名簿'!AW$7:AW$106,"E",'②-2勤務時間数入力'!$C$7:$C$106,"嘱託常勤",'②-2勤務時間数入力'!Y$7:Y$106,"常",'②-1職員名簿'!$O$7:$O$106,"")</f>
        <v>0</v>
      </c>
      <c r="AJ16" s="314">
        <f>SUMIFS('②-2勤務時間数入力'!Y$7:Y$106,'②-1職員名簿'!AW$7:AW$106,"E",'②-1職員名簿'!$P$7:$P$106,"有",'②-1職員名簿'!$C$7:$C$106,"嘱託等",'②-1職員名簿'!$O$7:$O$106,"")</f>
        <v>0</v>
      </c>
      <c r="AK16" s="322">
        <f>COUNTIFS('②-1職員名簿'!AW$7:AW$106,"E",'②-2勤務時間数入力'!M$7:M$106,"正",'②-1職員名簿'!$P$7:$P$106,"")</f>
        <v>0</v>
      </c>
      <c r="AL16" s="323">
        <f>COUNTIFS('②-1職員名簿'!AW$7:AW$106,"E",'②-2勤務時間数入力'!$C$7:$C$106,"常勤的非常勤",'②-2勤務時間数入力'!Y$7:Y$106,"常",'②-1職員名簿'!$P$7:$P$106,"")</f>
        <v>0</v>
      </c>
      <c r="AM16" s="323">
        <f>SUMIFS('②-2勤務時間数入力'!Y$7:Y$106,'②-1職員名簿'!AW$7:AW$106,"E",'②-1職員名簿'!$C$7:$C$106,"パート",'②-1職員名簿'!$P$7:$P$106,"")</f>
        <v>0</v>
      </c>
      <c r="AN16" s="323">
        <f>COUNTIFS('②-1職員名簿'!AW$7:AW$106,"E",'②-2勤務時間数入力'!$C$7:$C$106,"嘱託常勤",'②-2勤務時間数入力'!Y$7:Y$106,"常",'②-1職員名簿'!$P$7:$P$106,"")</f>
        <v>0</v>
      </c>
      <c r="AO16" s="323">
        <f>SUMIFS('②-2勤務時間数入力'!Y$7:Y$106,'②-1職員名簿'!AW$7:AW$106,"E",'②-1職員名簿'!$C$7:$C$106,"嘱託等",'②-1職員名簿'!$P$7:$P$106,"")</f>
        <v>0</v>
      </c>
      <c r="AP16" s="251">
        <f t="shared" si="12"/>
        <v>0</v>
      </c>
      <c r="AQ16" s="251">
        <f t="shared" ref="AQ16" si="19">AA16+AF16+AK16-AP16</f>
        <v>0</v>
      </c>
      <c r="AR16" s="251">
        <f t="shared" si="4"/>
        <v>0</v>
      </c>
      <c r="AS16" s="597" t="e">
        <f t="shared" si="5"/>
        <v>#DIV/0!</v>
      </c>
      <c r="AT16" s="598" t="e">
        <f t="shared" si="13"/>
        <v>#DIV/0!</v>
      </c>
      <c r="AU16" s="308">
        <f>COUNTIFS('②-1職員名簿'!$W$7:$W$106,"園長",'②-1職員名簿'!AW$7:AW$106,"D")</f>
        <v>0</v>
      </c>
      <c r="AV16" s="309">
        <f>COUNTIFS('②-1職員名簿'!$W$7:$W$106,"園長",'②-1職員名簿'!$P$7:$P$106,"有",'②-1職員名簿'!AW$7:AW$106,"E")</f>
        <v>0</v>
      </c>
      <c r="AW16" s="252" t="e">
        <f t="shared" si="6"/>
        <v>#DIV/0!</v>
      </c>
      <c r="AX16" s="252" t="e">
        <f t="shared" si="7"/>
        <v>#DIV/0!</v>
      </c>
      <c r="AY16" s="252" t="e">
        <f t="shared" si="8"/>
        <v>#N/A</v>
      </c>
      <c r="AZ16" s="253" t="e">
        <f t="shared" si="14"/>
        <v>#N/A</v>
      </c>
    </row>
    <row r="17" spans="1:52" s="34" customFormat="1" ht="36" customHeight="1">
      <c r="A17" s="282">
        <v>12</v>
      </c>
      <c r="B17" s="315">
        <f>'②-2勤務時間数入力'!AH15</f>
        <v>0</v>
      </c>
      <c r="C17" s="314">
        <f>COUNTIFS('②-1職員名簿'!$L$7:$L$106,"有",'②-1職員名簿'!AK$7:AK$106,"○",'②-2勤務時間数入力'!N$7:N$106,"正")</f>
        <v>0</v>
      </c>
      <c r="D17" s="314">
        <f>COUNTIFS('②-1職員名簿'!$L$7:$L$106,"有",'②-2勤務時間数入力'!$C$7:$C$106,"常勤的非常勤",'②-2勤務時間数入力'!Z$7:Z$106,"常")</f>
        <v>0</v>
      </c>
      <c r="E17" s="314">
        <f>SUMIFS('②-2勤務時間数入力'!Z$7:Z$106,'②-1職員名簿'!$L$7:$L$106,"有",'②-1職員名簿'!$C$7:$C$106,"パート")</f>
        <v>0</v>
      </c>
      <c r="F17" s="314">
        <f>COUNTIFS('②-1職員名簿'!$L$7:$L$106,"有",'②-2勤務時間数入力'!$C$7:$C$106,"嘱託常勤",'②-2勤務時間数入力'!Z$7:Z$106,"常")</f>
        <v>0</v>
      </c>
      <c r="G17" s="314">
        <f>SUMIFS('②-2勤務時間数入力'!Z$7:Z$106,'②-1職員名簿'!$L$7:$L$106,"有",'②-1職員名簿'!$C$7:$C$106,"嘱託等")</f>
        <v>0</v>
      </c>
      <c r="H17" s="314">
        <f>COUNTIFS('②-1職員名簿'!$M$7:$M$106,"有",'②-1職員名簿'!AX$7:AX$106,"C",'②-2勤務時間数入力'!N$7:N$106,"正",'②-1職員名簿'!$L$7:$L$106,"")</f>
        <v>0</v>
      </c>
      <c r="I17" s="314">
        <f>COUNTIFS('②-1職員名簿'!$M$7:$M$106,"有",'②-1職員名簿'!AX$7:AX$106,"C",'②-2勤務時間数入力'!$C$7:$C$106,"常勤的非常勤",'②-2勤務時間数入力'!Z$7:Z$106,"常",'②-1職員名簿'!$L$7:$L$106,"")</f>
        <v>0</v>
      </c>
      <c r="J17" s="314">
        <f>SUMIFS('②-2勤務時間数入力'!Z$7:Z$106,'②-1職員名簿'!$M$7:$M$106,"有",'②-1職員名簿'!AX$7:AX$106,"C",'②-1職員名簿'!$C$7:$C$106,"パート",'②-1職員名簿'!$L$7:$L$106,"")</f>
        <v>0</v>
      </c>
      <c r="K17" s="314">
        <f>COUNTIFS('②-1職員名簿'!$M$7:$M$106,"有",'②-1職員名簿'!AX$7:AX$106,"C",'②-2勤務時間数入力'!$C$7:$C$106,"嘱託常勤",'②-2勤務時間数入力'!Z$7:Z$106,"常",'②-1職員名簿'!$L$7:$L$106,"")</f>
        <v>0</v>
      </c>
      <c r="L17" s="314">
        <f>SUMIFS('②-2勤務時間数入力'!Z$7:Z$106,'②-1職員名簿'!$M$7:$M$106,"有",'②-1職員名簿'!AX$7:AX$106,"C",'②-1職員名簿'!$C$7:$C$106,"嘱託等",'②-1職員名簿'!$L$7:$L$106,"")</f>
        <v>0</v>
      </c>
      <c r="M17" s="314">
        <f>COUNTIFS('②-1職員名簿'!$N$7:$N$106,"有",'②-1職員名簿'!AX$7:AX$106,"C",'②-2勤務時間数入力'!N$7:N$106,"正",'②-1職員名簿'!$L$7:$L$106,"",'②-1職員名簿'!$M$7:$M$106,"")</f>
        <v>0</v>
      </c>
      <c r="N17" s="314">
        <f>COUNTIFS('②-1職員名簿'!$N$7:$N$106,"有",'②-1職員名簿'!AX$7:AX$106,"C",'②-2勤務時間数入力'!$C$7:$C$106,"常勤的非常勤",'②-2勤務時間数入力'!Z$7:Z$106,"常",'②-1職員名簿'!$L$7:$L$106,"",'②-1職員名簿'!$M$7:$M$106,"")</f>
        <v>0</v>
      </c>
      <c r="O17" s="314">
        <f>SUMIFS('②-2勤務時間数入力'!Z$7:Z$106,'②-1職員名簿'!$N$7:$N$106,"有",'②-1職員名簿'!AX$7:AX$106,"C",'②-1職員名簿'!$C$7:$C$106,"パート",'②-1職員名簿'!$L$7:$L$106,"",'②-1職員名簿'!$M$7:$M$106,"")</f>
        <v>0</v>
      </c>
      <c r="P17" s="314">
        <f>COUNTIFS('②-1職員名簿'!$N$7:$N$106,"有",'②-1職員名簿'!AX$7:AX$106,"C",'②-2勤務時間数入力'!$C$7:$C$106,"嘱託常勤",'②-2勤務時間数入力'!Z$7:Z$106,"常",'②-1職員名簿'!$L$7:$L$106,"",'②-1職員名簿'!$M$7:$M$106,"")</f>
        <v>0</v>
      </c>
      <c r="Q17" s="314">
        <f>SUMIFS('②-2勤務時間数入力'!Z$7:Z$106,'②-1職員名簿'!$N$7:$N$106,"有",'②-1職員名簿'!AX$7:AX$106,"C",'②-1職員名簿'!$C$7:$C$106,"嘱託等",'②-1職員名簿'!$L$7:$L$106,"",'②-1職員名簿'!$M$7:$M$106,"")</f>
        <v>0</v>
      </c>
      <c r="R17" s="316">
        <f>COUNTIFS('②-1職員名簿'!$W$7:$W$106,"園長",'②-1職員名簿'!AX$7:AX$106,"C")</f>
        <v>0</v>
      </c>
      <c r="S17" s="317">
        <f t="shared" si="0"/>
        <v>0</v>
      </c>
      <c r="T17" s="318">
        <f t="shared" si="1"/>
        <v>0</v>
      </c>
      <c r="U17" s="319" t="e">
        <f t="shared" si="2"/>
        <v>#DIV/0!</v>
      </c>
      <c r="V17" s="319" t="e">
        <f t="shared" si="3"/>
        <v>#DIV/0!</v>
      </c>
      <c r="W17" s="513" t="e">
        <f t="shared" si="9"/>
        <v>#DIV/0!</v>
      </c>
      <c r="X17" s="319" t="e">
        <f t="shared" si="10"/>
        <v>#DIV/0!</v>
      </c>
      <c r="Y17" s="320"/>
      <c r="Z17" s="321" t="e">
        <f t="shared" si="11"/>
        <v>#N/A</v>
      </c>
      <c r="AA17" s="316">
        <f>COUNTIFS('②-1職員名簿'!AX$7:AX$106,"D",'②-2勤務時間数入力'!N$7:N$106,"正")</f>
        <v>0</v>
      </c>
      <c r="AB17" s="314">
        <f>COUNTIFS('②-1職員名簿'!AX$7:AX$106,"D",'②-2勤務時間数入力'!$C$7:$C$106,"常勤的非常勤",'②-2勤務時間数入力'!Z$7:Z$106,"常")</f>
        <v>0</v>
      </c>
      <c r="AC17" s="314">
        <f>SUMIFS('②-2勤務時間数入力'!Z$7:Z$106,'②-1職員名簿'!AX$7:AX$106,"D",'②-1職員名簿'!$C$7:$C$106,"パート")</f>
        <v>0</v>
      </c>
      <c r="AD17" s="314">
        <f>COUNTIFS('②-1職員名簿'!AX$7:AX$106,"D",'②-2勤務時間数入力'!$C$7:$C$106,"嘱託常勤",'②-2勤務時間数入力'!Z$7:Z$106,"常")</f>
        <v>0</v>
      </c>
      <c r="AE17" s="314">
        <f>SUMIFS('②-2勤務時間数入力'!Z$7:Z$106,'②-1職員名簿'!AX$7:AX$106,"D",'②-1職員名簿'!$C$7:$C$106,"嘱託等")</f>
        <v>0</v>
      </c>
      <c r="AF17" s="316">
        <f>COUNTIFS('②-1職員名簿'!$P$7:$P$106,"有",'②-1職員名簿'!AX$7:AX$106,"E",'②-2勤務時間数入力'!N$7:N$106,"正",'②-1職員名簿'!$O$7:$O$106,"")</f>
        <v>0</v>
      </c>
      <c r="AG17" s="314">
        <f>COUNTIFS('②-1職員名簿'!$P$7:$P$106,"有",'②-1職員名簿'!AX$7:AX$106,"E",'②-2勤務時間数入力'!$C$7:$C$106,"常勤的非常勤",'②-2勤務時間数入力'!Z$7:Z$106,"常",'②-1職員名簿'!$O$7:$O$106,"")</f>
        <v>0</v>
      </c>
      <c r="AH17" s="314">
        <f>SUMIFS('②-2勤務時間数入力'!Z$7:Z$106,'②-1職員名簿'!AX$7:AX$106,"E",'②-1職員名簿'!$P$7:$P$106,"有",'②-1職員名簿'!$C$7:$C$106,"パート",'②-1職員名簿'!$O$7:$O$106,"")</f>
        <v>0</v>
      </c>
      <c r="AI17" s="314">
        <f>COUNTIFS('②-1職員名簿'!$P$7:$P$106,"有",'②-1職員名簿'!AX$7:AX$106,"E",'②-2勤務時間数入力'!$C$7:$C$106,"嘱託常勤",'②-2勤務時間数入力'!Z$7:Z$106,"常",'②-1職員名簿'!$O$7:$O$106,"")</f>
        <v>0</v>
      </c>
      <c r="AJ17" s="314">
        <f>SUMIFS('②-2勤務時間数入力'!Z$7:Z$106,'②-1職員名簿'!AX$7:AX$106,"E",'②-1職員名簿'!$P$7:$P$106,"有",'②-1職員名簿'!$C$7:$C$106,"嘱託等",'②-1職員名簿'!$O$7:$O$106,"")</f>
        <v>0</v>
      </c>
      <c r="AK17" s="322">
        <f>COUNTIFS('②-1職員名簿'!AX$7:AX$106,"E",'②-2勤務時間数入力'!N$7:N$106,"正",'②-1職員名簿'!$P$7:$P$106,"")</f>
        <v>0</v>
      </c>
      <c r="AL17" s="323">
        <f>COUNTIFS('②-1職員名簿'!AX$7:AX$106,"E",'②-2勤務時間数入力'!$C$7:$C$106,"常勤的非常勤",'②-2勤務時間数入力'!Z$7:Z$106,"常",'②-1職員名簿'!$P$7:$P$106,"")</f>
        <v>0</v>
      </c>
      <c r="AM17" s="323">
        <f>SUMIFS('②-2勤務時間数入力'!Z$7:Z$106,'②-1職員名簿'!AX$7:AX$106,"E",'②-1職員名簿'!$C$7:$C$106,"パート",'②-1職員名簿'!$P$7:$P$106,"")</f>
        <v>0</v>
      </c>
      <c r="AN17" s="323">
        <f>COUNTIFS('②-1職員名簿'!AX$7:AX$106,"E",'②-2勤務時間数入力'!$C$7:$C$106,"嘱託常勤",'②-2勤務時間数入力'!Z$7:Z$106,"常",'②-1職員名簿'!$P$7:$P$106,"")</f>
        <v>0</v>
      </c>
      <c r="AO17" s="323">
        <f>SUMIFS('②-2勤務時間数入力'!Z$7:Z$106,'②-1職員名簿'!AX$7:AX$106,"E",'②-1職員名簿'!$C$7:$C$106,"嘱託等",'②-1職員名簿'!$P$7:$P$106,"")</f>
        <v>0</v>
      </c>
      <c r="AP17" s="251">
        <f t="shared" si="12"/>
        <v>0</v>
      </c>
      <c r="AQ17" s="168">
        <f t="shared" ref="AQ17" si="20">AA17+AF17+AK17-AP17</f>
        <v>0</v>
      </c>
      <c r="AR17" s="168">
        <f t="shared" si="4"/>
        <v>0</v>
      </c>
      <c r="AS17" s="597" t="e">
        <f t="shared" si="5"/>
        <v>#DIV/0!</v>
      </c>
      <c r="AT17" s="598" t="e">
        <f t="shared" si="13"/>
        <v>#DIV/0!</v>
      </c>
      <c r="AU17" s="308">
        <f>COUNTIFS('②-1職員名簿'!$W$7:$W$106,"園長",'②-1職員名簿'!AX$7:AX$106,"D")</f>
        <v>0</v>
      </c>
      <c r="AV17" s="309">
        <f>COUNTIFS('②-1職員名簿'!$W$7:$W$106,"園長",'②-1職員名簿'!$P$7:$P$106,"有",'②-1職員名簿'!AX$7:AX$106,"E")</f>
        <v>0</v>
      </c>
      <c r="AW17" s="252" t="e">
        <f t="shared" si="6"/>
        <v>#DIV/0!</v>
      </c>
      <c r="AX17" s="252" t="e">
        <f t="shared" si="7"/>
        <v>#DIV/0!</v>
      </c>
      <c r="AY17" s="34" t="e">
        <f t="shared" si="8"/>
        <v>#N/A</v>
      </c>
      <c r="AZ17" s="250" t="e">
        <f t="shared" si="14"/>
        <v>#N/A</v>
      </c>
    </row>
    <row r="18" spans="1:52" s="34" customFormat="1" ht="36" customHeight="1">
      <c r="A18" s="282">
        <v>1</v>
      </c>
      <c r="B18" s="315">
        <f>'②-2勤務時間数入力'!AH16</f>
        <v>0</v>
      </c>
      <c r="C18" s="314">
        <f>COUNTIFS('②-1職員名簿'!$L$7:$L$106,"有",'②-1職員名簿'!AL$7:AL$106,"○",'②-2勤務時間数入力'!O$7:O$106,"正")</f>
        <v>0</v>
      </c>
      <c r="D18" s="314">
        <f>COUNTIFS('②-1職員名簿'!$L$7:$L$106,"有",'②-2勤務時間数入力'!$C$7:$C$106,"常勤的非常勤",'②-2勤務時間数入力'!AA$7:AA$106,"常")</f>
        <v>0</v>
      </c>
      <c r="E18" s="314">
        <f>SUMIFS('②-2勤務時間数入力'!AA$7:AA$106,'②-1職員名簿'!$L$7:$L$106,"有",'②-1職員名簿'!$C$7:$C$106,"パート")</f>
        <v>0</v>
      </c>
      <c r="F18" s="314">
        <f>COUNTIFS('②-1職員名簿'!$L$7:$L$106,"有",'②-2勤務時間数入力'!$C$7:$C$106,"嘱託常勤",'②-2勤務時間数入力'!AA$7:AA$106,"常")</f>
        <v>0</v>
      </c>
      <c r="G18" s="314">
        <f>SUMIFS('②-2勤務時間数入力'!AA$7:AA$106,'②-1職員名簿'!$L$7:$L$106,"有",'②-1職員名簿'!$C$7:$C$106,"嘱託等")</f>
        <v>0</v>
      </c>
      <c r="H18" s="314">
        <f>COUNTIFS('②-1職員名簿'!$M$7:$M$106,"有",'②-1職員名簿'!AY$7:AY$106,"C",'②-2勤務時間数入力'!O$7:O$106,"正",'②-1職員名簿'!$L$7:$L$106,"")</f>
        <v>0</v>
      </c>
      <c r="I18" s="314">
        <f>COUNTIFS('②-1職員名簿'!$M$7:$M$106,"有",'②-1職員名簿'!AY$7:AY$106,"C",'②-2勤務時間数入力'!$C$7:$C$106,"常勤的非常勤",'②-2勤務時間数入力'!AA$7:AA$106,"常",'②-1職員名簿'!$L$7:$L$106,"")</f>
        <v>0</v>
      </c>
      <c r="J18" s="314">
        <f>SUMIFS('②-2勤務時間数入力'!AA$7:AA$106,'②-1職員名簿'!$M$7:$M$106,"有",'②-1職員名簿'!AY$7:AY$106,"C",'②-1職員名簿'!$C$7:$C$106,"パート",'②-1職員名簿'!$L$7:$L$106,"")</f>
        <v>0</v>
      </c>
      <c r="K18" s="314">
        <f>COUNTIFS('②-1職員名簿'!$M$7:$M$106,"有",'②-1職員名簿'!AY$7:AY$106,"C",'②-2勤務時間数入力'!$C$7:$C$106,"嘱託常勤",'②-2勤務時間数入力'!AA$7:AA$106,"常",'②-1職員名簿'!$L$7:$L$106,"")</f>
        <v>0</v>
      </c>
      <c r="L18" s="314">
        <f>SUMIFS('②-2勤務時間数入力'!AA$7:AA$106,'②-1職員名簿'!$M$7:$M$106,"有",'②-1職員名簿'!AY$7:AY$106,"C",'②-1職員名簿'!$C$7:$C$106,"嘱託等",'②-1職員名簿'!$L$7:$L$106,"")</f>
        <v>0</v>
      </c>
      <c r="M18" s="314">
        <f>COUNTIFS('②-1職員名簿'!$N$7:$N$106,"有",'②-1職員名簿'!AY$7:AY$106,"C",'②-2勤務時間数入力'!O$7:O$106,"正",'②-1職員名簿'!$L$7:$L$106,"",'②-1職員名簿'!$M$7:$M$106,"")</f>
        <v>0</v>
      </c>
      <c r="N18" s="314">
        <f>COUNTIFS('②-1職員名簿'!$N$7:$N$106,"有",'②-1職員名簿'!AY$7:AY$106,"C",'②-2勤務時間数入力'!$C$7:$C$106,"常勤的非常勤",'②-2勤務時間数入力'!AA$7:AA$106,"常",'②-1職員名簿'!$L$7:$L$106,"",'②-1職員名簿'!$M$7:$M$106,"")</f>
        <v>0</v>
      </c>
      <c r="O18" s="314">
        <f>SUMIFS('②-2勤務時間数入力'!AA$7:AA$106,'②-1職員名簿'!$N$7:$N$106,"有",'②-1職員名簿'!AY$7:AY$106,"C",'②-1職員名簿'!$C$7:$C$106,"パート",'②-1職員名簿'!$L$7:$L$106,"",'②-1職員名簿'!$M$7:$M$106,"")</f>
        <v>0</v>
      </c>
      <c r="P18" s="314">
        <f>COUNTIFS('②-1職員名簿'!$N$7:$N$106,"有",'②-1職員名簿'!AY$7:AY$106,"C",'②-2勤務時間数入力'!$C$7:$C$106,"嘱託常勤",'②-2勤務時間数入力'!AA$7:AA$106,"常",'②-1職員名簿'!$L$7:$L$106,"",'②-1職員名簿'!$M$7:$M$106,"")</f>
        <v>0</v>
      </c>
      <c r="Q18" s="314">
        <f>SUMIFS('②-2勤務時間数入力'!AA$7:AA$106,'②-1職員名簿'!$N$7:$N$106,"有",'②-1職員名簿'!AY$7:AY$106,"C",'②-1職員名簿'!$C$7:$C$106,"嘱託等",'②-1職員名簿'!$L$7:$L$106,"",'②-1職員名簿'!$M$7:$M$106,"")</f>
        <v>0</v>
      </c>
      <c r="R18" s="316">
        <f>COUNTIFS('②-1職員名簿'!$W$7:$W$106,"園長",'②-1職員名簿'!AY$7:AY$106,"C")</f>
        <v>0</v>
      </c>
      <c r="S18" s="317">
        <f t="shared" si="0"/>
        <v>0</v>
      </c>
      <c r="T18" s="318">
        <f t="shared" si="1"/>
        <v>0</v>
      </c>
      <c r="U18" s="319" t="e">
        <f t="shared" si="2"/>
        <v>#DIV/0!</v>
      </c>
      <c r="V18" s="319" t="e">
        <f t="shared" si="3"/>
        <v>#DIV/0!</v>
      </c>
      <c r="W18" s="513" t="e">
        <f t="shared" si="9"/>
        <v>#DIV/0!</v>
      </c>
      <c r="X18" s="319" t="e">
        <f t="shared" si="10"/>
        <v>#DIV/0!</v>
      </c>
      <c r="Y18" s="320"/>
      <c r="Z18" s="321" t="e">
        <f t="shared" si="11"/>
        <v>#N/A</v>
      </c>
      <c r="AA18" s="316">
        <f>COUNTIFS('②-1職員名簿'!AY$7:AY$106,"D",'②-2勤務時間数入力'!O$7:O$106,"正")</f>
        <v>0</v>
      </c>
      <c r="AB18" s="314">
        <f>COUNTIFS('②-1職員名簿'!AY$7:AY$106,"D",'②-2勤務時間数入力'!$C$7:$C$106,"常勤的非常勤",'②-2勤務時間数入力'!AA$7:AA$106,"常")</f>
        <v>0</v>
      </c>
      <c r="AC18" s="314">
        <f>SUMIFS('②-2勤務時間数入力'!AA$7:AA$106,'②-1職員名簿'!AY$7:AY$106,"D",'②-1職員名簿'!$C$7:$C$106,"パート")</f>
        <v>0</v>
      </c>
      <c r="AD18" s="314">
        <f>COUNTIFS('②-1職員名簿'!AY$7:AY$106,"D",'②-2勤務時間数入力'!$C$7:$C$106,"嘱託常勤",'②-2勤務時間数入力'!AA$7:AA$106,"常")</f>
        <v>0</v>
      </c>
      <c r="AE18" s="314">
        <f>SUMIFS('②-2勤務時間数入力'!AA$7:AA$106,'②-1職員名簿'!AY$7:AY$106,"D",'②-1職員名簿'!$C$7:$C$106,"嘱託等")</f>
        <v>0</v>
      </c>
      <c r="AF18" s="316">
        <f>COUNTIFS('②-1職員名簿'!$P$7:$P$106,"有",'②-1職員名簿'!AY$7:AY$106,"E",'②-2勤務時間数入力'!O$7:O$106,"正",'②-1職員名簿'!$O$7:$O$106,"")</f>
        <v>0</v>
      </c>
      <c r="AG18" s="314">
        <f>COUNTIFS('②-1職員名簿'!$P$7:$P$106,"有",'②-1職員名簿'!AY$7:AY$106,"E",'②-2勤務時間数入力'!$C$7:$C$106,"常勤的非常勤",'②-2勤務時間数入力'!AA$7:AA$106,"常",'②-1職員名簿'!$O$7:$O$106,"")</f>
        <v>0</v>
      </c>
      <c r="AH18" s="314">
        <f>SUMIFS('②-2勤務時間数入力'!AA$7:AA$106,'②-1職員名簿'!AY$7:AY$106,"E",'②-1職員名簿'!$P$7:$P$106,"有",'②-1職員名簿'!$C$7:$C$106,"パート",'②-1職員名簿'!$O$7:$O$106,"")</f>
        <v>0</v>
      </c>
      <c r="AI18" s="314">
        <f>COUNTIFS('②-1職員名簿'!$P$7:$P$106,"有",'②-1職員名簿'!AY$7:AY$106,"E",'②-2勤務時間数入力'!$C$7:$C$106,"嘱託常勤",'②-2勤務時間数入力'!AA$7:AA$106,"常",'②-1職員名簿'!$O$7:$O$106,"")</f>
        <v>0</v>
      </c>
      <c r="AJ18" s="314">
        <f>SUMIFS('②-2勤務時間数入力'!AA$7:AA$106,'②-1職員名簿'!AY$7:AY$106,"E",'②-1職員名簿'!$P$7:$P$106,"有",'②-1職員名簿'!$C$7:$C$106,"嘱託等",'②-1職員名簿'!$O$7:$O$106,"")</f>
        <v>0</v>
      </c>
      <c r="AK18" s="322">
        <f>COUNTIFS('②-1職員名簿'!AY$7:AY$106,"E",'②-2勤務時間数入力'!O$7:O$106,"正",'②-1職員名簿'!$P$7:$P$106,"")</f>
        <v>0</v>
      </c>
      <c r="AL18" s="323">
        <f>COUNTIFS('②-1職員名簿'!AY$7:AY$106,"E",'②-2勤務時間数入力'!$C$7:$C$106,"常勤的非常勤",'②-2勤務時間数入力'!AA$7:AA$106,"常",'②-1職員名簿'!$P$7:$P$106,"")</f>
        <v>0</v>
      </c>
      <c r="AM18" s="323">
        <f>SUMIFS('②-2勤務時間数入力'!AA$7:AA$106,'②-1職員名簿'!AY$7:AY$106,"E",'②-1職員名簿'!$C$7:$C$106,"パート",'②-1職員名簿'!$P$7:$P$106,"")</f>
        <v>0</v>
      </c>
      <c r="AN18" s="323">
        <f>COUNTIFS('②-1職員名簿'!AY$7:AY$106,"E",'②-2勤務時間数入力'!$C$7:$C$106,"嘱託常勤",'②-2勤務時間数入力'!AA$7:AA$106,"常",'②-1職員名簿'!$P$7:$P$106,"")</f>
        <v>0</v>
      </c>
      <c r="AO18" s="323">
        <f>SUMIFS('②-2勤務時間数入力'!AA$7:AA$106,'②-1職員名簿'!AY$7:AY$106,"E",'②-1職員名簿'!$C$7:$C$106,"嘱託等",'②-1職員名簿'!$P$7:$P$106,"")</f>
        <v>0</v>
      </c>
      <c r="AP18" s="251">
        <f t="shared" si="12"/>
        <v>0</v>
      </c>
      <c r="AQ18" s="168">
        <f t="shared" ref="AQ18" si="21">AA18+AF18+AK18-AP18</f>
        <v>0</v>
      </c>
      <c r="AR18" s="168">
        <f t="shared" si="4"/>
        <v>0</v>
      </c>
      <c r="AS18" s="597" t="e">
        <f t="shared" si="5"/>
        <v>#DIV/0!</v>
      </c>
      <c r="AT18" s="598" t="e">
        <f t="shared" si="13"/>
        <v>#DIV/0!</v>
      </c>
      <c r="AU18" s="308">
        <f>COUNTIFS('②-1職員名簿'!$W$7:$W$106,"園長",'②-1職員名簿'!AY$7:AY$106,"D")</f>
        <v>0</v>
      </c>
      <c r="AV18" s="309">
        <f>COUNTIFS('②-1職員名簿'!$W$7:$W$106,"園長",'②-1職員名簿'!$P$7:$P$106,"有",'②-1職員名簿'!AY$7:AY$106,"E")</f>
        <v>0</v>
      </c>
      <c r="AW18" s="252" t="e">
        <f t="shared" si="6"/>
        <v>#DIV/0!</v>
      </c>
      <c r="AX18" s="252" t="e">
        <f t="shared" si="7"/>
        <v>#DIV/0!</v>
      </c>
      <c r="AY18" s="34" t="e">
        <f t="shared" si="8"/>
        <v>#N/A</v>
      </c>
      <c r="AZ18" s="250" t="e">
        <f t="shared" si="14"/>
        <v>#N/A</v>
      </c>
    </row>
    <row r="19" spans="1:52" s="34" customFormat="1" ht="36" customHeight="1">
      <c r="A19" s="282">
        <v>2</v>
      </c>
      <c r="B19" s="315">
        <f>'②-2勤務時間数入力'!AH17</f>
        <v>0</v>
      </c>
      <c r="C19" s="314">
        <f>COUNTIFS('②-1職員名簿'!$L$7:$L$106,"有",'②-1職員名簿'!AM$7:AM$106,"○",'②-2勤務時間数入力'!P$7:P$106,"正")</f>
        <v>0</v>
      </c>
      <c r="D19" s="314">
        <f>COUNTIFS('②-1職員名簿'!$L$7:$L$106,"有",'②-2勤務時間数入力'!$C$7:$C$106,"常勤的非常勤",'②-2勤務時間数入力'!AB$7:AB$106,"常")</f>
        <v>0</v>
      </c>
      <c r="E19" s="314">
        <f>SUMIFS('②-2勤務時間数入力'!AB$7:AB$106,'②-1職員名簿'!$L$7:$L$106,"有",'②-1職員名簿'!$C$7:$C$106,"パート")</f>
        <v>0</v>
      </c>
      <c r="F19" s="314">
        <f>COUNTIFS('②-1職員名簿'!$L$7:$L$106,"有",'②-2勤務時間数入力'!$C$7:$C$106,"嘱託常勤",'②-2勤務時間数入力'!AB$7:AB$106,"常")</f>
        <v>0</v>
      </c>
      <c r="G19" s="314">
        <f>SUMIFS('②-2勤務時間数入力'!AB$7:AB$106,'②-1職員名簿'!$L$7:$L$106,"有",'②-1職員名簿'!$C$7:$C$106,"嘱託等")</f>
        <v>0</v>
      </c>
      <c r="H19" s="314">
        <f>COUNTIFS('②-1職員名簿'!$M$7:$M$106,"有",'②-1職員名簿'!AZ$7:AZ$106,"C",'②-2勤務時間数入力'!P$7:P$106,"正",'②-1職員名簿'!$L$7:$L$106,"")</f>
        <v>0</v>
      </c>
      <c r="I19" s="314">
        <f>COUNTIFS('②-1職員名簿'!$M$7:$M$106,"有",'②-1職員名簿'!AZ$7:AZ$106,"C",'②-2勤務時間数入力'!$C$7:$C$106,"常勤的非常勤",'②-2勤務時間数入力'!AB$7:AB$106,"常",'②-1職員名簿'!$L$7:$L$106,"")</f>
        <v>0</v>
      </c>
      <c r="J19" s="314">
        <f>SUMIFS('②-2勤務時間数入力'!AB$7:AB$106,'②-1職員名簿'!$M$7:$M$106,"有",'②-1職員名簿'!AZ$7:AZ$106,"C",'②-1職員名簿'!$C$7:$C$106,"パート",'②-1職員名簿'!$L$7:$L$106,"")</f>
        <v>0</v>
      </c>
      <c r="K19" s="314">
        <f>COUNTIFS('②-1職員名簿'!$M$7:$M$106,"有",'②-1職員名簿'!AZ$7:AZ$106,"C",'②-2勤務時間数入力'!$C$7:$C$106,"嘱託常勤",'②-2勤務時間数入力'!AB$7:AB$106,"常",'②-1職員名簿'!$L$7:$L$106,"")</f>
        <v>0</v>
      </c>
      <c r="L19" s="314">
        <f>SUMIFS('②-2勤務時間数入力'!AB$7:AB$106,'②-1職員名簿'!$M$7:$M$106,"有",'②-1職員名簿'!AZ$7:AZ$106,"C",'②-1職員名簿'!$C$7:$C$106,"嘱託等",'②-1職員名簿'!$L$7:$L$106,"")</f>
        <v>0</v>
      </c>
      <c r="M19" s="314">
        <f>COUNTIFS('②-1職員名簿'!$N$7:$N$106,"有",'②-1職員名簿'!AZ$7:AZ$106,"C",'②-2勤務時間数入力'!P$7:P$106,"正",'②-1職員名簿'!$L$7:$L$106,"",'②-1職員名簿'!$M$7:$M$106,"")</f>
        <v>0</v>
      </c>
      <c r="N19" s="314">
        <f>COUNTIFS('②-1職員名簿'!$N$7:$N$106,"有",'②-1職員名簿'!AZ$7:AZ$106,"C",'②-2勤務時間数入力'!$C$7:$C$106,"常勤的非常勤",'②-2勤務時間数入力'!AB$7:AB$106,"常",'②-1職員名簿'!$L$7:$L$106,"",'②-1職員名簿'!$M$7:$M$106,"")</f>
        <v>0</v>
      </c>
      <c r="O19" s="314">
        <f>SUMIFS('②-2勤務時間数入力'!AB$7:AB$106,'②-1職員名簿'!$N$7:$N$106,"有",'②-1職員名簿'!AZ$7:AZ$106,"C",'②-1職員名簿'!$C$7:$C$106,"パート",'②-1職員名簿'!$L$7:$L$106,"",'②-1職員名簿'!$M$7:$M$106,"")</f>
        <v>0</v>
      </c>
      <c r="P19" s="314">
        <f>COUNTIFS('②-1職員名簿'!$N$7:$N$106,"有",'②-1職員名簿'!AZ$7:AZ$106,"C",'②-2勤務時間数入力'!$C$7:$C$106,"嘱託常勤",'②-2勤務時間数入力'!AB$7:AB$106,"常",'②-1職員名簿'!$L$7:$L$106,"",'②-1職員名簿'!$M$7:$M$106,"")</f>
        <v>0</v>
      </c>
      <c r="Q19" s="314">
        <f>SUMIFS('②-2勤務時間数入力'!AB$7:AB$106,'②-1職員名簿'!$N$7:$N$106,"有",'②-1職員名簿'!AZ$7:AZ$106,"C",'②-1職員名簿'!$C$7:$C$106,"嘱託等",'②-1職員名簿'!$L$7:$L$106,"",'②-1職員名簿'!$M$7:$M$106,"")</f>
        <v>0</v>
      </c>
      <c r="R19" s="316">
        <f>COUNTIFS('②-1職員名簿'!$W$7:$W$106,"園長",'②-1職員名簿'!AZ$7:AZ$106,"C")</f>
        <v>0</v>
      </c>
      <c r="S19" s="317">
        <f t="shared" si="0"/>
        <v>0</v>
      </c>
      <c r="T19" s="318">
        <f t="shared" si="1"/>
        <v>0</v>
      </c>
      <c r="U19" s="319" t="e">
        <f t="shared" si="2"/>
        <v>#DIV/0!</v>
      </c>
      <c r="V19" s="319" t="e">
        <f t="shared" si="3"/>
        <v>#DIV/0!</v>
      </c>
      <c r="W19" s="513" t="e">
        <f t="shared" si="9"/>
        <v>#DIV/0!</v>
      </c>
      <c r="X19" s="319" t="e">
        <f t="shared" si="10"/>
        <v>#DIV/0!</v>
      </c>
      <c r="Y19" s="320"/>
      <c r="Z19" s="321" t="e">
        <f t="shared" si="11"/>
        <v>#N/A</v>
      </c>
      <c r="AA19" s="316">
        <f>COUNTIFS('②-1職員名簿'!AZ$7:AZ$106,"D",'②-2勤務時間数入力'!P$7:P$106,"正")</f>
        <v>0</v>
      </c>
      <c r="AB19" s="314">
        <f>COUNTIFS('②-1職員名簿'!AZ$7:AZ$106,"D",'②-2勤務時間数入力'!$C$7:$C$106,"常勤的非常勤",'②-2勤務時間数入力'!AB$7:AB$106,"常")</f>
        <v>0</v>
      </c>
      <c r="AC19" s="314">
        <f>SUMIFS('②-2勤務時間数入力'!AB$7:AB$106,'②-1職員名簿'!AZ$7:AZ$106,"D",'②-1職員名簿'!$C$7:$C$106,"パート")</f>
        <v>0</v>
      </c>
      <c r="AD19" s="314">
        <f>COUNTIFS('②-1職員名簿'!AZ$7:AZ$106,"D",'②-2勤務時間数入力'!$C$7:$C$106,"嘱託常勤",'②-2勤務時間数入力'!AB$7:AB$106,"常")</f>
        <v>0</v>
      </c>
      <c r="AE19" s="314">
        <f>SUMIFS('②-2勤務時間数入力'!AB$7:AB$106,'②-1職員名簿'!AZ$7:AZ$106,"D",'②-1職員名簿'!$C$7:$C$106,"嘱託等")</f>
        <v>0</v>
      </c>
      <c r="AF19" s="316">
        <f>COUNTIFS('②-1職員名簿'!$P$7:$P$106,"有",'②-1職員名簿'!AZ$7:AZ$106,"E",'②-2勤務時間数入力'!P$7:P$106,"正",'②-1職員名簿'!$O$7:$O$106,"")</f>
        <v>0</v>
      </c>
      <c r="AG19" s="314">
        <f>COUNTIFS('②-1職員名簿'!$P$7:$P$106,"有",'②-1職員名簿'!AZ$7:AZ$106,"E",'②-2勤務時間数入力'!$C$7:$C$106,"常勤的非常勤",'②-2勤務時間数入力'!AB$7:AB$106,"常",'②-1職員名簿'!$O$7:$O$106,"")</f>
        <v>0</v>
      </c>
      <c r="AH19" s="314">
        <f>SUMIFS('②-2勤務時間数入力'!AB$7:AB$106,'②-1職員名簿'!AZ$7:AZ$106,"E",'②-1職員名簿'!$P$7:$P$106,"有",'②-1職員名簿'!$C$7:$C$106,"パート",'②-1職員名簿'!$O$7:$O$106,"")</f>
        <v>0</v>
      </c>
      <c r="AI19" s="314">
        <f>COUNTIFS('②-1職員名簿'!$P$7:$P$106,"有",'②-1職員名簿'!AZ$7:AZ$106,"E",'②-2勤務時間数入力'!$C$7:$C$106,"嘱託常勤",'②-2勤務時間数入力'!AB$7:AB$106,"常",'②-1職員名簿'!$O$7:$O$106,"")</f>
        <v>0</v>
      </c>
      <c r="AJ19" s="314">
        <f>SUMIFS('②-2勤務時間数入力'!AB$7:AB$106,'②-1職員名簿'!AZ$7:AZ$106,"E",'②-1職員名簿'!$P$7:$P$106,"有",'②-1職員名簿'!$C$7:$C$106,"嘱託等",'②-1職員名簿'!$O$7:$O$106,"")</f>
        <v>0</v>
      </c>
      <c r="AK19" s="322">
        <f>COUNTIFS('②-1職員名簿'!AZ$7:AZ$106,"E",'②-2勤務時間数入力'!P$7:P$106,"正",'②-1職員名簿'!$P$7:$P$106,"")</f>
        <v>0</v>
      </c>
      <c r="AL19" s="323">
        <f>COUNTIFS('②-1職員名簿'!AZ$7:AZ$106,"E",'②-2勤務時間数入力'!$C$7:$C$106,"常勤的非常勤",'②-2勤務時間数入力'!AB$7:AB$106,"常",'②-1職員名簿'!$P$7:$P$106,"")</f>
        <v>0</v>
      </c>
      <c r="AM19" s="323">
        <f>SUMIFS('②-2勤務時間数入力'!AB$7:AB$106,'②-1職員名簿'!AZ$7:AZ$106,"E",'②-1職員名簿'!$C$7:$C$106,"パート",'②-1職員名簿'!$P$7:$P$106,"")</f>
        <v>0</v>
      </c>
      <c r="AN19" s="323">
        <f>COUNTIFS('②-1職員名簿'!AZ$7:AZ$106,"E",'②-2勤務時間数入力'!$C$7:$C$106,"嘱託常勤",'②-2勤務時間数入力'!AB$7:AB$106,"常",'②-1職員名簿'!$P$7:$P$106,"")</f>
        <v>0</v>
      </c>
      <c r="AO19" s="323">
        <f>SUMIFS('②-2勤務時間数入力'!AB$7:AB$106,'②-1職員名簿'!AZ$7:AZ$106,"E",'②-1職員名簿'!$C$7:$C$106,"嘱託等",'②-1職員名簿'!$P$7:$P$106,"")</f>
        <v>0</v>
      </c>
      <c r="AP19" s="251">
        <f t="shared" si="12"/>
        <v>0</v>
      </c>
      <c r="AQ19" s="168">
        <f t="shared" ref="AQ19" si="22">AA19+AF19+AK19-AP19</f>
        <v>0</v>
      </c>
      <c r="AR19" s="168">
        <f t="shared" si="4"/>
        <v>0</v>
      </c>
      <c r="AS19" s="597" t="e">
        <f t="shared" si="5"/>
        <v>#DIV/0!</v>
      </c>
      <c r="AT19" s="598" t="e">
        <f t="shared" si="13"/>
        <v>#DIV/0!</v>
      </c>
      <c r="AU19" s="308">
        <f>COUNTIFS('②-1職員名簿'!$W$7:$W$106,"園長",'②-1職員名簿'!AZ$7:AZ$106,"D")</f>
        <v>0</v>
      </c>
      <c r="AV19" s="309">
        <f>COUNTIFS('②-1職員名簿'!$W$7:$W$106,"園長",'②-1職員名簿'!$P$7:$P$106,"有",'②-1職員名簿'!AZ$7:AZ$106,"E")</f>
        <v>0</v>
      </c>
      <c r="AW19" s="252" t="e">
        <f t="shared" si="6"/>
        <v>#DIV/0!</v>
      </c>
      <c r="AX19" s="252" t="e">
        <f t="shared" si="7"/>
        <v>#DIV/0!</v>
      </c>
      <c r="AY19" s="34" t="e">
        <f t="shared" si="8"/>
        <v>#N/A</v>
      </c>
      <c r="AZ19" s="250" t="e">
        <f t="shared" si="14"/>
        <v>#N/A</v>
      </c>
    </row>
    <row r="20" spans="1:52" s="34" customFormat="1" ht="36" customHeight="1">
      <c r="A20" s="282">
        <v>3</v>
      </c>
      <c r="B20" s="315">
        <f>'②-2勤務時間数入力'!AH18</f>
        <v>0</v>
      </c>
      <c r="C20" s="314">
        <f>COUNTIFS('②-1職員名簿'!$L$7:$L$106,"有",'②-1職員名簿'!AN$7:AN$106,"○",'②-2勤務時間数入力'!Q$7:Q$106,"正")</f>
        <v>0</v>
      </c>
      <c r="D20" s="314">
        <f>COUNTIFS('②-1職員名簿'!$L$7:$L$106,"有",'②-2勤務時間数入力'!$C$7:$C$106,"常勤的非常勤",'②-2勤務時間数入力'!AC$7:AC$106,"常")</f>
        <v>0</v>
      </c>
      <c r="E20" s="314">
        <f>SUMIFS('②-2勤務時間数入力'!AC$7:AC$106,'②-1職員名簿'!$L$7:$L$106,"有",'②-1職員名簿'!$C$7:$C$106,"パート")</f>
        <v>0</v>
      </c>
      <c r="F20" s="314">
        <f>COUNTIFS('②-1職員名簿'!$L$7:$L$106,"有",'②-2勤務時間数入力'!$C$7:$C$106,"嘱託常勤",'②-2勤務時間数入力'!AC$7:AC$106,"常")</f>
        <v>0</v>
      </c>
      <c r="G20" s="314">
        <f>SUMIFS('②-2勤務時間数入力'!AC$7:AC$106,'②-1職員名簿'!$L$7:$L$106,"有",'②-1職員名簿'!$C$7:$C$106,"嘱託等")</f>
        <v>0</v>
      </c>
      <c r="H20" s="314">
        <f>COUNTIFS('②-1職員名簿'!$M$7:$M$106,"有",'②-1職員名簿'!BA$7:BA$106,"C",'②-2勤務時間数入力'!Q$7:Q$106,"正",'②-1職員名簿'!$L$7:$L$106,"")</f>
        <v>0</v>
      </c>
      <c r="I20" s="314">
        <f>COUNTIFS('②-1職員名簿'!$M$7:$M$106,"有",'②-1職員名簿'!BA$7:BA$106,"C",'②-2勤務時間数入力'!$C$7:$C$106,"常勤的非常勤",'②-2勤務時間数入力'!AC$7:AC$106,"常",'②-1職員名簿'!$L$7:$L$106,"")</f>
        <v>0</v>
      </c>
      <c r="J20" s="314">
        <f>SUMIFS('②-2勤務時間数入力'!AC$7:AC$106,'②-1職員名簿'!$M$7:$M$106,"有",'②-1職員名簿'!BA$7:BA$106,"C",'②-1職員名簿'!$C$7:$C$106,"パート",'②-1職員名簿'!$L$7:$L$106,"")</f>
        <v>0</v>
      </c>
      <c r="K20" s="314">
        <f>COUNTIFS('②-1職員名簿'!$M$7:$M$106,"有",'②-1職員名簿'!BA$7:BA$106,"C",'②-2勤務時間数入力'!$C$7:$C$106,"嘱託常勤",'②-2勤務時間数入力'!AC$7:AC$106,"常",'②-1職員名簿'!$L$7:$L$106,"")</f>
        <v>0</v>
      </c>
      <c r="L20" s="314">
        <f>SUMIFS('②-2勤務時間数入力'!AC$7:AC$106,'②-1職員名簿'!$M$7:$M$106,"有",'②-1職員名簿'!BA$7:BA$106,"C",'②-1職員名簿'!$C$7:$C$106,"嘱託等",'②-1職員名簿'!$L$7:$L$106,"")</f>
        <v>0</v>
      </c>
      <c r="M20" s="314">
        <f>COUNTIFS('②-1職員名簿'!$N$7:$N$106,"有",'②-1職員名簿'!BA$7:BA$106,"C",'②-2勤務時間数入力'!Q$7:Q$106,"正",'②-1職員名簿'!$L$7:$L$106,"",'②-1職員名簿'!$M$7:$M$106,"")</f>
        <v>0</v>
      </c>
      <c r="N20" s="314">
        <f>COUNTIFS('②-1職員名簿'!$N$7:$N$106,"有",'②-1職員名簿'!BA$7:BA$106,"C",'②-2勤務時間数入力'!$C$7:$C$106,"常勤的非常勤",'②-2勤務時間数入力'!AC$7:AC$106,"常",'②-1職員名簿'!$L$7:$L$106,"",'②-1職員名簿'!$M$7:$M$106,"")</f>
        <v>0</v>
      </c>
      <c r="O20" s="314">
        <f>SUMIFS('②-2勤務時間数入力'!AC$7:AC$106,'②-1職員名簿'!$N$7:$N$106,"有",'②-1職員名簿'!BA$7:BA$106,"C",'②-1職員名簿'!$C$7:$C$106,"パート",'②-1職員名簿'!$L$7:$L$106,"",'②-1職員名簿'!$M$7:$M$106,"")</f>
        <v>0</v>
      </c>
      <c r="P20" s="314">
        <f>COUNTIFS('②-1職員名簿'!$N$7:$N$106,"有",'②-1職員名簿'!BA$7:BA$106,"C",'②-2勤務時間数入力'!$C$7:$C$106,"嘱託常勤",'②-2勤務時間数入力'!AC$7:AC$106,"常",'②-1職員名簿'!$L$7:$L$106,"",'②-1職員名簿'!$M$7:$M$106,"")</f>
        <v>0</v>
      </c>
      <c r="Q20" s="314">
        <f>SUMIFS('②-2勤務時間数入力'!AC$7:AC$106,'②-1職員名簿'!$N$7:$N$106,"有",'②-1職員名簿'!BA$7:BA$106,"C",'②-1職員名簿'!$C$7:$C$106,"嘱託等",'②-1職員名簿'!$L$7:$L$106,"",'②-1職員名簿'!$M$7:$M$106,"")</f>
        <v>0</v>
      </c>
      <c r="R20" s="316">
        <f>COUNTIFS('②-1職員名簿'!$W$7:$W$106,"園長",'②-1職員名簿'!BA$7:BA$106,"C")</f>
        <v>0</v>
      </c>
      <c r="S20" s="317">
        <f t="shared" si="0"/>
        <v>0</v>
      </c>
      <c r="T20" s="318">
        <f t="shared" si="1"/>
        <v>0</v>
      </c>
      <c r="U20" s="319" t="e">
        <f t="shared" si="2"/>
        <v>#DIV/0!</v>
      </c>
      <c r="V20" s="324" t="e">
        <f t="shared" si="3"/>
        <v>#DIV/0!</v>
      </c>
      <c r="W20" s="513" t="e">
        <f t="shared" si="9"/>
        <v>#DIV/0!</v>
      </c>
      <c r="X20" s="319" t="e">
        <f t="shared" si="10"/>
        <v>#DIV/0!</v>
      </c>
      <c r="Y20" s="320"/>
      <c r="Z20" s="321" t="e">
        <f t="shared" si="11"/>
        <v>#N/A</v>
      </c>
      <c r="AA20" s="316">
        <f>COUNTIFS('②-1職員名簿'!BA$7:BA$106,"D",'②-2勤務時間数入力'!Q$7:Q$106,"正")</f>
        <v>0</v>
      </c>
      <c r="AB20" s="314">
        <f>COUNTIFS('②-1職員名簿'!BA$7:BA$106,"D",'②-2勤務時間数入力'!$C$7:$C$106,"常勤的非常勤",'②-2勤務時間数入力'!AC$7:AC$106,"常")</f>
        <v>0</v>
      </c>
      <c r="AC20" s="314">
        <f>SUMIFS('②-2勤務時間数入力'!AC$7:AC$106,'②-1職員名簿'!BA$7:BA$106,"D",'②-1職員名簿'!$C$7:$C$106,"パート")</f>
        <v>0</v>
      </c>
      <c r="AD20" s="314">
        <f>COUNTIFS('②-1職員名簿'!BA$7:BA$106,"D",'②-2勤務時間数入力'!$C$7:$C$106,"嘱託常勤",'②-2勤務時間数入力'!AC$7:AC$106,"常")</f>
        <v>0</v>
      </c>
      <c r="AE20" s="314">
        <f>SUMIFS('②-2勤務時間数入力'!AC$7:AC$106,'②-1職員名簿'!BA$7:BA$106,"D",'②-1職員名簿'!$C$7:$C$106,"嘱託等")</f>
        <v>0</v>
      </c>
      <c r="AF20" s="316">
        <f>COUNTIFS('②-1職員名簿'!$P$7:$P$106,"有",'②-1職員名簿'!BA$7:BA$106,"E",'②-2勤務時間数入力'!Q$7:Q$106,"正",'②-1職員名簿'!$O$7:$O$106,"")</f>
        <v>0</v>
      </c>
      <c r="AG20" s="314">
        <f>COUNTIFS('②-1職員名簿'!$P$7:$P$106,"有",'②-1職員名簿'!BA$7:BA$106,"E",'②-2勤務時間数入力'!$C$7:$C$106,"常勤的非常勤",'②-2勤務時間数入力'!AC$7:AC$106,"常",'②-1職員名簿'!$O$7:$O$106,"")</f>
        <v>0</v>
      </c>
      <c r="AH20" s="314">
        <f>SUMIFS('②-2勤務時間数入力'!AC$7:AC$106,'②-1職員名簿'!BA$7:BA$106,"E",'②-1職員名簿'!$P$7:$P$106,"有",'②-1職員名簿'!$C$7:$C$106,"パート",'②-1職員名簿'!$O$7:$O$106,"")</f>
        <v>0</v>
      </c>
      <c r="AI20" s="314">
        <f>COUNTIFS('②-1職員名簿'!$P$7:$P$106,"有",'②-1職員名簿'!BA$7:BA$106,"E",'②-2勤務時間数入力'!$C$7:$C$106,"嘱託常勤",'②-2勤務時間数入力'!AC$7:AC$106,"常",'②-1職員名簿'!$O$7:$O$106,"")</f>
        <v>0</v>
      </c>
      <c r="AJ20" s="314">
        <f>SUMIFS('②-2勤務時間数入力'!AC$7:AC$106,'②-1職員名簿'!BA$7:BA$106,"E",'②-1職員名簿'!$P$7:$P$106,"有",'②-1職員名簿'!$C$7:$C$106,"嘱託等",'②-1職員名簿'!$O$7:$O$106,"")</f>
        <v>0</v>
      </c>
      <c r="AK20" s="322">
        <f>COUNTIFS('②-1職員名簿'!BA$7:BA$106,"E",'②-2勤務時間数入力'!Q$7:Q$106,"正",'②-1職員名簿'!$P$7:$P$106,"")</f>
        <v>0</v>
      </c>
      <c r="AL20" s="323">
        <f>COUNTIFS('②-1職員名簿'!BA$7:BA$106,"E",'②-2勤務時間数入力'!$C$7:$C$106,"常勤的非常勤",'②-2勤務時間数入力'!AC$7:AC$106,"常",'②-1職員名簿'!$P$7:$P$106,"")</f>
        <v>0</v>
      </c>
      <c r="AM20" s="323">
        <f>SUMIFS('②-2勤務時間数入力'!AC$7:AC$106,'②-1職員名簿'!BA$7:BA$106,"E",'②-1職員名簿'!$C$7:$C$106,"パート",'②-1職員名簿'!$P$7:$P$106,"")</f>
        <v>0</v>
      </c>
      <c r="AN20" s="323">
        <f>COUNTIFS('②-1職員名簿'!BA$7:BA$106,"E",'②-2勤務時間数入力'!$C$7:$C$106,"嘱託常勤",'②-2勤務時間数入力'!AC$7:AC$106,"常",'②-1職員名簿'!$P$7:$P$106,"")</f>
        <v>0</v>
      </c>
      <c r="AO20" s="323">
        <f>SUMIFS('②-2勤務時間数入力'!AC$7:AC$106,'②-1職員名簿'!BA$7:BA$106,"E",'②-1職員名簿'!$C$7:$C$106,"嘱託等",'②-1職員名簿'!$P$7:$P$106,"")</f>
        <v>0</v>
      </c>
      <c r="AP20" s="251">
        <f t="shared" si="12"/>
        <v>0</v>
      </c>
      <c r="AQ20" s="168">
        <f>AA20+AF20+AK20-AP20</f>
        <v>0</v>
      </c>
      <c r="AR20" s="168">
        <f t="shared" si="4"/>
        <v>0</v>
      </c>
      <c r="AS20" s="597" t="e">
        <f t="shared" si="5"/>
        <v>#DIV/0!</v>
      </c>
      <c r="AT20" s="598" t="e">
        <f t="shared" si="13"/>
        <v>#DIV/0!</v>
      </c>
      <c r="AU20" s="308">
        <f>COUNTIFS('②-1職員名簿'!$W$7:$W$106,"園長",'②-1職員名簿'!BA$7:BA$106,"D")</f>
        <v>0</v>
      </c>
      <c r="AV20" s="309">
        <f>COUNTIFS('②-1職員名簿'!$W$7:$W$106,"園長",'②-1職員名簿'!$P$7:$P$106,"有",'②-1職員名簿'!BA$7:BA$106,"E")</f>
        <v>0</v>
      </c>
      <c r="AW20" s="252" t="e">
        <f t="shared" si="6"/>
        <v>#DIV/0!</v>
      </c>
      <c r="AX20" s="252" t="e">
        <f t="shared" si="7"/>
        <v>#DIV/0!</v>
      </c>
      <c r="AY20" s="34" t="e">
        <f t="shared" si="8"/>
        <v>#N/A</v>
      </c>
      <c r="AZ20" s="250" t="e">
        <f t="shared" si="14"/>
        <v>#N/A</v>
      </c>
    </row>
    <row r="21" spans="1:52" ht="18.75" customHeight="1">
      <c r="A21" s="35"/>
      <c r="C21" s="39"/>
      <c r="D21" s="47"/>
      <c r="E21" s="47"/>
      <c r="F21" s="47"/>
      <c r="G21" s="47"/>
      <c r="H21" s="39"/>
      <c r="I21" s="47"/>
      <c r="J21" s="47"/>
      <c r="K21" s="47"/>
      <c r="L21" s="47"/>
      <c r="M21" s="39"/>
      <c r="N21" s="47"/>
      <c r="O21" s="47"/>
      <c r="P21" s="47"/>
      <c r="Q21" s="47"/>
      <c r="R21" s="39"/>
      <c r="S21" s="39"/>
      <c r="T21" s="39"/>
      <c r="U21" s="39"/>
      <c r="V21" s="39"/>
      <c r="W21" s="39"/>
      <c r="X21" s="39"/>
      <c r="Y21" s="40"/>
      <c r="Z21" s="43"/>
      <c r="AA21" s="43"/>
      <c r="AB21" s="47"/>
      <c r="AC21" s="47"/>
      <c r="AD21" s="47"/>
      <c r="AE21" s="47"/>
      <c r="AF21" s="43"/>
      <c r="AG21" s="47"/>
      <c r="AH21" s="47"/>
      <c r="AI21" s="47"/>
      <c r="AJ21" s="47"/>
      <c r="AK21" s="43"/>
      <c r="AL21" s="47"/>
      <c r="AM21" s="47"/>
      <c r="AN21" s="47"/>
      <c r="AO21" s="47"/>
      <c r="AP21" s="43"/>
      <c r="AQ21" s="43"/>
      <c r="AR21" s="47"/>
      <c r="AS21" s="47"/>
      <c r="AT21" s="39"/>
    </row>
    <row r="22" spans="1:52" ht="18.75" customHeight="1">
      <c r="A22" s="42"/>
      <c r="B22" s="43"/>
      <c r="C22" s="39"/>
      <c r="D22" s="39"/>
      <c r="E22" s="39"/>
      <c r="F22" s="39"/>
      <c r="G22" s="39"/>
      <c r="H22" s="39"/>
      <c r="I22" s="39"/>
      <c r="J22" s="39"/>
      <c r="K22" s="39"/>
      <c r="L22" s="39"/>
      <c r="M22" s="39"/>
      <c r="N22" s="39"/>
      <c r="O22" s="39"/>
      <c r="P22" s="39"/>
      <c r="Q22" s="39"/>
      <c r="R22" s="47"/>
      <c r="S22" s="39"/>
      <c r="T22" s="43"/>
      <c r="U22" s="44"/>
      <c r="V22" s="44"/>
      <c r="W22" s="44"/>
      <c r="X22" s="44"/>
      <c r="Y22" s="46"/>
      <c r="Z22" s="47"/>
      <c r="AA22" s="47"/>
      <c r="AB22" s="44"/>
      <c r="AC22" s="44"/>
      <c r="AD22" s="44"/>
      <c r="AE22" s="44"/>
      <c r="AF22" s="47"/>
      <c r="AG22" s="44"/>
      <c r="AH22" s="44"/>
      <c r="AI22" s="44"/>
      <c r="AJ22" s="44"/>
      <c r="AK22" s="47"/>
      <c r="AL22" s="44"/>
      <c r="AM22" s="44"/>
      <c r="AN22" s="44"/>
      <c r="AO22" s="47"/>
      <c r="AP22" s="47"/>
      <c r="AQ22" s="47"/>
    </row>
    <row r="23" spans="1:52" ht="18.75" customHeight="1">
      <c r="A23" s="42"/>
      <c r="B23" s="47"/>
      <c r="C23" s="47"/>
      <c r="D23" s="39"/>
      <c r="E23" s="39"/>
      <c r="F23" s="39"/>
      <c r="G23" s="39"/>
      <c r="H23" s="47"/>
      <c r="I23" s="39"/>
      <c r="J23" s="39"/>
      <c r="K23" s="39"/>
      <c r="L23" s="39"/>
      <c r="M23" s="47"/>
      <c r="N23" s="39"/>
      <c r="O23" s="39"/>
      <c r="P23" s="39"/>
      <c r="Q23" s="39"/>
      <c r="R23" s="39"/>
      <c r="U23" s="43"/>
      <c r="V23" s="43"/>
      <c r="W23" s="43"/>
      <c r="X23" s="43"/>
      <c r="Y23" s="44"/>
      <c r="Z23" s="44"/>
      <c r="AA23" s="44"/>
      <c r="AB23" s="43"/>
      <c r="AC23" s="43"/>
      <c r="AD23" s="43"/>
      <c r="AE23" s="43"/>
      <c r="AF23" s="44"/>
      <c r="AG23" s="43"/>
      <c r="AH23" s="43"/>
      <c r="AI23" s="43"/>
      <c r="AJ23" s="43"/>
      <c r="AK23" s="44"/>
      <c r="AL23" s="43"/>
      <c r="AM23" s="43"/>
      <c r="AN23" s="43"/>
      <c r="AO23" s="39"/>
      <c r="AP23" s="47"/>
    </row>
    <row r="24" spans="1:52" ht="18.75" customHeight="1">
      <c r="A24" s="42"/>
      <c r="B24" s="44"/>
      <c r="C24" s="39"/>
      <c r="D24" s="39"/>
      <c r="E24" s="39"/>
      <c r="F24" s="39"/>
      <c r="G24" s="39"/>
      <c r="H24" s="39"/>
      <c r="I24" s="39"/>
      <c r="J24" s="39"/>
      <c r="K24" s="39"/>
      <c r="L24" s="39"/>
      <c r="M24" s="39"/>
      <c r="N24" s="39"/>
      <c r="O24" s="39"/>
      <c r="P24" s="39"/>
      <c r="Q24" s="39"/>
      <c r="R24" s="39"/>
      <c r="S24" s="44"/>
      <c r="T24" s="39"/>
      <c r="U24" s="39"/>
      <c r="V24" s="39"/>
      <c r="W24" s="39"/>
      <c r="X24" s="39"/>
      <c r="Y24" s="43"/>
      <c r="Z24" s="43"/>
      <c r="AA24" s="43"/>
      <c r="AB24" s="43"/>
      <c r="AC24" s="43"/>
      <c r="AD24" s="43"/>
      <c r="AE24" s="43"/>
      <c r="AF24" s="43"/>
      <c r="AG24" s="43"/>
      <c r="AH24" s="43"/>
      <c r="AI24" s="43"/>
      <c r="AJ24" s="43"/>
      <c r="AK24" s="43"/>
      <c r="AL24" s="43"/>
      <c r="AM24" s="43"/>
      <c r="AN24" s="43"/>
      <c r="AO24" s="43"/>
      <c r="AP24" s="39"/>
      <c r="AR24" s="43"/>
      <c r="AS24" s="43"/>
      <c r="AT24" s="39"/>
    </row>
    <row r="25" spans="1:52" ht="18.75" customHeight="1">
      <c r="B25" s="43"/>
      <c r="C25" s="39"/>
      <c r="D25" s="39"/>
      <c r="E25" s="39"/>
      <c r="F25" s="39"/>
      <c r="G25" s="39"/>
      <c r="H25" s="39"/>
      <c r="I25" s="39"/>
      <c r="J25" s="39"/>
      <c r="K25" s="39"/>
      <c r="L25" s="39"/>
      <c r="M25" s="39"/>
      <c r="N25" s="39"/>
      <c r="O25" s="39"/>
      <c r="P25" s="39"/>
      <c r="Q25" s="39"/>
      <c r="R25" s="39"/>
      <c r="S25" s="39"/>
      <c r="T25" s="39"/>
      <c r="U25" s="39"/>
      <c r="V25" s="39"/>
      <c r="W25" s="39"/>
      <c r="X25" s="39"/>
      <c r="Y25" s="46"/>
      <c r="Z25" s="43"/>
      <c r="AA25" s="43"/>
      <c r="AF25" s="43"/>
      <c r="AK25" s="43"/>
      <c r="AP25" s="43"/>
      <c r="AQ25" s="43"/>
      <c r="AT25" s="39"/>
    </row>
    <row r="26" spans="1:52" ht="18.75" customHeight="1">
      <c r="A26" s="42"/>
      <c r="B26" s="43"/>
      <c r="C26" s="39"/>
      <c r="H26" s="39"/>
      <c r="M26" s="39"/>
      <c r="R26" s="39"/>
      <c r="S26" s="39"/>
      <c r="T26" s="39"/>
      <c r="U26" s="39"/>
      <c r="V26" s="39"/>
      <c r="W26" s="39"/>
      <c r="X26" s="39"/>
      <c r="Y26" s="46"/>
      <c r="AT26" s="39"/>
    </row>
    <row r="27" spans="1:52" ht="18.75" customHeight="1">
      <c r="A27" s="36"/>
      <c r="C27" s="39"/>
      <c r="H27" s="39"/>
      <c r="M27" s="39"/>
      <c r="S27" s="39"/>
      <c r="Y27" s="40"/>
      <c r="AB27" s="55"/>
      <c r="AC27" s="55"/>
      <c r="AD27" s="55"/>
      <c r="AE27" s="55"/>
      <c r="AG27" s="55"/>
      <c r="AH27" s="55"/>
      <c r="AI27" s="55"/>
      <c r="AJ27" s="55"/>
      <c r="AL27" s="55"/>
      <c r="AM27" s="55"/>
    </row>
    <row r="28" spans="1:52" ht="18.75" customHeight="1">
      <c r="AC28" s="55"/>
      <c r="AE28" s="55"/>
      <c r="AF28" s="55"/>
      <c r="AG28" s="55"/>
      <c r="AI28" s="55"/>
      <c r="AK28" s="55"/>
      <c r="AL28" s="55"/>
    </row>
    <row r="30" spans="1:52" ht="25" customHeight="1">
      <c r="AM30" s="55"/>
    </row>
    <row r="31" spans="1:52" ht="25" customHeight="1">
      <c r="AS31" s="55"/>
    </row>
    <row r="32" spans="1:52" ht="25" customHeight="1">
      <c r="AM32" s="55"/>
    </row>
    <row r="33" spans="39:45" ht="25" customHeight="1">
      <c r="AS33" s="55"/>
    </row>
    <row r="35" spans="39:45" ht="25" customHeight="1">
      <c r="AO35" s="55"/>
    </row>
    <row r="36" spans="39:45" ht="25" customHeight="1">
      <c r="AP36" s="55"/>
    </row>
    <row r="37" spans="39:45" ht="25" customHeight="1">
      <c r="AS37" s="55"/>
    </row>
    <row r="38" spans="39:45" ht="25" customHeight="1">
      <c r="AM38" s="55"/>
    </row>
    <row r="39" spans="39:45" ht="25" customHeight="1">
      <c r="AS39" s="55"/>
    </row>
    <row r="40" spans="39:45" ht="25" customHeight="1">
      <c r="AM40" s="55"/>
    </row>
    <row r="41" spans="39:45" ht="25" customHeight="1">
      <c r="AS41" s="55"/>
    </row>
    <row r="42" spans="39:45" ht="25" customHeight="1">
      <c r="AM42" s="55"/>
    </row>
    <row r="43" spans="39:45" ht="25" customHeight="1">
      <c r="AS43" s="55"/>
    </row>
    <row r="44" spans="39:45" ht="25" customHeight="1">
      <c r="AM44" s="55"/>
    </row>
    <row r="45" spans="39:45" ht="25" customHeight="1">
      <c r="AS45" s="55"/>
    </row>
    <row r="46" spans="39:45" ht="25" customHeight="1">
      <c r="AM46" s="55"/>
    </row>
    <row r="47" spans="39:45" ht="25" customHeight="1">
      <c r="AS47" s="55"/>
    </row>
    <row r="48" spans="39:45" ht="25" customHeight="1">
      <c r="AM48" s="55"/>
    </row>
    <row r="49" spans="39:45" ht="25" customHeight="1">
      <c r="AS49" s="55"/>
    </row>
    <row r="50" spans="39:45" ht="25" customHeight="1">
      <c r="AM50" s="55"/>
    </row>
    <row r="51" spans="39:45" ht="25" customHeight="1">
      <c r="AS51" s="55"/>
    </row>
  </sheetData>
  <sheetProtection algorithmName="SHA-512" hashValue="pHZ6o1p4Y92YfUBchWiJ5f96Jqu4dS4ECO31zCUravQ56eAtdluXmGe3PW0dwjcaUhEhYA0mz/j9Nxo4dTq5Sw==" saltValue="uA+arVfSf+w/jdCvREa8Nw==" spinCount="100000" sheet="1" selectLockedCells="1"/>
  <mergeCells count="73">
    <mergeCell ref="AC6:AC7"/>
    <mergeCell ref="AD5:AE5"/>
    <mergeCell ref="AB6:AB7"/>
    <mergeCell ref="AD6:AD7"/>
    <mergeCell ref="AU4:AV5"/>
    <mergeCell ref="AF6:AF7"/>
    <mergeCell ref="AG6:AG7"/>
    <mergeCell ref="AE6:AE7"/>
    <mergeCell ref="AY4:AZ5"/>
    <mergeCell ref="AT6:AT8"/>
    <mergeCell ref="AH6:AH7"/>
    <mergeCell ref="AI6:AI7"/>
    <mergeCell ref="AJ6:AJ7"/>
    <mergeCell ref="AK6:AK7"/>
    <mergeCell ref="AL6:AL7"/>
    <mergeCell ref="AM6:AM7"/>
    <mergeCell ref="AN6:AN7"/>
    <mergeCell ref="AO6:AO7"/>
    <mergeCell ref="AQ6:AQ7"/>
    <mergeCell ref="AW4:AX5"/>
    <mergeCell ref="W6:X6"/>
    <mergeCell ref="AA6:AA7"/>
    <mergeCell ref="S6:S7"/>
    <mergeCell ref="T6:T7"/>
    <mergeCell ref="V5:V8"/>
    <mergeCell ref="S5:U5"/>
    <mergeCell ref="W7:W8"/>
    <mergeCell ref="X7:X8"/>
    <mergeCell ref="AJ2:AK2"/>
    <mergeCell ref="AL2:AT2"/>
    <mergeCell ref="W4:X5"/>
    <mergeCell ref="Z4:Z6"/>
    <mergeCell ref="AA4:AE4"/>
    <mergeCell ref="AF4:AJ4"/>
    <mergeCell ref="AK4:AO4"/>
    <mergeCell ref="AQ4:AT5"/>
    <mergeCell ref="AN5:AO5"/>
    <mergeCell ref="AI5:AJ5"/>
    <mergeCell ref="AK5:AM5"/>
    <mergeCell ref="AF5:AH5"/>
    <mergeCell ref="AR6:AR7"/>
    <mergeCell ref="AS6:AS7"/>
    <mergeCell ref="AP5:AP7"/>
    <mergeCell ref="AA5:AC5"/>
    <mergeCell ref="A4:A8"/>
    <mergeCell ref="B4:B7"/>
    <mergeCell ref="C4:G4"/>
    <mergeCell ref="H4:L4"/>
    <mergeCell ref="M4:Q4"/>
    <mergeCell ref="C5:E5"/>
    <mergeCell ref="F5:G5"/>
    <mergeCell ref="H5:J5"/>
    <mergeCell ref="C6:C7"/>
    <mergeCell ref="D6:D7"/>
    <mergeCell ref="P6:P7"/>
    <mergeCell ref="Q6:Q7"/>
    <mergeCell ref="E6:E7"/>
    <mergeCell ref="K5:L5"/>
    <mergeCell ref="M5:O5"/>
    <mergeCell ref="P5:Q5"/>
    <mergeCell ref="R4:V4"/>
    <mergeCell ref="R6:R7"/>
    <mergeCell ref="F6:F7"/>
    <mergeCell ref="H6:H7"/>
    <mergeCell ref="I6:I7"/>
    <mergeCell ref="U6:U7"/>
    <mergeCell ref="O6:O7"/>
    <mergeCell ref="G6:G7"/>
    <mergeCell ref="J6:J7"/>
    <mergeCell ref="K6:K7"/>
    <mergeCell ref="L6:L7"/>
    <mergeCell ref="M6:M7"/>
    <mergeCell ref="N6:N7"/>
  </mergeCells>
  <phoneticPr fontId="1"/>
  <dataValidations count="3">
    <dataValidation allowBlank="1" showErrorMessage="1" sqref="AB9:AE25 D9:G25 B9:C26 I9:L25 H9:H26 N9:Q25 M9:M26 R9:S26 AG17:AJ25 Y9:AA26 AF17:AF26 AL17:AO25 AK17:AK26 AP9:AQ26 AR9:AT25 AF9:AO16 T9:X25" xr:uid="{4C71D05B-CA18-43DF-A235-17BDBC54F4DE}"/>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131103:B131114 B196639:B196650 B262175:B262186 B327711:B327722 B393247:B393258 B458783:B458794 B524319:B524330 B589855:B589866 B655391:B655402 B720927:B720938 B786463:B786474 B851999:B852010 B917535:B917546 B983071:B983082 B65567:B65578" xr:uid="{CC3C42A0-5AD4-4B7A-B8A0-B2DFE3CBDF51}"/>
    <dataValidation allowBlank="1" showInputMessage="1" showErrorMessage="1" promptTitle="実際の人数（保健師・看護師・准看護師）" prompt="乳児が４人以上いる場合で、保健師・看護師・准看護師を保育士とみなす場合はここに入力。_x000a_常勤的非常勤→準保育士と同義です。_x000a_準看護師は、平成27年6月28日以前に勤務していた分は算定できませんのでご注意ください。" sqref="AA65567:AA65578 AA131103:AA131114 AA196639:AA196650 AA262175:AA262186 AA327711:AA327722 AA393247:AA393258 AA458783:AA458794 AA524319:AA524330 AA589855:AA589866 AA655391:AA655402 AA720927:AA720938 AA786463:AA786474 AA851999:AA852010 AA917535:AA917546 AA983071:AA983082 AC983071:AC983082 AB983069:AB983080 AC917535:AC917546 AB917533:AB917544 AC851999:AC852010 AB851997:AB852008 AC786463:AC786474 AB786461:AB786472 AC720927:AC720938 AB720925:AB720936 AC655391:AC655402 AB655389:AB655400 AC589855:AC589866 AB589853:AB589864 AC524319:AC524330 AB524317:AB524328 AC458783:AC458794 AB458781:AB458792 AC393247:AC393258 AB393245:AB393256 AC327711:AC327722 AB327709:AB327720 AC262175:AC262186 AB262173:AB262184 AC196639:AC196650 AB196637:AB196648 AC131103:AC131114 AB131101:AB131112 AC65567:AC65578 AB65565:AB65576 AE65567:AE65578 AD65565:AD65576 AE131103:AE131114 AD131101:AD131112 AE196639:AE196650 AD196637:AD196648 AE262175:AE262186 AD262173:AD262184 AE327711:AE327722 AD327709:AD327720 AE393247:AE393258 AD393245:AD393256 AE458783:AE458794 AD458781:AD458792 AE524319:AE524330 AD524317:AD524328 AE589855:AE589866 AD589853:AD589864 AE655391:AE655402 AD655389:AD655400 AE720927:AE720938 AD720925:AD720936 AE786463:AE786474 AD786461:AD786472 AE851999:AE852010 AD851997:AD852008 AE917535:AE917546 AD917533:AD917544 AE983071:AE983082 AD983069:AD983080 AF983070:AL983081 AF917534:AL917545 AF851998:AL852009 AF786462:AL786473 AF720926:AL720937 AF655390:AL655401 AF589854:AL589865 AF524318:AL524329 AF458782:AL458793 AF393246:AL393257 AF327710:AL327721 AF262174:AL262185 AF196638:AL196649 AF131102:AL131113 AF65566:AL65577 AN65566:AN65577 AM65565:AM65576 AN131102:AN131113 AM131101:AM131112 AN196638:AN196649 AM196637:AM196648 AN262174:AN262185 AM262173:AM262184 AN327710:AN327721 AM327709:AM327720 AN393246:AN393257 AM393245:AM393256 AN458782:AN458793 AM458781:AM458792 AN524318:AN524329 AM524317:AM524328 AN589854:AN589865 AM589853:AM589864 AN655390:AN655401 AM655389:AM655400 AN720926:AN720937 AM720925:AM720936 AN786462:AN786473 AM786461:AM786472 AN851998:AN852009 AM851997:AM852008 AN917534:AN917545 AM917533:AM917544 AN983070:AN983081 AM983069:AM983080 AQ983071:AQ983082 AR983069:AR983080 AQ917535:AQ917546 AR917533:AR917544 AQ851999:AQ852010 AR851997:AR852008 AQ786463:AQ786474 AR786461:AR786472 AQ720927:AQ720938 AR720925:AR720936 AQ655391:AQ655402 AR655389:AR655400 AQ589855:AQ589866 AR589853:AR589864 AQ524319:AQ524330 AR524317:AR524328 AQ458783:AQ458794 AR458781:AR458792 AQ393247:AQ393258 AR393245:AR393256 AQ327711:AQ327722 AR327709:AR327720 AQ262175:AQ262186 AR262173:AR262184 AQ196639:AQ196650 AR196637:AR196648 AQ131103:AQ131114 AR131101:AR131112 AQ65567:AQ65578 AR65565:AR65576 AO65565:AO65576 AP65566:AP65577 AO131101:AO131112 AP131102:AP131113 AO196637:AO196648 AP196638:AP196649 AO262173:AO262184 AP262174:AP262185 AO327709:AO327720 AP327710:AP327721 AO393245:AO393256 AP393246:AP393257 AO458781:AO458792 AP458782:AP458793 AO524317:AO524328 AP524318:AP524329 AO589853:AO589864 AP589854:AP589865 AO655389:AO655400 AP655390:AP655401 AO720925:AO720936 AP720926:AP720937 AO786461:AO786472 AP786462:AP786473 AO851997:AO852008 AP851998:AP852009 AO917533:AO917544 AP917534:AP917545 AO983069:AO983080 AP983070:AP983081" xr:uid="{3DCE30D1-8CA6-41DD-AE16-43A9A5D5FCE6}"/>
  </dataValidations>
  <printOptions horizontalCentered="1"/>
  <pageMargins left="0.51181102362204722" right="0.39370078740157483" top="0.51181102362204722" bottom="0.51181102362204722" header="0.51181102362204722" footer="0.51181102362204722"/>
  <pageSetup paperSize="9" scale="56" orientation="landscape" r:id="rId1"/>
  <headerFooter alignWithMargins="0"/>
  <rowBreaks count="1" manualBreakCount="1">
    <brk id="20" max="4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8794-8D0F-48E3-9727-30CC579A7335}">
  <sheetPr>
    <tabColor rgb="FF00B050"/>
  </sheetPr>
  <dimension ref="A1:W28"/>
  <sheetViews>
    <sheetView view="pageBreakPreview" zoomScale="85" zoomScaleNormal="85" zoomScaleSheetLayoutView="85" workbookViewId="0">
      <selection activeCell="AG8" sqref="AG8"/>
    </sheetView>
  </sheetViews>
  <sheetFormatPr defaultColWidth="9" defaultRowHeight="25" customHeight="1"/>
  <cols>
    <col min="1" max="1" width="5.33203125" style="37" customWidth="1"/>
    <col min="2" max="22" width="4.58203125" style="37" customWidth="1"/>
    <col min="23" max="23" width="9" style="37"/>
    <col min="24" max="25" width="9" style="37" customWidth="1"/>
    <col min="26" max="16384" width="9" style="37"/>
  </cols>
  <sheetData>
    <row r="1" spans="1:23" s="21" customFormat="1" ht="25" customHeight="1">
      <c r="A1" s="20" t="s">
        <v>107</v>
      </c>
      <c r="B1" s="20"/>
    </row>
    <row r="2" spans="1:23" s="20" customFormat="1" ht="25" customHeight="1">
      <c r="A2" s="20" t="s">
        <v>890</v>
      </c>
      <c r="L2" s="808" t="s">
        <v>135</v>
      </c>
      <c r="M2" s="808"/>
      <c r="N2" s="828">
        <f>①基本情報!D6</f>
        <v>0</v>
      </c>
      <c r="O2" s="828"/>
      <c r="P2" s="828"/>
      <c r="Q2" s="828"/>
      <c r="R2" s="828"/>
      <c r="S2" s="828"/>
      <c r="T2" s="828"/>
      <c r="U2" s="828"/>
      <c r="V2" s="828"/>
      <c r="W2" s="20" t="s">
        <v>136</v>
      </c>
    </row>
    <row r="3" spans="1:23" s="20" customFormat="1" ht="11.25" customHeight="1"/>
    <row r="4" spans="1:23" s="25" customFormat="1" ht="25" customHeight="1">
      <c r="A4" s="806" t="s">
        <v>137</v>
      </c>
      <c r="B4" s="821" t="s">
        <v>139</v>
      </c>
      <c r="C4" s="806" t="s">
        <v>788</v>
      </c>
      <c r="D4" s="806"/>
      <c r="E4" s="806"/>
      <c r="F4" s="806"/>
      <c r="G4" s="806"/>
      <c r="H4" s="806" t="s">
        <v>790</v>
      </c>
      <c r="I4" s="806"/>
      <c r="J4" s="806"/>
      <c r="K4" s="806"/>
      <c r="L4" s="806"/>
      <c r="M4" s="806" t="s">
        <v>959</v>
      </c>
      <c r="N4" s="806"/>
      <c r="O4" s="806"/>
      <c r="P4" s="806"/>
      <c r="Q4" s="806"/>
      <c r="R4" s="806" t="s">
        <v>199</v>
      </c>
      <c r="S4" s="806"/>
      <c r="T4" s="806"/>
      <c r="U4" s="806"/>
      <c r="V4" s="806"/>
    </row>
    <row r="5" spans="1:23" s="24" customFormat="1" ht="27" customHeight="1">
      <c r="A5" s="806"/>
      <c r="B5" s="821"/>
      <c r="C5" s="806" t="s">
        <v>144</v>
      </c>
      <c r="D5" s="806"/>
      <c r="E5" s="806"/>
      <c r="F5" s="806" t="s">
        <v>764</v>
      </c>
      <c r="G5" s="806"/>
      <c r="H5" s="806" t="s">
        <v>144</v>
      </c>
      <c r="I5" s="806"/>
      <c r="J5" s="806"/>
      <c r="K5" s="806" t="s">
        <v>764</v>
      </c>
      <c r="L5" s="806"/>
      <c r="M5" s="806" t="s">
        <v>144</v>
      </c>
      <c r="N5" s="806"/>
      <c r="O5" s="806"/>
      <c r="P5" s="806" t="s">
        <v>764</v>
      </c>
      <c r="Q5" s="806"/>
      <c r="R5" s="26" t="s">
        <v>70</v>
      </c>
      <c r="S5" s="806" t="s">
        <v>149</v>
      </c>
      <c r="T5" s="806"/>
      <c r="U5" s="806"/>
      <c r="V5" s="806" t="s">
        <v>162</v>
      </c>
    </row>
    <row r="6" spans="1:23" s="24" customFormat="1" ht="68.25" customHeight="1">
      <c r="A6" s="806"/>
      <c r="B6" s="821"/>
      <c r="C6" s="807" t="s">
        <v>153</v>
      </c>
      <c r="D6" s="807" t="s">
        <v>154</v>
      </c>
      <c r="E6" s="807" t="s">
        <v>160</v>
      </c>
      <c r="F6" s="819" t="s">
        <v>156</v>
      </c>
      <c r="G6" s="819" t="s">
        <v>157</v>
      </c>
      <c r="H6" s="807" t="s">
        <v>153</v>
      </c>
      <c r="I6" s="807" t="s">
        <v>154</v>
      </c>
      <c r="J6" s="807" t="s">
        <v>160</v>
      </c>
      <c r="K6" s="819" t="s">
        <v>156</v>
      </c>
      <c r="L6" s="819" t="s">
        <v>157</v>
      </c>
      <c r="M6" s="807" t="s">
        <v>153</v>
      </c>
      <c r="N6" s="807" t="s">
        <v>154</v>
      </c>
      <c r="O6" s="807" t="s">
        <v>160</v>
      </c>
      <c r="P6" s="819" t="s">
        <v>156</v>
      </c>
      <c r="Q6" s="819" t="s">
        <v>157</v>
      </c>
      <c r="R6" s="827" t="s">
        <v>158</v>
      </c>
      <c r="S6" s="807" t="s">
        <v>153</v>
      </c>
      <c r="T6" s="807" t="s">
        <v>159</v>
      </c>
      <c r="U6" s="819" t="s">
        <v>235</v>
      </c>
      <c r="V6" s="806"/>
    </row>
    <row r="7" spans="1:23" s="24" customFormat="1" ht="60" customHeight="1">
      <c r="A7" s="806"/>
      <c r="B7" s="821"/>
      <c r="C7" s="807"/>
      <c r="D7" s="807"/>
      <c r="E7" s="807"/>
      <c r="F7" s="819"/>
      <c r="G7" s="819"/>
      <c r="H7" s="807"/>
      <c r="I7" s="807"/>
      <c r="J7" s="807"/>
      <c r="K7" s="819"/>
      <c r="L7" s="819"/>
      <c r="M7" s="807"/>
      <c r="N7" s="807"/>
      <c r="O7" s="807"/>
      <c r="P7" s="819"/>
      <c r="Q7" s="819"/>
      <c r="R7" s="827"/>
      <c r="S7" s="807"/>
      <c r="T7" s="807"/>
      <c r="U7" s="820"/>
      <c r="V7" s="814"/>
    </row>
    <row r="8" spans="1:23" s="24" customFormat="1" ht="38.25" customHeight="1">
      <c r="A8" s="806"/>
      <c r="B8" s="32" t="s">
        <v>174</v>
      </c>
      <c r="C8" s="31" t="s">
        <v>239</v>
      </c>
      <c r="D8" s="31" t="s">
        <v>240</v>
      </c>
      <c r="E8" s="31" t="s">
        <v>241</v>
      </c>
      <c r="F8" s="31" t="s">
        <v>94</v>
      </c>
      <c r="G8" s="31" t="s">
        <v>95</v>
      </c>
      <c r="H8" s="31" t="s">
        <v>96</v>
      </c>
      <c r="I8" s="31" t="s">
        <v>97</v>
      </c>
      <c r="J8" s="31" t="s">
        <v>98</v>
      </c>
      <c r="K8" s="31" t="s">
        <v>242</v>
      </c>
      <c r="L8" s="31" t="s">
        <v>208</v>
      </c>
      <c r="M8" s="31" t="s">
        <v>243</v>
      </c>
      <c r="N8" s="31" t="s">
        <v>244</v>
      </c>
      <c r="O8" s="31" t="s">
        <v>245</v>
      </c>
      <c r="P8" s="31" t="s">
        <v>246</v>
      </c>
      <c r="Q8" s="31" t="s">
        <v>247</v>
      </c>
      <c r="R8" s="31" t="s">
        <v>248</v>
      </c>
      <c r="S8" s="31" t="s">
        <v>249</v>
      </c>
      <c r="T8" s="31" t="s">
        <v>250</v>
      </c>
      <c r="U8" s="31" t="s">
        <v>251</v>
      </c>
      <c r="V8" s="814"/>
    </row>
    <row r="9" spans="1:23" s="34" customFormat="1" ht="37.5" customHeight="1">
      <c r="A9" s="164">
        <v>4</v>
      </c>
      <c r="B9" s="165">
        <f>'②-2勤務時間数入力'!AH7</f>
        <v>0</v>
      </c>
      <c r="C9" s="314">
        <f>COUNTIFS('②-1職員名簿'!AP$7:AP$106,"F",'②-2勤務時間数入力'!F$7:F$106,"正",'②-1職員名簿'!$W$7:$W$106,'②-1職員名簿'!$S$132)</f>
        <v>0</v>
      </c>
      <c r="D9" s="314">
        <f>COUNTIFS('②-1職員名簿'!AP$7:AP$106,"F",'②-2勤務時間数入力'!$C$7:$C$106,"常勤的非常勤",'②-2勤務時間数入力'!R$7:R$106,"常",'②-1職員名簿'!$W$7:$W$106,'②-1職員名簿'!$S$132)</f>
        <v>0</v>
      </c>
      <c r="E9" s="314">
        <f>SUMIFS('②-2勤務時間数入力'!R$7:R$106,'②-1職員名簿'!AP$7:AP$106,"F",'②-1職員名簿'!$C$7:$C$106,"パート",'②-1職員名簿'!$W$7:$W$106,'②-1職員名簿'!$S$132)</f>
        <v>0</v>
      </c>
      <c r="F9" s="314">
        <f>COUNTIFS('②-1職員名簿'!AP$7:AP$106,"F",'②-2勤務時間数入力'!$C$7:$C$106,"嘱託常勤",'②-2勤務時間数入力'!R$7:R$106,"常",'②-1職員名簿'!$W$7:$W$106,'②-1職員名簿'!$S$132)</f>
        <v>0</v>
      </c>
      <c r="G9" s="314">
        <f>SUMIFS('②-2勤務時間数入力'!R$7:R$106,'②-1職員名簿'!AP$7:AP$106,"F",'②-1職員名簿'!$C$7:$C$106,"嘱託等",'②-1職員名簿'!$W$7:$W$106,'②-1職員名簿'!$S$132)</f>
        <v>0</v>
      </c>
      <c r="H9" s="314">
        <f>COUNTIFS('②-1職員名簿'!AP$7:AP$106,"F",'②-2勤務時間数入力'!F$7:F$106,"正",'②-1職員名簿'!$W$7:$W$106,'②-1職員名簿'!$S$133)</f>
        <v>0</v>
      </c>
      <c r="I9" s="314">
        <f>COUNTIFS('②-1職員名簿'!AP$7:AP$106,"F",'②-2勤務時間数入力'!$C$7:$C$106,"常勤的非常勤",'②-2勤務時間数入力'!R$7:R$106,"常",'②-1職員名簿'!$W$7:$W$106,'②-1職員名簿'!$S$133)</f>
        <v>0</v>
      </c>
      <c r="J9" s="314">
        <f>SUMIFS('②-2勤務時間数入力'!R$7:R$106,'②-1職員名簿'!AP$7:AP$106,"F",'②-1職員名簿'!$C$7:$C$106,"パート",'②-1職員名簿'!$W$7:$W$106,'②-1職員名簿'!$S$133)</f>
        <v>0</v>
      </c>
      <c r="K9" s="314">
        <f>COUNTIFS('②-1職員名簿'!AP$7:AP$106,"F",'②-2勤務時間数入力'!$C$7:$C$106,"嘱託常勤",'②-2勤務時間数入力'!R$7:R$106,"常",'②-1職員名簿'!$W$7:$W$106,'②-1職員名簿'!$S$133)</f>
        <v>0</v>
      </c>
      <c r="L9" s="314">
        <f>SUMIFS('②-2勤務時間数入力'!R$7:R$106,'②-1職員名簿'!AP$7:AP$106,"F",'②-1職員名簿'!$C$7:$C$106,"嘱託等",'②-1職員名簿'!$W$7:$W$106,'②-1職員名簿'!$S$133)</f>
        <v>0</v>
      </c>
      <c r="M9" s="314">
        <f>COUNTIFS('②-1職員名簿'!AP$7:AP$106,"F",'②-2勤務時間数入力'!F$7:F$106,"正",'②-1職員名簿'!$W$7:$W$106,'②-1職員名簿'!$S$131)</f>
        <v>0</v>
      </c>
      <c r="N9" s="314">
        <f>COUNTIFS('②-1職員名簿'!AP$7:AP$106,"F",'②-2勤務時間数入力'!$C$7:$C$106,"常勤的非常勤",'②-2勤務時間数入力'!R$7:R$106,"常",'②-1職員名簿'!$W$7:$W$106,'②-1職員名簿'!$S$131)</f>
        <v>0</v>
      </c>
      <c r="O9" s="314">
        <f>SUMIFS('②-2勤務時間数入力'!R$7:R$106,'②-1職員名簿'!AP$7:AP$106,"F",'②-1職員名簿'!$C$7:$C$106,"パート",'②-1職員名簿'!$W$7:$W$106,'②-1職員名簿'!$S$131)</f>
        <v>0</v>
      </c>
      <c r="P9" s="314">
        <f>COUNTIFS('②-1職員名簿'!AP$7:AP$106,"F",'②-2勤務時間数入力'!$C$7:$C$106,"嘱託常勤",'②-2勤務時間数入力'!R$7:R$106,"常",'②-1職員名簿'!$W$7:$W$106,'②-1職員名簿'!$S$131)</f>
        <v>0</v>
      </c>
      <c r="Q9" s="314">
        <f>SUMIFS('②-2勤務時間数入力'!R$7:R$106,'②-1職員名簿'!AP$7:AP$106,"F",'②-1職員名簿'!$C$7:$C$106,"嘱託等",'②-1職員名簿'!$W$7:$W$106,'②-1職員名簿'!$S$131)</f>
        <v>0</v>
      </c>
      <c r="R9" s="316">
        <f>COUNTIFS('②-1職員名簿'!$W$7:$W$106,"園長",'②-1職員名簿'!AP$7:AP$106,"F")</f>
        <v>0</v>
      </c>
      <c r="S9" s="168">
        <f>C9+H9+M9-R9</f>
        <v>0</v>
      </c>
      <c r="T9" s="167">
        <f>D9+F9+I9+K9+N9+P9</f>
        <v>0</v>
      </c>
      <c r="U9" s="177" t="e">
        <f>ROUNDDOWN((E9+G9+J9+L9+O9+Q9)/B9,3)</f>
        <v>#DIV/0!</v>
      </c>
      <c r="V9" s="177" t="e">
        <f>+S9+T9+U9</f>
        <v>#DIV/0!</v>
      </c>
    </row>
    <row r="10" spans="1:23" s="34" customFormat="1" ht="36" customHeight="1">
      <c r="A10" s="282">
        <v>5</v>
      </c>
      <c r="B10" s="165">
        <f>'②-2勤務時間数入力'!AH8</f>
        <v>0</v>
      </c>
      <c r="C10" s="314">
        <f>COUNTIFS('②-1職員名簿'!AQ$7:AQ$106,"F",'②-2勤務時間数入力'!G$7:G$106,"正",'②-1職員名簿'!$W$7:$W$106,'②-1職員名簿'!$S$132)</f>
        <v>0</v>
      </c>
      <c r="D10" s="314">
        <f>COUNTIFS('②-1職員名簿'!AQ$7:AQ$106,"F",'②-2勤務時間数入力'!$C$7:$C$106,"常勤的非常勤",'②-2勤務時間数入力'!S$7:S$106,"常",'②-1職員名簿'!$W$7:$W$106,'②-1職員名簿'!$S$132)</f>
        <v>0</v>
      </c>
      <c r="E10" s="314">
        <f>SUMIFS('②-2勤務時間数入力'!S$7:S$106,'②-1職員名簿'!AQ$7:AQ$106,"F",'②-1職員名簿'!$C$7:$C$106,"パート",'②-1職員名簿'!$W$7:$W$106,'②-1職員名簿'!$S$132)</f>
        <v>0</v>
      </c>
      <c r="F10" s="314">
        <f>COUNTIFS('②-1職員名簿'!AQ$7:AQ$106,"F",'②-2勤務時間数入力'!$C$7:$C$106,"嘱託常勤",'②-2勤務時間数入力'!S$7:S$106,"常",'②-1職員名簿'!$W$7:$W$106,'②-1職員名簿'!$S$132)</f>
        <v>0</v>
      </c>
      <c r="G10" s="314">
        <f>SUMIFS('②-2勤務時間数入力'!S$7:S$106,'②-1職員名簿'!AQ$7:AQ$106,"F",'②-1職員名簿'!$C$7:$C$106,"嘱託等",'②-1職員名簿'!$W$7:$W$106,'②-1職員名簿'!$S$132)</f>
        <v>0</v>
      </c>
      <c r="H10" s="314">
        <f>COUNTIFS('②-1職員名簿'!AQ$7:AQ$106,"F",'②-2勤務時間数入力'!G$7:G$106,"正",'②-1職員名簿'!$W$7:$W$106,'②-1職員名簿'!$S$133)</f>
        <v>0</v>
      </c>
      <c r="I10" s="314">
        <f>COUNTIFS('②-1職員名簿'!AQ$7:AQ$106,"F",'②-2勤務時間数入力'!$C$7:$C$106,"常勤的非常勤",'②-2勤務時間数入力'!S$7:S$106,"常",'②-1職員名簿'!$W$7:$W$106,'②-1職員名簿'!$S$133)</f>
        <v>0</v>
      </c>
      <c r="J10" s="314">
        <f>SUMIFS('②-2勤務時間数入力'!S$7:S$106,'②-1職員名簿'!AQ$7:AQ$106,"F",'②-1職員名簿'!$C$7:$C$106,"パート",'②-1職員名簿'!$W$7:$W$106,'②-1職員名簿'!$S$133)</f>
        <v>0</v>
      </c>
      <c r="K10" s="314">
        <f>COUNTIFS('②-1職員名簿'!AQ$7:AQ$106,"F",'②-2勤務時間数入力'!$C$7:$C$106,"嘱託常勤",'②-2勤務時間数入力'!S$7:S$106,"常",'②-1職員名簿'!$W$7:$W$106,'②-1職員名簿'!$S$133)</f>
        <v>0</v>
      </c>
      <c r="L10" s="314">
        <f>SUMIFS('②-2勤務時間数入力'!S$7:S$106,'②-1職員名簿'!AQ$7:AQ$106,"F",'②-1職員名簿'!$C$7:$C$106,"嘱託等",'②-1職員名簿'!$W$7:$W$106,'②-1職員名簿'!$S$133)</f>
        <v>0</v>
      </c>
      <c r="M10" s="314">
        <f>COUNTIFS('②-1職員名簿'!AQ$7:AQ$106,"F",'②-2勤務時間数入力'!G$7:G$106,"正",'②-1職員名簿'!$W$7:$W$106,'②-1職員名簿'!$S$131)</f>
        <v>0</v>
      </c>
      <c r="N10" s="314">
        <f>COUNTIFS('②-1職員名簿'!AQ$7:AQ$106,"F",'②-2勤務時間数入力'!$C$7:$C$106,"常勤的非常勤",'②-2勤務時間数入力'!S$7:S$106,"常",'②-1職員名簿'!$W$7:$W$106,'②-1職員名簿'!$S$131)</f>
        <v>0</v>
      </c>
      <c r="O10" s="314">
        <f>SUMIFS('②-2勤務時間数入力'!S$7:S$106,'②-1職員名簿'!AQ$7:AQ$106,"F",'②-1職員名簿'!$C$7:$C$106,"パート",'②-1職員名簿'!$W$7:$W$106,'②-1職員名簿'!$S$131)</f>
        <v>0</v>
      </c>
      <c r="P10" s="314">
        <f>COUNTIFS('②-1職員名簿'!AQ$7:AQ$106,"F",'②-2勤務時間数入力'!$C$7:$C$106,"嘱託常勤",'②-2勤務時間数入力'!S$7:S$106,"常",'②-1職員名簿'!$W$7:$W$106,'②-1職員名簿'!$S$131)</f>
        <v>0</v>
      </c>
      <c r="Q10" s="314">
        <f>SUMIFS('②-2勤務時間数入力'!S$7:S$106,'②-1職員名簿'!AQ$7:AQ$106,"F",'②-1職員名簿'!$C$7:$C$106,"嘱託等",'②-1職員名簿'!$W$7:$W$106,'②-1職員名簿'!$S$131)</f>
        <v>0</v>
      </c>
      <c r="R10" s="316">
        <f>COUNTIFS('②-1職員名簿'!$W$7:$W$106,"園長",'②-1職員名簿'!AQ$7:AQ$106,"F")</f>
        <v>0</v>
      </c>
      <c r="S10" s="168">
        <f t="shared" ref="S10:S20" si="0">C10+H10+M10-R10</f>
        <v>0</v>
      </c>
      <c r="T10" s="167">
        <f t="shared" ref="T10:T20" si="1">D10+F10+I10+K10+N10+P10</f>
        <v>0</v>
      </c>
      <c r="U10" s="177" t="e">
        <f t="shared" ref="U10:U20" si="2">ROUNDDOWN((E10+G10+J10+L10+O10+Q10)/B10,3)</f>
        <v>#DIV/0!</v>
      </c>
      <c r="V10" s="177" t="e">
        <f t="shared" ref="V10:V20" si="3">+S10+T10+U10</f>
        <v>#DIV/0!</v>
      </c>
    </row>
    <row r="11" spans="1:23" s="34" customFormat="1" ht="36" customHeight="1">
      <c r="A11" s="282">
        <v>6</v>
      </c>
      <c r="B11" s="165">
        <f>'②-2勤務時間数入力'!AH9</f>
        <v>0</v>
      </c>
      <c r="C11" s="314">
        <f>COUNTIFS('②-1職員名簿'!AR$7:AR$106,"F",'②-2勤務時間数入力'!H$7:H$106,"正",'②-1職員名簿'!$W$7:$W$106,'②-1職員名簿'!$S$132)</f>
        <v>0</v>
      </c>
      <c r="D11" s="314">
        <f>COUNTIFS('②-1職員名簿'!AR$7:AR$106,"F",'②-2勤務時間数入力'!$C$7:$C$106,"常勤的非常勤",'②-2勤務時間数入力'!T$7:T$106,"常",'②-1職員名簿'!$W$7:$W$106,'②-1職員名簿'!$S$132)</f>
        <v>0</v>
      </c>
      <c r="E11" s="314">
        <f>SUMIFS('②-2勤務時間数入力'!T$7:T$106,'②-1職員名簿'!AR$7:AR$106,"F",'②-1職員名簿'!$C$7:$C$106,"パート",'②-1職員名簿'!$W$7:$W$106,'②-1職員名簿'!$S$132)</f>
        <v>0</v>
      </c>
      <c r="F11" s="314">
        <f>COUNTIFS('②-1職員名簿'!AR$7:AR$106,"F",'②-2勤務時間数入力'!$C$7:$C$106,"嘱託常勤",'②-2勤務時間数入力'!T$7:T$106,"常",'②-1職員名簿'!$W$7:$W$106,'②-1職員名簿'!$S$132)</f>
        <v>0</v>
      </c>
      <c r="G11" s="314">
        <f>SUMIFS('②-2勤務時間数入力'!T$7:T$106,'②-1職員名簿'!AR$7:AR$106,"F",'②-1職員名簿'!$C$7:$C$106,"嘱託等",'②-1職員名簿'!$W$7:$W$106,'②-1職員名簿'!$S$132)</f>
        <v>0</v>
      </c>
      <c r="H11" s="314">
        <f>COUNTIFS('②-1職員名簿'!AR$7:AR$106,"F",'②-2勤務時間数入力'!H$7:H$106,"正",'②-1職員名簿'!$W$7:$W$106,'②-1職員名簿'!$S$133)</f>
        <v>0</v>
      </c>
      <c r="I11" s="314">
        <f>COUNTIFS('②-1職員名簿'!AR$7:AR$106,"F",'②-2勤務時間数入力'!$C$7:$C$106,"常勤的非常勤",'②-2勤務時間数入力'!T$7:T$106,"常",'②-1職員名簿'!$W$7:$W$106,'②-1職員名簿'!$S$133)</f>
        <v>0</v>
      </c>
      <c r="J11" s="314">
        <f>SUMIFS('②-2勤務時間数入力'!T$7:T$106,'②-1職員名簿'!AR$7:AR$106,"F",'②-1職員名簿'!$C$7:$C$106,"パート",'②-1職員名簿'!$W$7:$W$106,'②-1職員名簿'!$S$133)</f>
        <v>0</v>
      </c>
      <c r="K11" s="314">
        <f>COUNTIFS('②-1職員名簿'!AR$7:AR$106,"F",'②-2勤務時間数入力'!$C$7:$C$106,"嘱託常勤",'②-2勤務時間数入力'!T$7:T$106,"常",'②-1職員名簿'!$W$7:$W$106,'②-1職員名簿'!$S$133)</f>
        <v>0</v>
      </c>
      <c r="L11" s="314">
        <f>SUMIFS('②-2勤務時間数入力'!T$7:T$106,'②-1職員名簿'!AR$7:AR$106,"F",'②-1職員名簿'!$C$7:$C$106,"嘱託等",'②-1職員名簿'!$W$7:$W$106,'②-1職員名簿'!$S$133)</f>
        <v>0</v>
      </c>
      <c r="M11" s="314">
        <f>COUNTIFS('②-1職員名簿'!AR$7:AR$106,"F",'②-2勤務時間数入力'!H$7:H$106,"正",'②-1職員名簿'!$W$7:$W$106,'②-1職員名簿'!$S$131)</f>
        <v>0</v>
      </c>
      <c r="N11" s="314">
        <f>COUNTIFS('②-1職員名簿'!AR$7:AR$106,"F",'②-2勤務時間数入力'!$C$7:$C$106,"常勤的非常勤",'②-2勤務時間数入力'!T$7:T$106,"常",'②-1職員名簿'!$W$7:$W$106,'②-1職員名簿'!$S$131)</f>
        <v>0</v>
      </c>
      <c r="O11" s="314">
        <f>SUMIFS('②-2勤務時間数入力'!T$7:T$106,'②-1職員名簿'!AR$7:AR$106,"F",'②-1職員名簿'!$C$7:$C$106,"パート",'②-1職員名簿'!$W$7:$W$106,'②-1職員名簿'!$S$131)</f>
        <v>0</v>
      </c>
      <c r="P11" s="314">
        <f>COUNTIFS('②-1職員名簿'!AR$7:AR$106,"F",'②-2勤務時間数入力'!$C$7:$C$106,"嘱託常勤",'②-2勤務時間数入力'!T$7:T$106,"常",'②-1職員名簿'!$W$7:$W$106,'②-1職員名簿'!$S$131)</f>
        <v>0</v>
      </c>
      <c r="Q11" s="314">
        <f>SUMIFS('②-2勤務時間数入力'!T$7:T$106,'②-1職員名簿'!AR$7:AR$106,"F",'②-1職員名簿'!$C$7:$C$106,"嘱託等",'②-1職員名簿'!$W$7:$W$106,'②-1職員名簿'!$S$131)</f>
        <v>0</v>
      </c>
      <c r="R11" s="316">
        <f>COUNTIFS('②-1職員名簿'!$W$7:$W$106,"園長",'②-1職員名簿'!AR$7:AR$106,"F")</f>
        <v>0</v>
      </c>
      <c r="S11" s="168">
        <f t="shared" si="0"/>
        <v>0</v>
      </c>
      <c r="T11" s="167">
        <f t="shared" si="1"/>
        <v>0</v>
      </c>
      <c r="U11" s="177" t="e">
        <f t="shared" si="2"/>
        <v>#DIV/0!</v>
      </c>
      <c r="V11" s="177" t="e">
        <f t="shared" si="3"/>
        <v>#DIV/0!</v>
      </c>
    </row>
    <row r="12" spans="1:23" s="34" customFormat="1" ht="36" customHeight="1">
      <c r="A12" s="282">
        <v>7</v>
      </c>
      <c r="B12" s="165">
        <f>'②-2勤務時間数入力'!AH10</f>
        <v>0</v>
      </c>
      <c r="C12" s="314">
        <f>COUNTIFS('②-1職員名簿'!AS$7:AS$106,"F",'②-2勤務時間数入力'!I$7:I$106,"正",'②-1職員名簿'!$W$7:$W$106,'②-1職員名簿'!$S$132)</f>
        <v>0</v>
      </c>
      <c r="D12" s="314">
        <f>COUNTIFS('②-1職員名簿'!AS$7:AS$106,"F",'②-2勤務時間数入力'!$C$7:$C$106,"常勤的非常勤",'②-2勤務時間数入力'!U$7:U$106,"常",'②-1職員名簿'!$W$7:$W$106,'②-1職員名簿'!$S$132)</f>
        <v>0</v>
      </c>
      <c r="E12" s="314">
        <f>SUMIFS('②-2勤務時間数入力'!U$7:U$106,'②-1職員名簿'!AS$7:AS$106,"F",'②-1職員名簿'!$C$7:$C$106,"パート",'②-1職員名簿'!$W$7:$W$106,'②-1職員名簿'!$S$132)</f>
        <v>0</v>
      </c>
      <c r="F12" s="314">
        <f>COUNTIFS('②-1職員名簿'!AS$7:AS$106,"F",'②-2勤務時間数入力'!$C$7:$C$106,"嘱託常勤",'②-2勤務時間数入力'!U$7:U$106,"常",'②-1職員名簿'!$W$7:$W$106,'②-1職員名簿'!$S$132)</f>
        <v>0</v>
      </c>
      <c r="G12" s="314">
        <f>SUMIFS('②-2勤務時間数入力'!U$7:U$106,'②-1職員名簿'!AS$7:AS$106,"F",'②-1職員名簿'!$C$7:$C$106,"嘱託等",'②-1職員名簿'!$W$7:$W$106,'②-1職員名簿'!$S$132)</f>
        <v>0</v>
      </c>
      <c r="H12" s="314">
        <f>COUNTIFS('②-1職員名簿'!AS$7:AS$106,"F",'②-2勤務時間数入力'!I$7:I$106,"正",'②-1職員名簿'!$W$7:$W$106,'②-1職員名簿'!$S$133)</f>
        <v>0</v>
      </c>
      <c r="I12" s="314">
        <f>COUNTIFS('②-1職員名簿'!AS$7:AS$106,"F",'②-2勤務時間数入力'!$C$7:$C$106,"常勤的非常勤",'②-2勤務時間数入力'!U$7:U$106,"常",'②-1職員名簿'!$W$7:$W$106,'②-1職員名簿'!$S$133)</f>
        <v>0</v>
      </c>
      <c r="J12" s="314">
        <f>SUMIFS('②-2勤務時間数入力'!U$7:U$106,'②-1職員名簿'!AS$7:AS$106,"F",'②-1職員名簿'!$C$7:$C$106,"パート",'②-1職員名簿'!$W$7:$W$106,'②-1職員名簿'!$S$133)</f>
        <v>0</v>
      </c>
      <c r="K12" s="314">
        <f>COUNTIFS('②-1職員名簿'!AS$7:AS$106,"F",'②-2勤務時間数入力'!$C$7:$C$106,"嘱託常勤",'②-2勤務時間数入力'!U$7:U$106,"常",'②-1職員名簿'!$W$7:$W$106,'②-1職員名簿'!$S$133)</f>
        <v>0</v>
      </c>
      <c r="L12" s="314">
        <f>SUMIFS('②-2勤務時間数入力'!U$7:U$106,'②-1職員名簿'!AS$7:AS$106,"F",'②-1職員名簿'!$C$7:$C$106,"嘱託等",'②-1職員名簿'!$W$7:$W$106,'②-1職員名簿'!$S$133)</f>
        <v>0</v>
      </c>
      <c r="M12" s="314">
        <f>COUNTIFS('②-1職員名簿'!AS$7:AS$106,"F",'②-2勤務時間数入力'!I$7:I$106,"正",'②-1職員名簿'!$W$7:$W$106,'②-1職員名簿'!$S$131)</f>
        <v>0</v>
      </c>
      <c r="N12" s="314">
        <f>COUNTIFS('②-1職員名簿'!AS$7:AS$106,"F",'②-2勤務時間数入力'!$C$7:$C$106,"常勤的非常勤",'②-2勤務時間数入力'!U$7:U$106,"常",'②-1職員名簿'!$W$7:$W$106,'②-1職員名簿'!$S$131)</f>
        <v>0</v>
      </c>
      <c r="O12" s="314">
        <f>SUMIFS('②-2勤務時間数入力'!U$7:U$106,'②-1職員名簿'!AS$7:AS$106,"F",'②-1職員名簿'!$C$7:$C$106,"パート",'②-1職員名簿'!$W$7:$W$106,'②-1職員名簿'!$S$131)</f>
        <v>0</v>
      </c>
      <c r="P12" s="314">
        <f>COUNTIFS('②-1職員名簿'!AS$7:AS$106,"F",'②-2勤務時間数入力'!$C$7:$C$106,"嘱託常勤",'②-2勤務時間数入力'!U$7:U$106,"常",'②-1職員名簿'!$W$7:$W$106,'②-1職員名簿'!$S$131)</f>
        <v>0</v>
      </c>
      <c r="Q12" s="314">
        <f>SUMIFS('②-2勤務時間数入力'!U$7:U$106,'②-1職員名簿'!AS$7:AS$106,"F",'②-1職員名簿'!$C$7:$C$106,"嘱託等",'②-1職員名簿'!$W$7:$W$106,'②-1職員名簿'!$S$131)</f>
        <v>0</v>
      </c>
      <c r="R12" s="316">
        <f>COUNTIFS('②-1職員名簿'!$W$7:$W$106,"園長",'②-1職員名簿'!AS$7:AS$106,"F")</f>
        <v>0</v>
      </c>
      <c r="S12" s="168">
        <f t="shared" si="0"/>
        <v>0</v>
      </c>
      <c r="T12" s="167">
        <f t="shared" si="1"/>
        <v>0</v>
      </c>
      <c r="U12" s="177" t="e">
        <f t="shared" si="2"/>
        <v>#DIV/0!</v>
      </c>
      <c r="V12" s="177" t="e">
        <f t="shared" si="3"/>
        <v>#DIV/0!</v>
      </c>
    </row>
    <row r="13" spans="1:23" s="34" customFormat="1" ht="36" customHeight="1">
      <c r="A13" s="282">
        <v>8</v>
      </c>
      <c r="B13" s="165">
        <f>'②-2勤務時間数入力'!AH11</f>
        <v>0</v>
      </c>
      <c r="C13" s="314">
        <f>COUNTIFS('②-1職員名簿'!AT$7:AT$106,"F",'②-2勤務時間数入力'!J$7:J$106,"正",'②-1職員名簿'!$W$7:$W$106,'②-1職員名簿'!$S$132)</f>
        <v>0</v>
      </c>
      <c r="D13" s="314">
        <f>COUNTIFS('②-1職員名簿'!AT$7:AT$106,"F",'②-2勤務時間数入力'!$C$7:$C$106,"常勤的非常勤",'②-2勤務時間数入力'!V$7:V$106,"常",'②-1職員名簿'!$W$7:$W$106,'②-1職員名簿'!$S$132)</f>
        <v>0</v>
      </c>
      <c r="E13" s="314">
        <f>SUMIFS('②-2勤務時間数入力'!V$7:V$106,'②-1職員名簿'!AT$7:AT$106,"F",'②-1職員名簿'!$C$7:$C$106,"パート",'②-1職員名簿'!$W$7:$W$106,'②-1職員名簿'!$S$132)</f>
        <v>0</v>
      </c>
      <c r="F13" s="314">
        <f>COUNTIFS('②-1職員名簿'!AT$7:AT$106,"F",'②-2勤務時間数入力'!$C$7:$C$106,"嘱託常勤",'②-2勤務時間数入力'!V$7:V$106,"常",'②-1職員名簿'!$W$7:$W$106,'②-1職員名簿'!$S$132)</f>
        <v>0</v>
      </c>
      <c r="G13" s="314">
        <f>SUMIFS('②-2勤務時間数入力'!V$7:V$106,'②-1職員名簿'!AT$7:AT$106,"F",'②-1職員名簿'!$C$7:$C$106,"嘱託等",'②-1職員名簿'!$W$7:$W$106,'②-1職員名簿'!$S$132)</f>
        <v>0</v>
      </c>
      <c r="H13" s="314">
        <f>COUNTIFS('②-1職員名簿'!AT$7:AT$106,"F",'②-2勤務時間数入力'!J$7:J$106,"正",'②-1職員名簿'!$W$7:$W$106,'②-1職員名簿'!$S$133)</f>
        <v>0</v>
      </c>
      <c r="I13" s="314">
        <f>COUNTIFS('②-1職員名簿'!AT$7:AT$106,"F",'②-2勤務時間数入力'!$C$7:$C$106,"常勤的非常勤",'②-2勤務時間数入力'!V$7:V$106,"常",'②-1職員名簿'!$W$7:$W$106,'②-1職員名簿'!$S$133)</f>
        <v>0</v>
      </c>
      <c r="J13" s="314">
        <f>SUMIFS('②-2勤務時間数入力'!V$7:V$106,'②-1職員名簿'!AT$7:AT$106,"F",'②-1職員名簿'!$C$7:$C$106,"パート",'②-1職員名簿'!$W$7:$W$106,'②-1職員名簿'!$S$133)</f>
        <v>0</v>
      </c>
      <c r="K13" s="314">
        <f>COUNTIFS('②-1職員名簿'!AT$7:AT$106,"F",'②-2勤務時間数入力'!$C$7:$C$106,"嘱託常勤",'②-2勤務時間数入力'!V$7:V$106,"常",'②-1職員名簿'!$W$7:$W$106,'②-1職員名簿'!$S$133)</f>
        <v>0</v>
      </c>
      <c r="L13" s="314">
        <f>SUMIFS('②-2勤務時間数入力'!V$7:V$106,'②-1職員名簿'!AT$7:AT$106,"F",'②-1職員名簿'!$C$7:$C$106,"嘱託等",'②-1職員名簿'!$W$7:$W$106,'②-1職員名簿'!$S$133)</f>
        <v>0</v>
      </c>
      <c r="M13" s="314">
        <f>COUNTIFS('②-1職員名簿'!AT$7:AT$106,"F",'②-2勤務時間数入力'!J$7:J$106,"正",'②-1職員名簿'!$W$7:$W$106,'②-1職員名簿'!$S$131)</f>
        <v>0</v>
      </c>
      <c r="N13" s="314">
        <f>COUNTIFS('②-1職員名簿'!AT$7:AT$106,"F",'②-2勤務時間数入力'!$C$7:$C$106,"常勤的非常勤",'②-2勤務時間数入力'!V$7:V$106,"常",'②-1職員名簿'!$W$7:$W$106,'②-1職員名簿'!$S$131)</f>
        <v>0</v>
      </c>
      <c r="O13" s="314">
        <f>SUMIFS('②-2勤務時間数入力'!V$7:V$106,'②-1職員名簿'!AT$7:AT$106,"F",'②-1職員名簿'!$C$7:$C$106,"パート",'②-1職員名簿'!$W$7:$W$106,'②-1職員名簿'!$S$131)</f>
        <v>0</v>
      </c>
      <c r="P13" s="314">
        <f>COUNTIFS('②-1職員名簿'!AT$7:AT$106,"F",'②-2勤務時間数入力'!$C$7:$C$106,"嘱託常勤",'②-2勤務時間数入力'!V$7:V$106,"常",'②-1職員名簿'!$W$7:$W$106,'②-1職員名簿'!$S$131)</f>
        <v>0</v>
      </c>
      <c r="Q13" s="314">
        <f>SUMIFS('②-2勤務時間数入力'!V$7:V$106,'②-1職員名簿'!AT$7:AT$106,"F",'②-1職員名簿'!$C$7:$C$106,"嘱託等",'②-1職員名簿'!$W$7:$W$106,'②-1職員名簿'!$S$131)</f>
        <v>0</v>
      </c>
      <c r="R13" s="316">
        <f>COUNTIFS('②-1職員名簿'!$W$7:$W$106,"園長",'②-1職員名簿'!AT$7:AT$106,"F")</f>
        <v>0</v>
      </c>
      <c r="S13" s="168">
        <f t="shared" si="0"/>
        <v>0</v>
      </c>
      <c r="T13" s="167">
        <f t="shared" si="1"/>
        <v>0</v>
      </c>
      <c r="U13" s="177" t="e">
        <f t="shared" si="2"/>
        <v>#DIV/0!</v>
      </c>
      <c r="V13" s="177" t="e">
        <f t="shared" si="3"/>
        <v>#DIV/0!</v>
      </c>
    </row>
    <row r="14" spans="1:23" s="34" customFormat="1" ht="36" customHeight="1">
      <c r="A14" s="282">
        <v>9</v>
      </c>
      <c r="B14" s="165">
        <f>'②-2勤務時間数入力'!AH12</f>
        <v>0</v>
      </c>
      <c r="C14" s="314">
        <f>COUNTIFS('②-1職員名簿'!AU$7:AU$106,"F",'②-2勤務時間数入力'!K$7:K$106,"正",'②-1職員名簿'!$W$7:$W$106,'②-1職員名簿'!$S$132)</f>
        <v>0</v>
      </c>
      <c r="D14" s="314">
        <f>COUNTIFS('②-1職員名簿'!AU$7:AU$106,"F",'②-2勤務時間数入力'!$C$7:$C$106,"常勤的非常勤",'②-2勤務時間数入力'!W$7:W$106,"常",'②-1職員名簿'!$W$7:$W$106,'②-1職員名簿'!$S$132)</f>
        <v>0</v>
      </c>
      <c r="E14" s="314">
        <f>SUMIFS('②-2勤務時間数入力'!W$7:W$106,'②-1職員名簿'!AU$7:AU$106,"F",'②-1職員名簿'!$C$7:$C$106,"パート",'②-1職員名簿'!$W$7:$W$106,'②-1職員名簿'!$S$132)</f>
        <v>0</v>
      </c>
      <c r="F14" s="314">
        <f>COUNTIFS('②-1職員名簿'!AU$7:AU$106,"F",'②-2勤務時間数入力'!$C$7:$C$106,"嘱託常勤",'②-2勤務時間数入力'!W$7:W$106,"常",'②-1職員名簿'!$W$7:$W$106,'②-1職員名簿'!$S$132)</f>
        <v>0</v>
      </c>
      <c r="G14" s="314">
        <f>SUMIFS('②-2勤務時間数入力'!W$7:W$106,'②-1職員名簿'!AU$7:AU$106,"F",'②-1職員名簿'!$C$7:$C$106,"嘱託等",'②-1職員名簿'!$W$7:$W$106,'②-1職員名簿'!$S$132)</f>
        <v>0</v>
      </c>
      <c r="H14" s="314">
        <f>COUNTIFS('②-1職員名簿'!AU$7:AU$106,"F",'②-2勤務時間数入力'!K$7:K$106,"正",'②-1職員名簿'!$W$7:$W$106,'②-1職員名簿'!$S$133)</f>
        <v>0</v>
      </c>
      <c r="I14" s="314">
        <f>COUNTIFS('②-1職員名簿'!AU$7:AU$106,"F",'②-2勤務時間数入力'!$C$7:$C$106,"常勤的非常勤",'②-2勤務時間数入力'!W$7:W$106,"常",'②-1職員名簿'!$W$7:$W$106,'②-1職員名簿'!$S$133)</f>
        <v>0</v>
      </c>
      <c r="J14" s="314">
        <f>SUMIFS('②-2勤務時間数入力'!W$7:W$106,'②-1職員名簿'!AU$7:AU$106,"F",'②-1職員名簿'!$C$7:$C$106,"パート",'②-1職員名簿'!$W$7:$W$106,'②-1職員名簿'!$S$133)</f>
        <v>0</v>
      </c>
      <c r="K14" s="314">
        <f>COUNTIFS('②-1職員名簿'!AU$7:AU$106,"F",'②-2勤務時間数入力'!$C$7:$C$106,"嘱託常勤",'②-2勤務時間数入力'!W$7:W$106,"常",'②-1職員名簿'!$W$7:$W$106,'②-1職員名簿'!$S$133)</f>
        <v>0</v>
      </c>
      <c r="L14" s="314">
        <f>SUMIFS('②-2勤務時間数入力'!W$7:W$106,'②-1職員名簿'!AU$7:AU$106,"F",'②-1職員名簿'!$C$7:$C$106,"嘱託等",'②-1職員名簿'!$W$7:$W$106,'②-1職員名簿'!$S$133)</f>
        <v>0</v>
      </c>
      <c r="M14" s="314">
        <f>COUNTIFS('②-1職員名簿'!AU$7:AU$106,"F",'②-2勤務時間数入力'!K$7:K$106,"正",'②-1職員名簿'!$W$7:$W$106,'②-1職員名簿'!$S$131)</f>
        <v>0</v>
      </c>
      <c r="N14" s="314">
        <f>COUNTIFS('②-1職員名簿'!AU$7:AU$106,"F",'②-2勤務時間数入力'!$C$7:$C$106,"常勤的非常勤",'②-2勤務時間数入力'!W$7:W$106,"常",'②-1職員名簿'!$W$7:$W$106,'②-1職員名簿'!$S$131)</f>
        <v>0</v>
      </c>
      <c r="O14" s="314">
        <f>SUMIFS('②-2勤務時間数入力'!W$7:W$106,'②-1職員名簿'!AU$7:AU$106,"F",'②-1職員名簿'!$C$7:$C$106,"パート",'②-1職員名簿'!$W$7:$W$106,'②-1職員名簿'!$S$131)</f>
        <v>0</v>
      </c>
      <c r="P14" s="314">
        <f>COUNTIFS('②-1職員名簿'!AU$7:AU$106,"F",'②-2勤務時間数入力'!$C$7:$C$106,"嘱託常勤",'②-2勤務時間数入力'!W$7:W$106,"常",'②-1職員名簿'!$W$7:$W$106,'②-1職員名簿'!$S$131)</f>
        <v>0</v>
      </c>
      <c r="Q14" s="314">
        <f>SUMIFS('②-2勤務時間数入力'!W$7:W$106,'②-1職員名簿'!AU$7:AU$106,"F",'②-1職員名簿'!$C$7:$C$106,"嘱託等",'②-1職員名簿'!$W$7:$W$106,'②-1職員名簿'!$S$131)</f>
        <v>0</v>
      </c>
      <c r="R14" s="316">
        <f>COUNTIFS('②-1職員名簿'!$W$7:$W$106,"園長",'②-1職員名簿'!AU$7:AU$106,"F")</f>
        <v>0</v>
      </c>
      <c r="S14" s="168">
        <f t="shared" si="0"/>
        <v>0</v>
      </c>
      <c r="T14" s="167">
        <f t="shared" si="1"/>
        <v>0</v>
      </c>
      <c r="U14" s="177" t="e">
        <f t="shared" si="2"/>
        <v>#DIV/0!</v>
      </c>
      <c r="V14" s="177" t="e">
        <f t="shared" si="3"/>
        <v>#DIV/0!</v>
      </c>
    </row>
    <row r="15" spans="1:23" s="34" customFormat="1" ht="36" customHeight="1">
      <c r="A15" s="282">
        <v>10</v>
      </c>
      <c r="B15" s="165">
        <f>'②-2勤務時間数入力'!AH13</f>
        <v>0</v>
      </c>
      <c r="C15" s="314">
        <f>COUNTIFS('②-1職員名簿'!AV$7:AV$106,"F",'②-2勤務時間数入力'!L$7:L$106,"正",'②-1職員名簿'!$W$7:$W$106,'②-1職員名簿'!$S$132)</f>
        <v>0</v>
      </c>
      <c r="D15" s="314">
        <f>COUNTIFS('②-1職員名簿'!AV$7:AV$106,"F",'②-2勤務時間数入力'!$C$7:$C$106,"常勤的非常勤",'②-2勤務時間数入力'!X$7:X$106,"常",'②-1職員名簿'!$W$7:$W$106,'②-1職員名簿'!$S$132)</f>
        <v>0</v>
      </c>
      <c r="E15" s="314">
        <f>SUMIFS('②-2勤務時間数入力'!X$7:X$106,'②-1職員名簿'!AV$7:AV$106,"F",'②-1職員名簿'!$C$7:$C$106,"パート",'②-1職員名簿'!$W$7:$W$106,'②-1職員名簿'!$S$132)</f>
        <v>0</v>
      </c>
      <c r="F15" s="314">
        <f>COUNTIFS('②-1職員名簿'!AV$7:AV$106,"F",'②-2勤務時間数入力'!$C$7:$C$106,"嘱託常勤",'②-2勤務時間数入力'!X$7:X$106,"常",'②-1職員名簿'!$W$7:$W$106,'②-1職員名簿'!$S$132)</f>
        <v>0</v>
      </c>
      <c r="G15" s="314">
        <f>SUMIFS('②-2勤務時間数入力'!X$7:X$106,'②-1職員名簿'!AV$7:AV$106,"F",'②-1職員名簿'!$C$7:$C$106,"嘱託等",'②-1職員名簿'!$W$7:$W$106,'②-1職員名簿'!$S$132)</f>
        <v>0</v>
      </c>
      <c r="H15" s="314">
        <f>COUNTIFS('②-1職員名簿'!AV$7:AV$106,"F",'②-2勤務時間数入力'!L$7:L$106,"正",'②-1職員名簿'!$W$7:$W$106,'②-1職員名簿'!$S$133)</f>
        <v>0</v>
      </c>
      <c r="I15" s="314">
        <f>COUNTIFS('②-1職員名簿'!AV$7:AV$106,"F",'②-2勤務時間数入力'!$C$7:$C$106,"常勤的非常勤",'②-2勤務時間数入力'!X$7:X$106,"常",'②-1職員名簿'!$W$7:$W$106,'②-1職員名簿'!$S$133)</f>
        <v>0</v>
      </c>
      <c r="J15" s="314">
        <f>SUMIFS('②-2勤務時間数入力'!X$7:X$106,'②-1職員名簿'!AV$7:AV$106,"F",'②-1職員名簿'!$C$7:$C$106,"パート",'②-1職員名簿'!$W$7:$W$106,'②-1職員名簿'!$S$133)</f>
        <v>0</v>
      </c>
      <c r="K15" s="314">
        <f>COUNTIFS('②-1職員名簿'!AV$7:AV$106,"F",'②-2勤務時間数入力'!$C$7:$C$106,"嘱託常勤",'②-2勤務時間数入力'!X$7:X$106,"常",'②-1職員名簿'!$W$7:$W$106,'②-1職員名簿'!$S$133)</f>
        <v>0</v>
      </c>
      <c r="L15" s="314">
        <f>SUMIFS('②-2勤務時間数入力'!X$7:X$106,'②-1職員名簿'!AV$7:AV$106,"F",'②-1職員名簿'!$C$7:$C$106,"嘱託等",'②-1職員名簿'!$W$7:$W$106,'②-1職員名簿'!$S$133)</f>
        <v>0</v>
      </c>
      <c r="M15" s="314">
        <f>COUNTIFS('②-1職員名簿'!AV$7:AV$106,"F",'②-2勤務時間数入力'!L$7:L$106,"正",'②-1職員名簿'!$W$7:$W$106,'②-1職員名簿'!$S$131)</f>
        <v>0</v>
      </c>
      <c r="N15" s="314">
        <f>COUNTIFS('②-1職員名簿'!AV$7:AV$106,"F",'②-2勤務時間数入力'!$C$7:$C$106,"常勤的非常勤",'②-2勤務時間数入力'!X$7:X$106,"常",'②-1職員名簿'!$W$7:$W$106,'②-1職員名簿'!$S$131)</f>
        <v>0</v>
      </c>
      <c r="O15" s="314">
        <f>SUMIFS('②-2勤務時間数入力'!X$7:X$106,'②-1職員名簿'!AV$7:AV$106,"F",'②-1職員名簿'!$C$7:$C$106,"パート",'②-1職員名簿'!$W$7:$W$106,'②-1職員名簿'!$S$131)</f>
        <v>0</v>
      </c>
      <c r="P15" s="314">
        <f>COUNTIFS('②-1職員名簿'!AV$7:AV$106,"F",'②-2勤務時間数入力'!$C$7:$C$106,"嘱託常勤",'②-2勤務時間数入力'!X$7:X$106,"常",'②-1職員名簿'!$W$7:$W$106,'②-1職員名簿'!$S$131)</f>
        <v>0</v>
      </c>
      <c r="Q15" s="314">
        <f>SUMIFS('②-2勤務時間数入力'!X$7:X$106,'②-1職員名簿'!AV$7:AV$106,"F",'②-1職員名簿'!$C$7:$C$106,"嘱託等",'②-1職員名簿'!$W$7:$W$106,'②-1職員名簿'!$S$131)</f>
        <v>0</v>
      </c>
      <c r="R15" s="316">
        <f>COUNTIFS('②-1職員名簿'!$W$7:$W$106,"園長",'②-1職員名簿'!AV$7:AV$106,"F")</f>
        <v>0</v>
      </c>
      <c r="S15" s="168">
        <f t="shared" si="0"/>
        <v>0</v>
      </c>
      <c r="T15" s="167">
        <f t="shared" si="1"/>
        <v>0</v>
      </c>
      <c r="U15" s="177" t="e">
        <f t="shared" si="2"/>
        <v>#DIV/0!</v>
      </c>
      <c r="V15" s="177" t="e">
        <f t="shared" si="3"/>
        <v>#DIV/0!</v>
      </c>
    </row>
    <row r="16" spans="1:23" s="34" customFormat="1" ht="36" customHeight="1">
      <c r="A16" s="282">
        <v>11</v>
      </c>
      <c r="B16" s="165">
        <f>'②-2勤務時間数入力'!AH14</f>
        <v>0</v>
      </c>
      <c r="C16" s="314">
        <f>COUNTIFS('②-1職員名簿'!AW$7:AW$106,"F",'②-2勤務時間数入力'!M$7:M$106,"正",'②-1職員名簿'!$W$7:$W$106,'②-1職員名簿'!$S$132)</f>
        <v>0</v>
      </c>
      <c r="D16" s="314">
        <f>COUNTIFS('②-1職員名簿'!AW$7:AW$106,"F",'②-2勤務時間数入力'!$C$7:$C$106,"常勤的非常勤",'②-2勤務時間数入力'!Y$7:Y$106,"常",'②-1職員名簿'!$W$7:$W$106,'②-1職員名簿'!$S$132)</f>
        <v>0</v>
      </c>
      <c r="E16" s="314">
        <f>SUMIFS('②-2勤務時間数入力'!Y$7:Y$106,'②-1職員名簿'!AW$7:AW$106,"F",'②-1職員名簿'!$C$7:$C$106,"パート",'②-1職員名簿'!$W$7:$W$106,'②-1職員名簿'!$S$132)</f>
        <v>0</v>
      </c>
      <c r="F16" s="314">
        <f>COUNTIFS('②-1職員名簿'!AW$7:AW$106,"F",'②-2勤務時間数入力'!$C$7:$C$106,"嘱託常勤",'②-2勤務時間数入力'!Y$7:Y$106,"常",'②-1職員名簿'!$W$7:$W$106,'②-1職員名簿'!$S$132)</f>
        <v>0</v>
      </c>
      <c r="G16" s="314">
        <f>SUMIFS('②-2勤務時間数入力'!Y$7:Y$106,'②-1職員名簿'!AW$7:AW$106,"F",'②-1職員名簿'!$C$7:$C$106,"嘱託等",'②-1職員名簿'!$W$7:$W$106,'②-1職員名簿'!$S$132)</f>
        <v>0</v>
      </c>
      <c r="H16" s="314">
        <f>COUNTIFS('②-1職員名簿'!AW$7:AW$106,"F",'②-2勤務時間数入力'!M$7:M$106,"正",'②-1職員名簿'!$W$7:$W$106,'②-1職員名簿'!$S$133)</f>
        <v>0</v>
      </c>
      <c r="I16" s="314">
        <f>COUNTIFS('②-1職員名簿'!AW$7:AW$106,"F",'②-2勤務時間数入力'!$C$7:$C$106,"常勤的非常勤",'②-2勤務時間数入力'!Y$7:Y$106,"常",'②-1職員名簿'!$W$7:$W$106,'②-1職員名簿'!$S$133)</f>
        <v>0</v>
      </c>
      <c r="J16" s="314">
        <f>SUMIFS('②-2勤務時間数入力'!Y$7:Y$106,'②-1職員名簿'!AW$7:AW$106,"F",'②-1職員名簿'!$C$7:$C$106,"パート",'②-1職員名簿'!$W$7:$W$106,'②-1職員名簿'!$S$133)</f>
        <v>0</v>
      </c>
      <c r="K16" s="314">
        <f>COUNTIFS('②-1職員名簿'!AW$7:AW$106,"F",'②-2勤務時間数入力'!$C$7:$C$106,"嘱託常勤",'②-2勤務時間数入力'!Y$7:Y$106,"常",'②-1職員名簿'!$W$7:$W$106,'②-1職員名簿'!$S$133)</f>
        <v>0</v>
      </c>
      <c r="L16" s="314">
        <f>SUMIFS('②-2勤務時間数入力'!Y$7:Y$106,'②-1職員名簿'!AW$7:AW$106,"F",'②-1職員名簿'!$C$7:$C$106,"嘱託等",'②-1職員名簿'!$W$7:$W$106,'②-1職員名簿'!$S$133)</f>
        <v>0</v>
      </c>
      <c r="M16" s="314">
        <f>COUNTIFS('②-1職員名簿'!AW$7:AW$106,"F",'②-2勤務時間数入力'!M$7:M$106,"正",'②-1職員名簿'!$W$7:$W$106,'②-1職員名簿'!$S$131)</f>
        <v>0</v>
      </c>
      <c r="N16" s="314">
        <f>COUNTIFS('②-1職員名簿'!AW$7:AW$106,"F",'②-2勤務時間数入力'!$C$7:$C$106,"常勤的非常勤",'②-2勤務時間数入力'!Y$7:Y$106,"常",'②-1職員名簿'!$W$7:$W$106,'②-1職員名簿'!$S$131)</f>
        <v>0</v>
      </c>
      <c r="O16" s="314">
        <f>SUMIFS('②-2勤務時間数入力'!Y$7:Y$106,'②-1職員名簿'!AW$7:AW$106,"F",'②-1職員名簿'!$C$7:$C$106,"パート",'②-1職員名簿'!$W$7:$W$106,'②-1職員名簿'!$S$131)</f>
        <v>0</v>
      </c>
      <c r="P16" s="314">
        <f>COUNTIFS('②-1職員名簿'!AW$7:AW$106,"F",'②-2勤務時間数入力'!$C$7:$C$106,"嘱託常勤",'②-2勤務時間数入力'!Y$7:Y$106,"常",'②-1職員名簿'!$W$7:$W$106,'②-1職員名簿'!$S$131)</f>
        <v>0</v>
      </c>
      <c r="Q16" s="314">
        <f>SUMIFS('②-2勤務時間数入力'!Y$7:Y$106,'②-1職員名簿'!AW$7:AW$106,"F",'②-1職員名簿'!$C$7:$C$106,"嘱託等",'②-1職員名簿'!$W$7:$W$106,'②-1職員名簿'!$S$131)</f>
        <v>0</v>
      </c>
      <c r="R16" s="316">
        <f>COUNTIFS('②-1職員名簿'!$W$7:$W$106,"園長",'②-1職員名簿'!AW$7:AW$106,"F")</f>
        <v>0</v>
      </c>
      <c r="S16" s="168">
        <f t="shared" si="0"/>
        <v>0</v>
      </c>
      <c r="T16" s="167">
        <f t="shared" si="1"/>
        <v>0</v>
      </c>
      <c r="U16" s="177" t="e">
        <f t="shared" si="2"/>
        <v>#DIV/0!</v>
      </c>
      <c r="V16" s="177" t="e">
        <f t="shared" si="3"/>
        <v>#DIV/0!</v>
      </c>
    </row>
    <row r="17" spans="1:22" s="34" customFormat="1" ht="36" customHeight="1">
      <c r="A17" s="282">
        <v>12</v>
      </c>
      <c r="B17" s="165">
        <f>'②-2勤務時間数入力'!AH15</f>
        <v>0</v>
      </c>
      <c r="C17" s="314">
        <f>COUNTIFS('②-1職員名簿'!AX$7:AX$106,"F",'②-2勤務時間数入力'!N$7:N$106,"正",'②-1職員名簿'!$W$7:$W$106,'②-1職員名簿'!$S$132)</f>
        <v>0</v>
      </c>
      <c r="D17" s="314">
        <f>COUNTIFS('②-1職員名簿'!AX$7:AX$106,"F",'②-2勤務時間数入力'!$C$7:$C$106,"常勤的非常勤",'②-2勤務時間数入力'!Z$7:Z$106,"常",'②-1職員名簿'!$W$7:$W$106,'②-1職員名簿'!$S$132)</f>
        <v>0</v>
      </c>
      <c r="E17" s="314">
        <f>SUMIFS('②-2勤務時間数入力'!Z$7:Z$106,'②-1職員名簿'!AX$7:AX$106,"F",'②-1職員名簿'!$C$7:$C$106,"パート",'②-1職員名簿'!$W$7:$W$106,'②-1職員名簿'!$S$132)</f>
        <v>0</v>
      </c>
      <c r="F17" s="314">
        <f>COUNTIFS('②-1職員名簿'!AX$7:AX$106,"F",'②-2勤務時間数入力'!$C$7:$C$106,"嘱託常勤",'②-2勤務時間数入力'!Z$7:Z$106,"常",'②-1職員名簿'!$W$7:$W$106,'②-1職員名簿'!$S$132)</f>
        <v>0</v>
      </c>
      <c r="G17" s="314">
        <f>SUMIFS('②-2勤務時間数入力'!Z$7:Z$106,'②-1職員名簿'!AX$7:AX$106,"F",'②-1職員名簿'!$C$7:$C$106,"嘱託等",'②-1職員名簿'!$W$7:$W$106,'②-1職員名簿'!$S$132)</f>
        <v>0</v>
      </c>
      <c r="H17" s="314">
        <f>COUNTIFS('②-1職員名簿'!AX$7:AX$106,"F",'②-2勤務時間数入力'!N$7:N$106,"正",'②-1職員名簿'!$W$7:$W$106,'②-1職員名簿'!$S$133)</f>
        <v>0</v>
      </c>
      <c r="I17" s="314">
        <f>COUNTIFS('②-1職員名簿'!AX$7:AX$106,"F",'②-2勤務時間数入力'!$C$7:$C$106,"常勤的非常勤",'②-2勤務時間数入力'!Z$7:Z$106,"常",'②-1職員名簿'!$W$7:$W$106,'②-1職員名簿'!$S$133)</f>
        <v>0</v>
      </c>
      <c r="J17" s="314">
        <f>SUMIFS('②-2勤務時間数入力'!Z$7:Z$106,'②-1職員名簿'!AX$7:AX$106,"F",'②-1職員名簿'!$C$7:$C$106,"パート",'②-1職員名簿'!$W$7:$W$106,'②-1職員名簿'!$S$133)</f>
        <v>0</v>
      </c>
      <c r="K17" s="314">
        <f>COUNTIFS('②-1職員名簿'!AX$7:AX$106,"F",'②-2勤務時間数入力'!$C$7:$C$106,"嘱託常勤",'②-2勤務時間数入力'!Z$7:Z$106,"常",'②-1職員名簿'!$W$7:$W$106,'②-1職員名簿'!$S$133)</f>
        <v>0</v>
      </c>
      <c r="L17" s="314">
        <f>SUMIFS('②-2勤務時間数入力'!Z$7:Z$106,'②-1職員名簿'!AX$7:AX$106,"F",'②-1職員名簿'!$C$7:$C$106,"嘱託等",'②-1職員名簿'!$W$7:$W$106,'②-1職員名簿'!$S$133)</f>
        <v>0</v>
      </c>
      <c r="M17" s="314">
        <f>COUNTIFS('②-1職員名簿'!AX$7:AX$106,"F",'②-2勤務時間数入力'!N$7:N$106,"正",'②-1職員名簿'!$W$7:$W$106,'②-1職員名簿'!$S$131)</f>
        <v>0</v>
      </c>
      <c r="N17" s="314">
        <f>COUNTIFS('②-1職員名簿'!AX$7:AX$106,"F",'②-2勤務時間数入力'!$C$7:$C$106,"常勤的非常勤",'②-2勤務時間数入力'!Z$7:Z$106,"常",'②-1職員名簿'!$W$7:$W$106,'②-1職員名簿'!$S$131)</f>
        <v>0</v>
      </c>
      <c r="O17" s="314">
        <f>SUMIFS('②-2勤務時間数入力'!Z$7:Z$106,'②-1職員名簿'!AX$7:AX$106,"F",'②-1職員名簿'!$C$7:$C$106,"パート",'②-1職員名簿'!$W$7:$W$106,'②-1職員名簿'!$S$131)</f>
        <v>0</v>
      </c>
      <c r="P17" s="314">
        <f>COUNTIFS('②-1職員名簿'!AX$7:AX$106,"F",'②-2勤務時間数入力'!$C$7:$C$106,"嘱託常勤",'②-2勤務時間数入力'!Z$7:Z$106,"常",'②-1職員名簿'!$W$7:$W$106,'②-1職員名簿'!$S$131)</f>
        <v>0</v>
      </c>
      <c r="Q17" s="314">
        <f>SUMIFS('②-2勤務時間数入力'!Z$7:Z$106,'②-1職員名簿'!AX$7:AX$106,"F",'②-1職員名簿'!$C$7:$C$106,"嘱託等",'②-1職員名簿'!$W$7:$W$106,'②-1職員名簿'!$S$131)</f>
        <v>0</v>
      </c>
      <c r="R17" s="316">
        <f>COUNTIFS('②-1職員名簿'!$W$7:$W$106,"園長",'②-1職員名簿'!AX$7:AX$106,"F")</f>
        <v>0</v>
      </c>
      <c r="S17" s="168">
        <f t="shared" si="0"/>
        <v>0</v>
      </c>
      <c r="T17" s="167">
        <f t="shared" si="1"/>
        <v>0</v>
      </c>
      <c r="U17" s="177" t="e">
        <f t="shared" si="2"/>
        <v>#DIV/0!</v>
      </c>
      <c r="V17" s="177" t="e">
        <f t="shared" si="3"/>
        <v>#DIV/0!</v>
      </c>
    </row>
    <row r="18" spans="1:22" s="34" customFormat="1" ht="36" customHeight="1">
      <c r="A18" s="282">
        <v>1</v>
      </c>
      <c r="B18" s="165">
        <f>'②-2勤務時間数入力'!AH16</f>
        <v>0</v>
      </c>
      <c r="C18" s="314">
        <f>COUNTIFS('②-1職員名簿'!AY$7:AY$106,"F",'②-2勤務時間数入力'!O$7:O$106,"正",'②-1職員名簿'!$W$7:$W$106,'②-1職員名簿'!$S$132)</f>
        <v>0</v>
      </c>
      <c r="D18" s="314">
        <f>COUNTIFS('②-1職員名簿'!AY$7:AY$106,"F",'②-2勤務時間数入力'!$C$7:$C$106,"常勤的非常勤",'②-2勤務時間数入力'!AA$7:AA$106,"常",'②-1職員名簿'!$W$7:$W$106,'②-1職員名簿'!$S$132)</f>
        <v>0</v>
      </c>
      <c r="E18" s="314">
        <f>SUMIFS('②-2勤務時間数入力'!AA$7:AA$106,'②-1職員名簿'!AY$7:AY$106,"F",'②-1職員名簿'!$C$7:$C$106,"パート",'②-1職員名簿'!$W$7:$W$106,'②-1職員名簿'!$S$132)</f>
        <v>0</v>
      </c>
      <c r="F18" s="314">
        <f>COUNTIFS('②-1職員名簿'!AY$7:AY$106,"F",'②-2勤務時間数入力'!$C$7:$C$106,"嘱託常勤",'②-2勤務時間数入力'!AA$7:AA$106,"常",'②-1職員名簿'!$W$7:$W$106,'②-1職員名簿'!$S$132)</f>
        <v>0</v>
      </c>
      <c r="G18" s="314">
        <f>SUMIFS('②-2勤務時間数入力'!AA$7:AA$106,'②-1職員名簿'!AY$7:AY$106,"F",'②-1職員名簿'!$C$7:$C$106,"嘱託等",'②-1職員名簿'!$W$7:$W$106,'②-1職員名簿'!$S$132)</f>
        <v>0</v>
      </c>
      <c r="H18" s="314">
        <f>COUNTIFS('②-1職員名簿'!AY$7:AY$106,"F",'②-2勤務時間数入力'!O$7:O$106,"正",'②-1職員名簿'!$W$7:$W$106,'②-1職員名簿'!$S$133)</f>
        <v>0</v>
      </c>
      <c r="I18" s="314">
        <f>COUNTIFS('②-1職員名簿'!AY$7:AY$106,"F",'②-2勤務時間数入力'!$C$7:$C$106,"常勤的非常勤",'②-2勤務時間数入力'!AA$7:AA$106,"常",'②-1職員名簿'!$W$7:$W$106,'②-1職員名簿'!$S$133)</f>
        <v>0</v>
      </c>
      <c r="J18" s="314">
        <f>SUMIFS('②-2勤務時間数入力'!AA$7:AA$106,'②-1職員名簿'!AY$7:AY$106,"F",'②-1職員名簿'!$C$7:$C$106,"パート",'②-1職員名簿'!$W$7:$W$106,'②-1職員名簿'!$S$133)</f>
        <v>0</v>
      </c>
      <c r="K18" s="314">
        <f>COUNTIFS('②-1職員名簿'!AY$7:AY$106,"F",'②-2勤務時間数入力'!$C$7:$C$106,"嘱託常勤",'②-2勤務時間数入力'!AA$7:AA$106,"常",'②-1職員名簿'!$W$7:$W$106,'②-1職員名簿'!$S$133)</f>
        <v>0</v>
      </c>
      <c r="L18" s="314">
        <f>SUMIFS('②-2勤務時間数入力'!AA$7:AA$106,'②-1職員名簿'!AY$7:AY$106,"F",'②-1職員名簿'!$C$7:$C$106,"嘱託等",'②-1職員名簿'!$W$7:$W$106,'②-1職員名簿'!$S$133)</f>
        <v>0</v>
      </c>
      <c r="M18" s="314">
        <f>COUNTIFS('②-1職員名簿'!AY$7:AY$106,"F",'②-2勤務時間数入力'!O$7:O$106,"正",'②-1職員名簿'!$W$7:$W$106,'②-1職員名簿'!$S$131)</f>
        <v>0</v>
      </c>
      <c r="N18" s="314">
        <f>COUNTIFS('②-1職員名簿'!AY$7:AY$106,"F",'②-2勤務時間数入力'!$C$7:$C$106,"常勤的非常勤",'②-2勤務時間数入力'!AA$7:AA$106,"常",'②-1職員名簿'!$W$7:$W$106,'②-1職員名簿'!$S$131)</f>
        <v>0</v>
      </c>
      <c r="O18" s="314">
        <f>SUMIFS('②-2勤務時間数入力'!AA$7:AA$106,'②-1職員名簿'!AY$7:AY$106,"F",'②-1職員名簿'!$C$7:$C$106,"パート",'②-1職員名簿'!$W$7:$W$106,'②-1職員名簿'!$S$131)</f>
        <v>0</v>
      </c>
      <c r="P18" s="314">
        <f>COUNTIFS('②-1職員名簿'!AY$7:AY$106,"F",'②-2勤務時間数入力'!$C$7:$C$106,"嘱託常勤",'②-2勤務時間数入力'!AA$7:AA$106,"常",'②-1職員名簿'!$W$7:$W$106,'②-1職員名簿'!$S$131)</f>
        <v>0</v>
      </c>
      <c r="Q18" s="314">
        <f>SUMIFS('②-2勤務時間数入力'!AA$7:AA$106,'②-1職員名簿'!AY$7:AY$106,"F",'②-1職員名簿'!$C$7:$C$106,"嘱託等",'②-1職員名簿'!$W$7:$W$106,'②-1職員名簿'!$S$131)</f>
        <v>0</v>
      </c>
      <c r="R18" s="316">
        <f>COUNTIFS('②-1職員名簿'!$W$7:$W$106,"園長",'②-1職員名簿'!AY$7:AY$106,"F")</f>
        <v>0</v>
      </c>
      <c r="S18" s="168">
        <f t="shared" si="0"/>
        <v>0</v>
      </c>
      <c r="T18" s="167">
        <f t="shared" si="1"/>
        <v>0</v>
      </c>
      <c r="U18" s="177" t="e">
        <f t="shared" si="2"/>
        <v>#DIV/0!</v>
      </c>
      <c r="V18" s="177" t="e">
        <f t="shared" si="3"/>
        <v>#DIV/0!</v>
      </c>
    </row>
    <row r="19" spans="1:22" s="34" customFormat="1" ht="36" customHeight="1">
      <c r="A19" s="282">
        <v>2</v>
      </c>
      <c r="B19" s="165">
        <f>'②-2勤務時間数入力'!AH17</f>
        <v>0</v>
      </c>
      <c r="C19" s="314">
        <f>COUNTIFS('②-1職員名簿'!AZ$7:AZ$106,"F",'②-2勤務時間数入力'!P$7:P$106,"正",'②-1職員名簿'!$W$7:$W$106,'②-1職員名簿'!$S$132)</f>
        <v>0</v>
      </c>
      <c r="D19" s="314">
        <f>COUNTIFS('②-1職員名簿'!AZ$7:AZ$106,"F",'②-2勤務時間数入力'!$C$7:$C$106,"常勤的非常勤",'②-2勤務時間数入力'!AB$7:AB$106,"常",'②-1職員名簿'!$W$7:$W$106,'②-1職員名簿'!$S$132)</f>
        <v>0</v>
      </c>
      <c r="E19" s="314">
        <f>SUMIFS('②-2勤務時間数入力'!AB$7:AB$106,'②-1職員名簿'!AZ$7:AZ$106,"F",'②-1職員名簿'!$C$7:$C$106,"パート",'②-1職員名簿'!$W$7:$W$106,'②-1職員名簿'!$S$132)</f>
        <v>0</v>
      </c>
      <c r="F19" s="314">
        <f>COUNTIFS('②-1職員名簿'!AZ$7:AZ$106,"F",'②-2勤務時間数入力'!$C$7:$C$106,"嘱託常勤",'②-2勤務時間数入力'!AB$7:AB$106,"常",'②-1職員名簿'!$W$7:$W$106,'②-1職員名簿'!$S$132)</f>
        <v>0</v>
      </c>
      <c r="G19" s="314">
        <f>SUMIFS('②-2勤務時間数入力'!AB$7:AB$106,'②-1職員名簿'!AZ$7:AZ$106,"F",'②-1職員名簿'!$C$7:$C$106,"嘱託等",'②-1職員名簿'!$W$7:$W$106,'②-1職員名簿'!$S$132)</f>
        <v>0</v>
      </c>
      <c r="H19" s="314">
        <f>COUNTIFS('②-1職員名簿'!AZ$7:AZ$106,"F",'②-2勤務時間数入力'!P$7:P$106,"正",'②-1職員名簿'!$W$7:$W$106,'②-1職員名簿'!$S$133)</f>
        <v>0</v>
      </c>
      <c r="I19" s="314">
        <f>COUNTIFS('②-1職員名簿'!AZ$7:AZ$106,"F",'②-2勤務時間数入力'!$C$7:$C$106,"常勤的非常勤",'②-2勤務時間数入力'!AB$7:AB$106,"常",'②-1職員名簿'!$W$7:$W$106,'②-1職員名簿'!$S$133)</f>
        <v>0</v>
      </c>
      <c r="J19" s="314">
        <f>SUMIFS('②-2勤務時間数入力'!AB$7:AB$106,'②-1職員名簿'!AZ$7:AZ$106,"F",'②-1職員名簿'!$C$7:$C$106,"パート",'②-1職員名簿'!$W$7:$W$106,'②-1職員名簿'!$S$133)</f>
        <v>0</v>
      </c>
      <c r="K19" s="314">
        <f>COUNTIFS('②-1職員名簿'!AZ$7:AZ$106,"F",'②-2勤務時間数入力'!$C$7:$C$106,"嘱託常勤",'②-2勤務時間数入力'!AB$7:AB$106,"常",'②-1職員名簿'!$W$7:$W$106,'②-1職員名簿'!$S$133)</f>
        <v>0</v>
      </c>
      <c r="L19" s="314">
        <f>SUMIFS('②-2勤務時間数入力'!AB$7:AB$106,'②-1職員名簿'!AZ$7:AZ$106,"F",'②-1職員名簿'!$C$7:$C$106,"嘱託等",'②-1職員名簿'!$W$7:$W$106,'②-1職員名簿'!$S$133)</f>
        <v>0</v>
      </c>
      <c r="M19" s="314">
        <f>COUNTIFS('②-1職員名簿'!AZ$7:AZ$106,"F",'②-2勤務時間数入力'!P$7:P$106,"正",'②-1職員名簿'!$W$7:$W$106,'②-1職員名簿'!$S$131)</f>
        <v>0</v>
      </c>
      <c r="N19" s="314">
        <f>COUNTIFS('②-1職員名簿'!AZ$7:AZ$106,"F",'②-2勤務時間数入力'!$C$7:$C$106,"常勤的非常勤",'②-2勤務時間数入力'!AB$7:AB$106,"常",'②-1職員名簿'!$W$7:$W$106,'②-1職員名簿'!$S$131)</f>
        <v>0</v>
      </c>
      <c r="O19" s="314">
        <f>SUMIFS('②-2勤務時間数入力'!AB$7:AB$106,'②-1職員名簿'!AZ$7:AZ$106,"F",'②-1職員名簿'!$C$7:$C$106,"パート",'②-1職員名簿'!$W$7:$W$106,'②-1職員名簿'!$S$131)</f>
        <v>0</v>
      </c>
      <c r="P19" s="314">
        <f>COUNTIFS('②-1職員名簿'!AZ$7:AZ$106,"F",'②-2勤務時間数入力'!$C$7:$C$106,"嘱託常勤",'②-2勤務時間数入力'!AB$7:AB$106,"常",'②-1職員名簿'!$W$7:$W$106,'②-1職員名簿'!$S$131)</f>
        <v>0</v>
      </c>
      <c r="Q19" s="314">
        <f>SUMIFS('②-2勤務時間数入力'!AB$7:AB$106,'②-1職員名簿'!AZ$7:AZ$106,"F",'②-1職員名簿'!$C$7:$C$106,"嘱託等",'②-1職員名簿'!$W$7:$W$106,'②-1職員名簿'!$S$131)</f>
        <v>0</v>
      </c>
      <c r="R19" s="316">
        <f>COUNTIFS('②-1職員名簿'!$W$7:$W$106,"園長",'②-1職員名簿'!AZ$7:AZ$106,"F")</f>
        <v>0</v>
      </c>
      <c r="S19" s="168">
        <f t="shared" si="0"/>
        <v>0</v>
      </c>
      <c r="T19" s="167">
        <f t="shared" si="1"/>
        <v>0</v>
      </c>
      <c r="U19" s="177" t="e">
        <f t="shared" si="2"/>
        <v>#DIV/0!</v>
      </c>
      <c r="V19" s="177" t="e">
        <f t="shared" si="3"/>
        <v>#DIV/0!</v>
      </c>
    </row>
    <row r="20" spans="1:22" s="34" customFormat="1" ht="36" customHeight="1">
      <c r="A20" s="282">
        <v>3</v>
      </c>
      <c r="B20" s="165">
        <f>'②-2勤務時間数入力'!AH18</f>
        <v>0</v>
      </c>
      <c r="C20" s="314">
        <f>COUNTIFS('②-1職員名簿'!BA$7:BA$106,"F",'②-2勤務時間数入力'!Q$7:Q$106,"正",'②-1職員名簿'!$W$7:$W$106,'②-1職員名簿'!$S$132)</f>
        <v>0</v>
      </c>
      <c r="D20" s="314">
        <f>COUNTIFS('②-1職員名簿'!BA$7:BA$106,"F",'②-2勤務時間数入力'!$C$7:$C$106,"常勤的非常勤",'②-2勤務時間数入力'!AC$7:AC$106,"常",'②-1職員名簿'!$W$7:$W$106,'②-1職員名簿'!$S$132)</f>
        <v>0</v>
      </c>
      <c r="E20" s="314">
        <f>SUMIFS('②-2勤務時間数入力'!AC$7:AC$106,'②-1職員名簿'!BA$7:BA$106,"F",'②-1職員名簿'!$C$7:$C$106,"パート",'②-1職員名簿'!$W$7:$W$106,'②-1職員名簿'!$S$132)</f>
        <v>0</v>
      </c>
      <c r="F20" s="314">
        <f>COUNTIFS('②-1職員名簿'!BA$7:BA$106,"F",'②-2勤務時間数入力'!$C$7:$C$106,"嘱託常勤",'②-2勤務時間数入力'!AC$7:AC$106,"常",'②-1職員名簿'!$W$7:$W$106,'②-1職員名簿'!$S$132)</f>
        <v>0</v>
      </c>
      <c r="G20" s="314">
        <f>SUMIFS('②-2勤務時間数入力'!AC$7:AC$106,'②-1職員名簿'!BA$7:BA$106,"F",'②-1職員名簿'!$C$7:$C$106,"嘱託等",'②-1職員名簿'!$W$7:$W$106,'②-1職員名簿'!$S$132)</f>
        <v>0</v>
      </c>
      <c r="H20" s="314">
        <f>COUNTIFS('②-1職員名簿'!BA$7:BA$106,"F",'②-2勤務時間数入力'!Q$7:Q$106,"正",'②-1職員名簿'!$W$7:$W$106,'②-1職員名簿'!$S$133)</f>
        <v>0</v>
      </c>
      <c r="I20" s="314">
        <f>COUNTIFS('②-1職員名簿'!BA$7:BA$106,"F",'②-2勤務時間数入力'!$C$7:$C$106,"常勤的非常勤",'②-2勤務時間数入力'!AC$7:AC$106,"常",'②-1職員名簿'!$W$7:$W$106,'②-1職員名簿'!$S$133)</f>
        <v>0</v>
      </c>
      <c r="J20" s="314">
        <f>SUMIFS('②-2勤務時間数入力'!AC$7:AC$106,'②-1職員名簿'!BA$7:BA$106,"F",'②-1職員名簿'!$C$7:$C$106,"パート",'②-1職員名簿'!$W$7:$W$106,'②-1職員名簿'!$S$133)</f>
        <v>0</v>
      </c>
      <c r="K20" s="314">
        <f>COUNTIFS('②-1職員名簿'!BA$7:BA$106,"F",'②-2勤務時間数入力'!$C$7:$C$106,"嘱託常勤",'②-2勤務時間数入力'!AC$7:AC$106,"常",'②-1職員名簿'!$W$7:$W$106,'②-1職員名簿'!$S$133)</f>
        <v>0</v>
      </c>
      <c r="L20" s="314">
        <f>SUMIFS('②-2勤務時間数入力'!AC$7:AC$106,'②-1職員名簿'!BA$7:BA$106,"F",'②-1職員名簿'!$C$7:$C$106,"嘱託等",'②-1職員名簿'!$W$7:$W$106,'②-1職員名簿'!$S$133)</f>
        <v>0</v>
      </c>
      <c r="M20" s="314">
        <f>COUNTIFS('②-1職員名簿'!BA$7:BA$106,"F",'②-2勤務時間数入力'!Q$7:Q$106,"正",'②-1職員名簿'!$W$7:$W$106,'②-1職員名簿'!$S$131)</f>
        <v>0</v>
      </c>
      <c r="N20" s="314">
        <f>COUNTIFS('②-1職員名簿'!BA$7:BA$106,"F",'②-2勤務時間数入力'!$C$7:$C$106,"常勤的非常勤",'②-2勤務時間数入力'!AC$7:AC$106,"常",'②-1職員名簿'!$W$7:$W$106,'②-1職員名簿'!$S$131)</f>
        <v>0</v>
      </c>
      <c r="O20" s="314">
        <f>SUMIFS('②-2勤務時間数入力'!AC$7:AC$106,'②-1職員名簿'!BA$7:BA$106,"F",'②-1職員名簿'!$C$7:$C$106,"パート",'②-1職員名簿'!$W$7:$W$106,'②-1職員名簿'!$S$131)</f>
        <v>0</v>
      </c>
      <c r="P20" s="314">
        <f>COUNTIFS('②-1職員名簿'!BA$7:BA$106,"F",'②-2勤務時間数入力'!$C$7:$C$106,"嘱託常勤",'②-2勤務時間数入力'!AC$7:AC$106,"常",'②-1職員名簿'!$W$7:$W$106,'②-1職員名簿'!$S$131)</f>
        <v>0</v>
      </c>
      <c r="Q20" s="314">
        <f>SUMIFS('②-2勤務時間数入力'!AC$7:AC$106,'②-1職員名簿'!BA$7:BA$106,"F",'②-1職員名簿'!$C$7:$C$106,"嘱託等",'②-1職員名簿'!$W$7:$W$106,'②-1職員名簿'!$S$131)</f>
        <v>0</v>
      </c>
      <c r="R20" s="316">
        <f>COUNTIFS('②-1職員名簿'!$W$7:$W$106,"園長",'②-1職員名簿'!BA$7:BA$106,"F")</f>
        <v>0</v>
      </c>
      <c r="S20" s="168">
        <f t="shared" si="0"/>
        <v>0</v>
      </c>
      <c r="T20" s="167">
        <f t="shared" si="1"/>
        <v>0</v>
      </c>
      <c r="U20" s="177" t="e">
        <f t="shared" si="2"/>
        <v>#DIV/0!</v>
      </c>
      <c r="V20" s="177" t="e">
        <f t="shared" si="3"/>
        <v>#DIV/0!</v>
      </c>
    </row>
    <row r="21" spans="1:22" ht="18.75" customHeight="1">
      <c r="A21" s="35"/>
      <c r="C21" s="39"/>
      <c r="D21" s="47"/>
      <c r="E21" s="47"/>
      <c r="F21" s="47"/>
      <c r="G21" s="47"/>
      <c r="H21" s="39"/>
      <c r="I21" s="47"/>
      <c r="J21" s="47"/>
      <c r="K21" s="47"/>
      <c r="L21" s="47"/>
      <c r="M21" s="39"/>
      <c r="N21" s="47"/>
      <c r="O21" s="47"/>
      <c r="P21" s="47"/>
      <c r="Q21" s="47"/>
      <c r="R21" s="39"/>
      <c r="S21" s="39"/>
      <c r="T21" s="39"/>
      <c r="U21" s="39"/>
      <c r="V21" s="39"/>
    </row>
    <row r="22" spans="1:22" ht="18.75" customHeight="1">
      <c r="A22" s="42"/>
      <c r="B22" s="43"/>
      <c r="C22" s="39"/>
      <c r="D22" s="39"/>
      <c r="E22" s="39"/>
      <c r="F22" s="39"/>
      <c r="G22" s="39"/>
      <c r="H22" s="39"/>
      <c r="I22" s="39"/>
      <c r="J22" s="39"/>
      <c r="K22" s="39"/>
      <c r="L22" s="39"/>
      <c r="M22" s="39"/>
      <c r="N22" s="39"/>
      <c r="O22" s="39"/>
      <c r="P22" s="39"/>
      <c r="Q22" s="39"/>
      <c r="R22" s="47"/>
      <c r="S22" s="39"/>
      <c r="T22" s="43"/>
      <c r="U22" s="44"/>
      <c r="V22" s="44"/>
    </row>
    <row r="23" spans="1:22" ht="18.75" customHeight="1">
      <c r="A23" s="42"/>
      <c r="B23" s="47"/>
      <c r="C23" s="47"/>
      <c r="D23" s="39"/>
      <c r="E23" s="39"/>
      <c r="F23" s="39"/>
      <c r="G23" s="39"/>
      <c r="H23" s="47"/>
      <c r="I23" s="39"/>
      <c r="J23" s="39"/>
      <c r="K23" s="39"/>
      <c r="L23" s="39"/>
      <c r="M23" s="47"/>
      <c r="N23" s="39"/>
      <c r="O23" s="39"/>
      <c r="P23" s="39"/>
      <c r="Q23" s="39"/>
      <c r="R23" s="39"/>
      <c r="U23" s="43"/>
      <c r="V23" s="43"/>
    </row>
    <row r="24" spans="1:22" ht="18.75" customHeight="1">
      <c r="A24" s="42"/>
      <c r="B24" s="44"/>
      <c r="C24" s="39"/>
      <c r="D24" s="39"/>
      <c r="E24" s="39"/>
      <c r="F24" s="39"/>
      <c r="G24" s="39"/>
      <c r="H24" s="39"/>
      <c r="I24" s="39"/>
      <c r="J24" s="39"/>
      <c r="K24" s="39"/>
      <c r="L24" s="39"/>
      <c r="M24" s="39"/>
      <c r="N24" s="39"/>
      <c r="O24" s="39"/>
      <c r="P24" s="39"/>
      <c r="Q24" s="39"/>
      <c r="R24" s="39"/>
      <c r="S24" s="44"/>
      <c r="T24" s="39"/>
      <c r="U24" s="39"/>
      <c r="V24" s="39"/>
    </row>
    <row r="25" spans="1:22" ht="18.75" customHeight="1">
      <c r="B25" s="43"/>
      <c r="C25" s="39"/>
      <c r="D25" s="39"/>
      <c r="E25" s="39"/>
      <c r="F25" s="39"/>
      <c r="G25" s="39"/>
      <c r="H25" s="39"/>
      <c r="I25" s="39"/>
      <c r="J25" s="39"/>
      <c r="K25" s="39"/>
      <c r="L25" s="39"/>
      <c r="M25" s="39"/>
      <c r="N25" s="39"/>
      <c r="O25" s="39"/>
      <c r="P25" s="39"/>
      <c r="Q25" s="39"/>
      <c r="R25" s="39"/>
      <c r="S25" s="39"/>
      <c r="T25" s="39"/>
      <c r="U25" s="39"/>
      <c r="V25" s="39"/>
    </row>
    <row r="26" spans="1:22" ht="18.75" customHeight="1">
      <c r="A26" s="42"/>
      <c r="B26" s="43"/>
      <c r="C26" s="39"/>
      <c r="H26" s="39"/>
      <c r="M26" s="39"/>
      <c r="R26" s="39"/>
      <c r="S26" s="39"/>
      <c r="T26" s="39"/>
      <c r="U26" s="39"/>
      <c r="V26" s="39"/>
    </row>
    <row r="27" spans="1:22" ht="18.75" customHeight="1">
      <c r="A27" s="36"/>
      <c r="C27" s="39"/>
      <c r="H27" s="39"/>
      <c r="M27" s="39"/>
      <c r="S27" s="39"/>
    </row>
    <row r="28" spans="1:22" ht="18.75" customHeight="1"/>
  </sheetData>
  <sheetProtection password="CCCF" sheet="1" selectLockedCells="1"/>
  <mergeCells count="35">
    <mergeCell ref="C6:C7"/>
    <mergeCell ref="D6:D7"/>
    <mergeCell ref="E6:E7"/>
    <mergeCell ref="F6:F7"/>
    <mergeCell ref="G6:G7"/>
    <mergeCell ref="S6:S7"/>
    <mergeCell ref="T6:T7"/>
    <mergeCell ref="U6:U7"/>
    <mergeCell ref="P5:Q5"/>
    <mergeCell ref="H6:H7"/>
    <mergeCell ref="I6:I7"/>
    <mergeCell ref="J6:J7"/>
    <mergeCell ref="K6:K7"/>
    <mergeCell ref="L6:L7"/>
    <mergeCell ref="O6:O7"/>
    <mergeCell ref="P6:P7"/>
    <mergeCell ref="Q6:Q7"/>
    <mergeCell ref="R6:R7"/>
    <mergeCell ref="N6:N7"/>
    <mergeCell ref="L2:M2"/>
    <mergeCell ref="N2:V2"/>
    <mergeCell ref="A4:A8"/>
    <mergeCell ref="B4:B7"/>
    <mergeCell ref="C4:G4"/>
    <mergeCell ref="H4:L4"/>
    <mergeCell ref="M4:Q4"/>
    <mergeCell ref="R4:V4"/>
    <mergeCell ref="C5:E5"/>
    <mergeCell ref="F5:G5"/>
    <mergeCell ref="H5:J5"/>
    <mergeCell ref="K5:L5"/>
    <mergeCell ref="M5:O5"/>
    <mergeCell ref="M6:M7"/>
    <mergeCell ref="S5:U5"/>
    <mergeCell ref="V5:V8"/>
  </mergeCells>
  <phoneticPr fontId="1"/>
  <dataValidations count="2">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131103:B131114 B196639:B196650 B262175:B262186 B327711:B327722 B393247:B393258 B458783:B458794 B524319:B524330 B589855:B589866 B655391:B655402 B720927:B720938 B786463:B786474 B851999:B852010 B917535:B917546 B983071:B983082 B65567:B65578" xr:uid="{42FA3F01-C311-4958-9011-95B87A6FC67A}"/>
    <dataValidation allowBlank="1" showErrorMessage="1" sqref="D9:G25 B9:C26 I9:L25 H9:H26 N9:Q25 M9:M26 T9:V25 R9:S26" xr:uid="{EB90FEE9-B46D-4BCE-990A-D25AF3D03769}"/>
  </dataValidations>
  <printOptions horizontalCentered="1"/>
  <pageMargins left="0.51181102362204722" right="0.39370078740157483" top="0.51181102362204722" bottom="0.51181102362204722" header="0.51181102362204722" footer="0.51181102362204722"/>
  <pageSetup paperSize="9" scale="71" orientation="landscape" r:id="rId1"/>
  <headerFooter alignWithMargins="0"/>
  <rowBreaks count="1" manualBreakCount="1">
    <brk id="20" max="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E6A1-C57D-418C-842E-C00FB0A95993}">
  <sheetPr codeName="Sheet22">
    <tabColor theme="1"/>
  </sheetPr>
  <dimension ref="A1:AR78"/>
  <sheetViews>
    <sheetView topLeftCell="Q2" zoomScale="70" zoomScaleNormal="70" workbookViewId="0">
      <selection activeCell="AC17" sqref="AC17"/>
    </sheetView>
  </sheetViews>
  <sheetFormatPr defaultColWidth="9" defaultRowHeight="18"/>
  <cols>
    <col min="1" max="11" width="9" style="325" customWidth="1"/>
    <col min="12" max="26" width="9" style="325"/>
    <col min="27" max="27" width="11.33203125" style="325" customWidth="1"/>
    <col min="28" max="36" width="9" style="325"/>
    <col min="37" max="44" width="9" style="310"/>
    <col min="45" max="16384" width="9" style="267"/>
  </cols>
  <sheetData>
    <row r="1" spans="1:44">
      <c r="A1" s="325" t="s">
        <v>625</v>
      </c>
      <c r="B1" s="531">
        <v>45354</v>
      </c>
      <c r="C1" s="325" t="s">
        <v>626</v>
      </c>
      <c r="D1" s="325">
        <f>+F1+H1</f>
        <v>234</v>
      </c>
      <c r="E1" s="325" t="s">
        <v>682</v>
      </c>
      <c r="F1" s="325">
        <f>J1+L1+N1+P1+R1+T1+V1+X1+Z1</f>
        <v>234</v>
      </c>
      <c r="I1" s="325" t="s">
        <v>683</v>
      </c>
      <c r="J1" s="325">
        <f>A3+G3+M3+S3+Y3+AE3</f>
        <v>180</v>
      </c>
      <c r="K1" s="325" t="s">
        <v>684</v>
      </c>
      <c r="L1" s="325">
        <f>B3+H3+N3+T3+Z3+AF3</f>
        <v>16</v>
      </c>
      <c r="M1" s="325" t="s">
        <v>685</v>
      </c>
      <c r="N1" s="325">
        <f>C3+I3+O3+U3+AA3+AG3</f>
        <v>36</v>
      </c>
      <c r="O1" s="325" t="s">
        <v>686</v>
      </c>
      <c r="P1" s="325">
        <f>D3+J3+P3+V3+AB3+AH3</f>
        <v>1</v>
      </c>
      <c r="Q1" s="325" t="s">
        <v>687</v>
      </c>
      <c r="R1" s="325">
        <f>E3+K3+Q3+W3+AC3+AI3</f>
        <v>1</v>
      </c>
    </row>
    <row r="3" spans="1:44">
      <c r="A3" s="325">
        <f t="shared" ref="A3:AI3" si="0">COUNTA(A6:A46)</f>
        <v>41</v>
      </c>
      <c r="B3" s="325">
        <f t="shared" si="0"/>
        <v>2</v>
      </c>
      <c r="C3" s="325">
        <f t="shared" si="0"/>
        <v>10</v>
      </c>
      <c r="D3" s="325">
        <f t="shared" si="0"/>
        <v>0</v>
      </c>
      <c r="E3" s="325">
        <f t="shared" si="0"/>
        <v>0</v>
      </c>
      <c r="F3" s="325">
        <f t="shared" si="0"/>
        <v>0</v>
      </c>
      <c r="G3" s="325">
        <f t="shared" si="0"/>
        <v>30</v>
      </c>
      <c r="H3" s="325">
        <f t="shared" si="0"/>
        <v>1</v>
      </c>
      <c r="I3" s="325">
        <f t="shared" si="0"/>
        <v>5</v>
      </c>
      <c r="J3" s="325">
        <f t="shared" si="0"/>
        <v>0</v>
      </c>
      <c r="K3" s="325">
        <f t="shared" si="0"/>
        <v>0</v>
      </c>
      <c r="L3" s="325">
        <f t="shared" si="0"/>
        <v>0</v>
      </c>
      <c r="M3" s="325">
        <f t="shared" si="0"/>
        <v>28</v>
      </c>
      <c r="N3" s="325">
        <f t="shared" si="0"/>
        <v>1</v>
      </c>
      <c r="O3" s="325">
        <f t="shared" si="0"/>
        <v>7</v>
      </c>
      <c r="P3" s="325">
        <f t="shared" si="0"/>
        <v>0</v>
      </c>
      <c r="Q3" s="325">
        <f t="shared" si="0"/>
        <v>0</v>
      </c>
      <c r="R3" s="325">
        <f t="shared" si="0"/>
        <v>0</v>
      </c>
      <c r="S3" s="325">
        <f t="shared" si="0"/>
        <v>21</v>
      </c>
      <c r="T3" s="325">
        <f t="shared" si="0"/>
        <v>1</v>
      </c>
      <c r="U3" s="325">
        <f t="shared" si="0"/>
        <v>3</v>
      </c>
      <c r="V3" s="325">
        <f t="shared" si="0"/>
        <v>0</v>
      </c>
      <c r="W3" s="325">
        <f t="shared" si="0"/>
        <v>0</v>
      </c>
      <c r="X3" s="325">
        <f t="shared" si="0"/>
        <v>0</v>
      </c>
      <c r="Y3" s="325">
        <f t="shared" si="0"/>
        <v>32</v>
      </c>
      <c r="Z3" s="325">
        <f t="shared" si="0"/>
        <v>4</v>
      </c>
      <c r="AA3" s="325">
        <f t="shared" si="0"/>
        <v>5</v>
      </c>
      <c r="AB3" s="325">
        <f t="shared" si="0"/>
        <v>1</v>
      </c>
      <c r="AC3" s="325">
        <f t="shared" si="0"/>
        <v>1</v>
      </c>
      <c r="AD3" s="325">
        <f t="shared" si="0"/>
        <v>0</v>
      </c>
      <c r="AE3" s="325">
        <f t="shared" si="0"/>
        <v>28</v>
      </c>
      <c r="AF3" s="325">
        <f t="shared" si="0"/>
        <v>7</v>
      </c>
      <c r="AG3" s="325">
        <f t="shared" si="0"/>
        <v>6</v>
      </c>
      <c r="AH3" s="325">
        <f t="shared" si="0"/>
        <v>0</v>
      </c>
      <c r="AI3" s="325">
        <f t="shared" si="0"/>
        <v>0</v>
      </c>
    </row>
    <row r="4" spans="1:44">
      <c r="A4" s="637" t="s">
        <v>405</v>
      </c>
      <c r="B4" s="637"/>
      <c r="C4" s="637"/>
      <c r="D4" s="637"/>
      <c r="E4" s="637"/>
      <c r="G4" s="638" t="s">
        <v>406</v>
      </c>
      <c r="H4" s="638"/>
      <c r="I4" s="638"/>
      <c r="J4" s="638"/>
      <c r="K4" s="638"/>
      <c r="M4" s="639" t="s">
        <v>407</v>
      </c>
      <c r="N4" s="639"/>
      <c r="O4" s="639"/>
      <c r="P4" s="639"/>
      <c r="Q4" s="639"/>
      <c r="S4" s="640" t="s">
        <v>408</v>
      </c>
      <c r="T4" s="640"/>
      <c r="U4" s="640"/>
      <c r="V4" s="640"/>
      <c r="W4" s="640"/>
      <c r="Y4" s="641" t="s">
        <v>409</v>
      </c>
      <c r="Z4" s="641"/>
      <c r="AA4" s="641"/>
      <c r="AB4" s="641"/>
      <c r="AC4" s="641"/>
      <c r="AE4" s="636" t="s">
        <v>410</v>
      </c>
      <c r="AF4" s="636"/>
      <c r="AG4" s="636"/>
      <c r="AH4" s="636"/>
      <c r="AI4" s="636"/>
    </row>
    <row r="5" spans="1:44" s="268" customFormat="1" ht="54">
      <c r="A5" s="532" t="s">
        <v>1462</v>
      </c>
      <c r="B5" s="532" t="s">
        <v>1463</v>
      </c>
      <c r="C5" s="532" t="s">
        <v>411</v>
      </c>
      <c r="D5" s="532" t="s">
        <v>1464</v>
      </c>
      <c r="E5" s="532" t="s">
        <v>1465</v>
      </c>
      <c r="F5" s="326"/>
      <c r="G5" s="532" t="s">
        <v>1462</v>
      </c>
      <c r="H5" s="532" t="s">
        <v>1463</v>
      </c>
      <c r="I5" s="532" t="s">
        <v>411</v>
      </c>
      <c r="J5" s="532" t="s">
        <v>1464</v>
      </c>
      <c r="K5" s="532" t="s">
        <v>1465</v>
      </c>
      <c r="L5" s="326"/>
      <c r="M5" s="532" t="s">
        <v>1462</v>
      </c>
      <c r="N5" s="532" t="s">
        <v>1463</v>
      </c>
      <c r="O5" s="532" t="s">
        <v>411</v>
      </c>
      <c r="P5" s="532" t="s">
        <v>1464</v>
      </c>
      <c r="Q5" s="532" t="s">
        <v>1465</v>
      </c>
      <c r="R5" s="326"/>
      <c r="S5" s="532" t="s">
        <v>1462</v>
      </c>
      <c r="T5" s="532" t="s">
        <v>1463</v>
      </c>
      <c r="U5" s="532" t="s">
        <v>411</v>
      </c>
      <c r="V5" s="532" t="s">
        <v>1464</v>
      </c>
      <c r="W5" s="532" t="s">
        <v>1465</v>
      </c>
      <c r="X5" s="326"/>
      <c r="Y5" s="532" t="s">
        <v>1462</v>
      </c>
      <c r="Z5" s="532" t="s">
        <v>1463</v>
      </c>
      <c r="AA5" s="532" t="s">
        <v>411</v>
      </c>
      <c r="AB5" s="532" t="s">
        <v>1464</v>
      </c>
      <c r="AC5" s="532" t="s">
        <v>1465</v>
      </c>
      <c r="AD5" s="326"/>
      <c r="AE5" s="532" t="s">
        <v>1462</v>
      </c>
      <c r="AF5" s="532" t="s">
        <v>1463</v>
      </c>
      <c r="AG5" s="532" t="s">
        <v>411</v>
      </c>
      <c r="AH5" s="532" t="s">
        <v>1464</v>
      </c>
      <c r="AI5" s="532" t="s">
        <v>1465</v>
      </c>
      <c r="AJ5" s="326"/>
      <c r="AK5" s="311"/>
      <c r="AL5" s="311"/>
      <c r="AM5" s="311"/>
      <c r="AN5" s="311"/>
      <c r="AO5" s="311"/>
      <c r="AP5" s="311"/>
      <c r="AQ5" s="311"/>
      <c r="AR5" s="311"/>
    </row>
    <row r="6" spans="1:44">
      <c r="A6" s="447" t="s">
        <v>412</v>
      </c>
      <c r="B6" s="533" t="s">
        <v>414</v>
      </c>
      <c r="C6" s="533" t="s">
        <v>413</v>
      </c>
      <c r="D6" s="447"/>
      <c r="E6" s="447"/>
      <c r="G6" s="447" t="s">
        <v>415</v>
      </c>
      <c r="H6" s="533" t="s">
        <v>1645</v>
      </c>
      <c r="I6" s="533" t="s">
        <v>416</v>
      </c>
      <c r="J6" s="447"/>
      <c r="K6" s="447"/>
      <c r="M6" s="447" t="s">
        <v>417</v>
      </c>
      <c r="N6" s="533" t="s">
        <v>419</v>
      </c>
      <c r="O6" s="533" t="s">
        <v>418</v>
      </c>
      <c r="P6" s="447"/>
      <c r="Q6" s="447"/>
      <c r="S6" s="447" t="s">
        <v>420</v>
      </c>
      <c r="T6" s="533" t="s">
        <v>1655</v>
      </c>
      <c r="U6" s="533" t="s">
        <v>421</v>
      </c>
      <c r="V6" s="447"/>
      <c r="W6" s="447"/>
      <c r="Y6" s="447" t="s">
        <v>422</v>
      </c>
      <c r="Z6" s="533" t="s">
        <v>424</v>
      </c>
      <c r="AA6" s="533" t="s">
        <v>423</v>
      </c>
      <c r="AB6" s="533" t="s">
        <v>425</v>
      </c>
      <c r="AC6" s="533" t="s">
        <v>1537</v>
      </c>
      <c r="AE6" s="447" t="s">
        <v>451</v>
      </c>
      <c r="AF6" s="533" t="s">
        <v>428</v>
      </c>
      <c r="AG6" s="533" t="s">
        <v>427</v>
      </c>
      <c r="AH6" s="447"/>
      <c r="AI6" s="447"/>
    </row>
    <row r="7" spans="1:44">
      <c r="A7" s="447" t="s">
        <v>429</v>
      </c>
      <c r="B7" s="533" t="s">
        <v>431</v>
      </c>
      <c r="C7" s="533" t="s">
        <v>430</v>
      </c>
      <c r="D7" s="447"/>
      <c r="E7" s="447"/>
      <c r="G7" s="447" t="s">
        <v>432</v>
      </c>
      <c r="H7" s="447"/>
      <c r="I7" s="533" t="s">
        <v>433</v>
      </c>
      <c r="J7" s="447"/>
      <c r="K7" s="447"/>
      <c r="M7" s="447" t="s">
        <v>434</v>
      </c>
      <c r="N7" s="447"/>
      <c r="O7" s="533" t="s">
        <v>435</v>
      </c>
      <c r="P7" s="447"/>
      <c r="Q7" s="447"/>
      <c r="S7" s="447" t="s">
        <v>436</v>
      </c>
      <c r="T7" s="447"/>
      <c r="U7" s="533" t="s">
        <v>1100</v>
      </c>
      <c r="V7" s="447"/>
      <c r="W7" s="447"/>
      <c r="Y7" s="447" t="s">
        <v>437</v>
      </c>
      <c r="Z7" s="533" t="s">
        <v>439</v>
      </c>
      <c r="AA7" s="533" t="s">
        <v>438</v>
      </c>
      <c r="AB7" s="447"/>
      <c r="AC7" s="447"/>
      <c r="AE7" s="447" t="s">
        <v>461</v>
      </c>
      <c r="AF7" s="533" t="s">
        <v>441</v>
      </c>
      <c r="AG7" s="533" t="s">
        <v>440</v>
      </c>
      <c r="AH7" s="447"/>
      <c r="AI7" s="447"/>
    </row>
    <row r="8" spans="1:44">
      <c r="A8" s="447" t="s">
        <v>442</v>
      </c>
      <c r="B8" s="447"/>
      <c r="C8" s="533" t="s">
        <v>443</v>
      </c>
      <c r="D8" s="447"/>
      <c r="E8" s="447"/>
      <c r="G8" s="447" t="s">
        <v>444</v>
      </c>
      <c r="H8" s="447"/>
      <c r="I8" s="533" t="s">
        <v>445</v>
      </c>
      <c r="J8" s="447"/>
      <c r="K8" s="447"/>
      <c r="M8" s="447" t="s">
        <v>446</v>
      </c>
      <c r="N8" s="447"/>
      <c r="O8" s="533" t="s">
        <v>447</v>
      </c>
      <c r="P8" s="447"/>
      <c r="Q8" s="447"/>
      <c r="S8" s="447" t="s">
        <v>448</v>
      </c>
      <c r="T8" s="447"/>
      <c r="U8" s="533" t="s">
        <v>1101</v>
      </c>
      <c r="V8" s="447"/>
      <c r="W8" s="447"/>
      <c r="Y8" s="447" t="s">
        <v>449</v>
      </c>
      <c r="Z8" s="533" t="s">
        <v>450</v>
      </c>
      <c r="AA8" s="533" t="s">
        <v>1466</v>
      </c>
      <c r="AB8" s="447"/>
      <c r="AC8" s="447"/>
      <c r="AE8" s="447" t="s">
        <v>469</v>
      </c>
      <c r="AF8" s="533" t="s">
        <v>453</v>
      </c>
      <c r="AG8" s="533" t="s">
        <v>452</v>
      </c>
      <c r="AH8" s="447"/>
      <c r="AI8" s="447"/>
    </row>
    <row r="9" spans="1:44">
      <c r="A9" s="447" t="s">
        <v>454</v>
      </c>
      <c r="B9" s="447"/>
      <c r="C9" s="533" t="s">
        <v>455</v>
      </c>
      <c r="D9" s="447"/>
      <c r="E9" s="447"/>
      <c r="G9" s="447" t="s">
        <v>456</v>
      </c>
      <c r="H9" s="447"/>
      <c r="I9" s="533" t="s">
        <v>457</v>
      </c>
      <c r="J9" s="447"/>
      <c r="K9" s="447"/>
      <c r="M9" s="447" t="s">
        <v>458</v>
      </c>
      <c r="N9" s="447"/>
      <c r="O9" s="533" t="s">
        <v>459</v>
      </c>
      <c r="P9" s="447"/>
      <c r="Q9" s="447"/>
      <c r="S9" s="447" t="s">
        <v>460</v>
      </c>
      <c r="T9" s="447"/>
      <c r="U9" s="447"/>
      <c r="V9" s="447"/>
      <c r="W9" s="447"/>
      <c r="Y9" s="447" t="s">
        <v>468</v>
      </c>
      <c r="Z9" s="533" t="s">
        <v>1467</v>
      </c>
      <c r="AA9" s="533" t="s">
        <v>1469</v>
      </c>
      <c r="AB9" s="447"/>
      <c r="AC9" s="447"/>
      <c r="AE9" s="447" t="s">
        <v>476</v>
      </c>
      <c r="AF9" s="533" t="s">
        <v>1759</v>
      </c>
      <c r="AG9" s="533" t="s">
        <v>462</v>
      </c>
      <c r="AH9" s="447"/>
      <c r="AI9" s="447"/>
    </row>
    <row r="10" spans="1:44">
      <c r="A10" s="447" t="s">
        <v>463</v>
      </c>
      <c r="B10" s="447"/>
      <c r="C10" s="533" t="s">
        <v>464</v>
      </c>
      <c r="D10" s="447"/>
      <c r="E10" s="447"/>
      <c r="G10" s="447" t="s">
        <v>465</v>
      </c>
      <c r="H10" s="447"/>
      <c r="I10" s="533" t="s">
        <v>1468</v>
      </c>
      <c r="J10" s="447"/>
      <c r="K10" s="447"/>
      <c r="M10" s="447" t="s">
        <v>466</v>
      </c>
      <c r="N10" s="447"/>
      <c r="O10" s="533" t="s">
        <v>1649</v>
      </c>
      <c r="P10" s="447"/>
      <c r="Q10" s="447"/>
      <c r="S10" s="447" t="s">
        <v>467</v>
      </c>
      <c r="T10" s="447"/>
      <c r="U10" s="447"/>
      <c r="V10" s="447"/>
      <c r="W10" s="447"/>
      <c r="Y10" s="447" t="s">
        <v>475</v>
      </c>
      <c r="Z10" s="447"/>
      <c r="AA10" s="533" t="s">
        <v>1758</v>
      </c>
      <c r="AB10" s="447"/>
      <c r="AC10" s="447"/>
      <c r="AE10" s="447" t="s">
        <v>483</v>
      </c>
      <c r="AF10" s="533" t="s">
        <v>1760</v>
      </c>
      <c r="AG10" s="533" t="s">
        <v>470</v>
      </c>
      <c r="AH10" s="447"/>
      <c r="AI10" s="447"/>
    </row>
    <row r="11" spans="1:44">
      <c r="A11" s="447" t="s">
        <v>471</v>
      </c>
      <c r="B11" s="447"/>
      <c r="C11" s="533" t="s">
        <v>472</v>
      </c>
      <c r="D11" s="447"/>
      <c r="E11" s="447"/>
      <c r="G11" s="447" t="s">
        <v>473</v>
      </c>
      <c r="H11" s="447"/>
      <c r="I11" s="447"/>
      <c r="J11" s="447"/>
      <c r="K11" s="447"/>
      <c r="M11" s="447" t="s">
        <v>1650</v>
      </c>
      <c r="N11" s="447"/>
      <c r="O11" s="533" t="s">
        <v>1651</v>
      </c>
      <c r="P11" s="447"/>
      <c r="Q11" s="447"/>
      <c r="S11" s="447" t="s">
        <v>474</v>
      </c>
      <c r="T11" s="447"/>
      <c r="U11" s="447"/>
      <c r="V11" s="447"/>
      <c r="W11" s="447"/>
      <c r="Y11" s="447" t="s">
        <v>482</v>
      </c>
      <c r="Z11" s="447"/>
      <c r="AB11" s="447"/>
      <c r="AC11" s="447"/>
      <c r="AE11" s="447" t="s">
        <v>1251</v>
      </c>
      <c r="AF11" s="533" t="s">
        <v>1658</v>
      </c>
      <c r="AG11" s="533"/>
      <c r="AH11" s="447"/>
      <c r="AI11" s="447"/>
    </row>
    <row r="12" spans="1:44" ht="17" customHeight="1">
      <c r="A12" s="447" t="s">
        <v>477</v>
      </c>
      <c r="B12" s="447"/>
      <c r="C12" s="533" t="s">
        <v>478</v>
      </c>
      <c r="D12" s="447"/>
      <c r="E12" s="447"/>
      <c r="G12" s="447" t="s">
        <v>479</v>
      </c>
      <c r="H12" s="447"/>
      <c r="I12" s="447"/>
      <c r="J12" s="447"/>
      <c r="K12" s="447"/>
      <c r="M12" s="447" t="s">
        <v>480</v>
      </c>
      <c r="N12" s="447"/>
      <c r="O12" s="533" t="s">
        <v>1652</v>
      </c>
      <c r="P12" s="447"/>
      <c r="Q12" s="447"/>
      <c r="S12" s="447" t="s">
        <v>481</v>
      </c>
      <c r="T12" s="447"/>
      <c r="U12" s="447"/>
      <c r="V12" s="447"/>
      <c r="W12" s="447"/>
      <c r="Y12" s="447" t="s">
        <v>1252</v>
      </c>
      <c r="Z12" s="447"/>
      <c r="AA12" s="447"/>
      <c r="AB12" s="447"/>
      <c r="AC12" s="447"/>
      <c r="AE12" s="447" t="s">
        <v>494</v>
      </c>
      <c r="AF12" s="630" t="s">
        <v>1761</v>
      </c>
      <c r="AG12" s="533" t="s">
        <v>1757</v>
      </c>
      <c r="AH12" s="447"/>
      <c r="AI12" s="447"/>
    </row>
    <row r="13" spans="1:44">
      <c r="A13" s="447" t="s">
        <v>484</v>
      </c>
      <c r="B13" s="447"/>
      <c r="C13" s="533" t="s">
        <v>1470</v>
      </c>
      <c r="D13" s="447"/>
      <c r="E13" s="447"/>
      <c r="G13" s="447" t="s">
        <v>485</v>
      </c>
      <c r="H13" s="447"/>
      <c r="I13" s="447"/>
      <c r="J13" s="447"/>
      <c r="K13" s="447"/>
      <c r="M13" s="447" t="s">
        <v>486</v>
      </c>
      <c r="N13" s="447"/>
      <c r="O13" s="447"/>
      <c r="P13" s="447"/>
      <c r="Q13" s="447"/>
      <c r="S13" s="447" t="s">
        <v>487</v>
      </c>
      <c r="T13" s="447"/>
      <c r="U13" s="447"/>
      <c r="V13" s="447"/>
      <c r="W13" s="447"/>
      <c r="Y13" s="447" t="s">
        <v>490</v>
      </c>
      <c r="Z13" s="447"/>
      <c r="AA13" s="447"/>
      <c r="AB13" s="447"/>
      <c r="AC13" s="447"/>
      <c r="AE13" s="447" t="s">
        <v>500</v>
      </c>
      <c r="AF13" s="447"/>
      <c r="AG13" s="447"/>
      <c r="AH13" s="447"/>
      <c r="AI13" s="447"/>
    </row>
    <row r="14" spans="1:44">
      <c r="A14" s="447" t="s">
        <v>1129</v>
      </c>
      <c r="B14" s="447"/>
      <c r="C14" s="533" t="s">
        <v>1634</v>
      </c>
      <c r="D14" s="447"/>
      <c r="E14" s="447"/>
      <c r="G14" s="447" t="s">
        <v>488</v>
      </c>
      <c r="H14" s="447"/>
      <c r="I14" s="447"/>
      <c r="J14" s="447"/>
      <c r="K14" s="447"/>
      <c r="M14" s="447" t="s">
        <v>1240</v>
      </c>
      <c r="N14" s="447"/>
      <c r="O14" s="447"/>
      <c r="P14" s="447"/>
      <c r="Q14" s="447"/>
      <c r="S14" s="447" t="s">
        <v>489</v>
      </c>
      <c r="T14" s="447"/>
      <c r="U14" s="447"/>
      <c r="V14" s="447"/>
      <c r="W14" s="447"/>
      <c r="Y14" s="447" t="s">
        <v>1657</v>
      </c>
      <c r="Z14" s="447"/>
      <c r="AA14" s="447"/>
      <c r="AB14" s="447"/>
      <c r="AC14" s="447"/>
      <c r="AE14" s="447" t="s">
        <v>504</v>
      </c>
      <c r="AF14" s="447"/>
      <c r="AG14" s="447"/>
      <c r="AH14" s="447"/>
      <c r="AI14" s="447"/>
    </row>
    <row r="15" spans="1:44">
      <c r="A15" s="447" t="s">
        <v>491</v>
      </c>
      <c r="B15" s="447"/>
      <c r="C15" s="533" t="s">
        <v>1635</v>
      </c>
      <c r="D15" s="447"/>
      <c r="E15" s="447"/>
      <c r="G15" s="447" t="s">
        <v>1653</v>
      </c>
      <c r="H15" s="447"/>
      <c r="I15" s="447"/>
      <c r="J15" s="447"/>
      <c r="K15" s="447"/>
      <c r="M15" s="447" t="s">
        <v>492</v>
      </c>
      <c r="N15" s="447"/>
      <c r="O15" s="447"/>
      <c r="P15" s="447"/>
      <c r="Q15" s="447"/>
      <c r="S15" s="447" t="s">
        <v>493</v>
      </c>
      <c r="T15" s="447"/>
      <c r="U15" s="447"/>
      <c r="V15" s="447"/>
      <c r="W15" s="447"/>
      <c r="Y15" s="447" t="s">
        <v>499</v>
      </c>
      <c r="Z15" s="447"/>
      <c r="AA15" s="447"/>
      <c r="AB15" s="447"/>
      <c r="AC15" s="447"/>
      <c r="AE15" s="447" t="s">
        <v>510</v>
      </c>
      <c r="AF15" s="447"/>
      <c r="AG15" s="447"/>
      <c r="AH15" s="447"/>
      <c r="AI15" s="447"/>
    </row>
    <row r="16" spans="1:44">
      <c r="A16" s="447" t="s">
        <v>495</v>
      </c>
      <c r="B16" s="447"/>
      <c r="C16" s="447"/>
      <c r="D16" s="447"/>
      <c r="E16" s="447"/>
      <c r="G16" s="447" t="s">
        <v>496</v>
      </c>
      <c r="H16" s="447"/>
      <c r="I16" s="447"/>
      <c r="J16" s="447"/>
      <c r="K16" s="447"/>
      <c r="M16" s="447" t="s">
        <v>497</v>
      </c>
      <c r="N16" s="447"/>
      <c r="O16" s="447"/>
      <c r="P16" s="447"/>
      <c r="Q16" s="447"/>
      <c r="S16" s="447" t="s">
        <v>498</v>
      </c>
      <c r="T16" s="447"/>
      <c r="U16" s="447"/>
      <c r="V16" s="447"/>
      <c r="W16" s="447"/>
      <c r="Y16" s="447" t="s">
        <v>503</v>
      </c>
      <c r="Z16" s="447"/>
      <c r="AA16" s="447"/>
      <c r="AB16" s="447"/>
      <c r="AC16" s="447"/>
      <c r="AE16" s="447" t="s">
        <v>1659</v>
      </c>
      <c r="AF16" s="447"/>
      <c r="AG16" s="447"/>
      <c r="AH16" s="447"/>
      <c r="AI16" s="447"/>
    </row>
    <row r="17" spans="1:35">
      <c r="A17" s="447" t="s">
        <v>1130</v>
      </c>
      <c r="B17" s="447"/>
      <c r="C17" s="447"/>
      <c r="D17" s="447"/>
      <c r="E17" s="447"/>
      <c r="G17" s="447" t="s">
        <v>501</v>
      </c>
      <c r="H17" s="447"/>
      <c r="I17" s="447"/>
      <c r="J17" s="447"/>
      <c r="K17" s="447"/>
      <c r="M17" s="447" t="s">
        <v>1253</v>
      </c>
      <c r="N17" s="447"/>
      <c r="O17" s="447"/>
      <c r="P17" s="447"/>
      <c r="Q17" s="447"/>
      <c r="S17" s="447" t="s">
        <v>502</v>
      </c>
      <c r="T17" s="447"/>
      <c r="U17" s="447"/>
      <c r="V17" s="447"/>
      <c r="W17" s="447"/>
      <c r="Y17" s="447" t="s">
        <v>509</v>
      </c>
      <c r="Z17" s="447"/>
      <c r="AA17" s="447"/>
      <c r="AB17" s="447"/>
      <c r="AC17" s="447"/>
      <c r="AE17" s="447" t="s">
        <v>521</v>
      </c>
      <c r="AF17" s="447"/>
      <c r="AG17" s="447"/>
      <c r="AH17" s="447"/>
      <c r="AI17" s="447"/>
    </row>
    <row r="18" spans="1:35">
      <c r="A18" s="447" t="s">
        <v>505</v>
      </c>
      <c r="B18" s="447"/>
      <c r="C18" s="447"/>
      <c r="D18" s="447"/>
      <c r="E18" s="447"/>
      <c r="G18" s="447" t="s">
        <v>506</v>
      </c>
      <c r="H18" s="447"/>
      <c r="I18" s="447"/>
      <c r="J18" s="447"/>
      <c r="K18" s="447"/>
      <c r="M18" s="447" t="s">
        <v>507</v>
      </c>
      <c r="N18" s="447"/>
      <c r="O18" s="447"/>
      <c r="P18" s="447"/>
      <c r="Q18" s="447"/>
      <c r="S18" s="447" t="s">
        <v>508</v>
      </c>
      <c r="T18" s="447"/>
      <c r="U18" s="447"/>
      <c r="V18" s="447"/>
      <c r="W18" s="447"/>
      <c r="Y18" s="447" t="s">
        <v>515</v>
      </c>
      <c r="Z18" s="447"/>
      <c r="AA18" s="447"/>
      <c r="AB18" s="447"/>
      <c r="AC18" s="447"/>
      <c r="AE18" s="447" t="s">
        <v>1120</v>
      </c>
      <c r="AF18" s="447"/>
      <c r="AG18" s="447"/>
      <c r="AH18" s="447"/>
      <c r="AI18" s="447"/>
    </row>
    <row r="19" spans="1:35">
      <c r="A19" s="447" t="s">
        <v>511</v>
      </c>
      <c r="B19" s="447"/>
      <c r="C19" s="447"/>
      <c r="D19" s="447"/>
      <c r="E19" s="447"/>
      <c r="G19" s="447" t="s">
        <v>512</v>
      </c>
      <c r="H19" s="447"/>
      <c r="I19" s="447"/>
      <c r="J19" s="447"/>
      <c r="K19" s="447"/>
      <c r="M19" s="447" t="s">
        <v>513</v>
      </c>
      <c r="N19" s="447"/>
      <c r="O19" s="447"/>
      <c r="P19" s="447"/>
      <c r="Q19" s="447"/>
      <c r="S19" s="447" t="s">
        <v>514</v>
      </c>
      <c r="T19" s="447"/>
      <c r="U19" s="447"/>
      <c r="V19" s="447"/>
      <c r="W19" s="447"/>
      <c r="Y19" s="447" t="s">
        <v>520</v>
      </c>
      <c r="Z19" s="447"/>
      <c r="AA19" s="447"/>
      <c r="AB19" s="447"/>
      <c r="AC19" s="447"/>
      <c r="AE19" s="447" t="s">
        <v>1121</v>
      </c>
      <c r="AF19" s="447"/>
      <c r="AG19" s="447"/>
      <c r="AH19" s="447"/>
      <c r="AI19" s="447"/>
    </row>
    <row r="20" spans="1:35">
      <c r="A20" s="447" t="s">
        <v>516</v>
      </c>
      <c r="B20" s="447"/>
      <c r="C20" s="447"/>
      <c r="D20" s="447"/>
      <c r="E20" s="447"/>
      <c r="G20" s="447" t="s">
        <v>517</v>
      </c>
      <c r="H20" s="447"/>
      <c r="I20" s="447"/>
      <c r="J20" s="447"/>
      <c r="K20" s="447"/>
      <c r="M20" s="447" t="s">
        <v>518</v>
      </c>
      <c r="N20" s="447"/>
      <c r="O20" s="447"/>
      <c r="P20" s="447"/>
      <c r="Q20" s="447"/>
      <c r="S20" s="447" t="s">
        <v>519</v>
      </c>
      <c r="T20" s="447"/>
      <c r="U20" s="447"/>
      <c r="V20" s="447"/>
      <c r="W20" s="447"/>
      <c r="Y20" s="447" t="s">
        <v>526</v>
      </c>
      <c r="Z20" s="447"/>
      <c r="AA20" s="447"/>
      <c r="AB20" s="447"/>
      <c r="AC20" s="447"/>
      <c r="AE20" s="447" t="s">
        <v>1122</v>
      </c>
      <c r="AF20" s="447"/>
      <c r="AG20" s="447"/>
      <c r="AH20" s="447"/>
      <c r="AI20" s="447"/>
    </row>
    <row r="21" spans="1:35">
      <c r="A21" s="447" t="s">
        <v>522</v>
      </c>
      <c r="B21" s="447"/>
      <c r="C21" s="447"/>
      <c r="D21" s="447"/>
      <c r="E21" s="447"/>
      <c r="G21" s="447" t="s">
        <v>523</v>
      </c>
      <c r="H21" s="447"/>
      <c r="I21" s="447"/>
      <c r="J21" s="447"/>
      <c r="K21" s="447"/>
      <c r="M21" s="447" t="s">
        <v>524</v>
      </c>
      <c r="N21" s="447"/>
      <c r="O21" s="447"/>
      <c r="P21" s="447"/>
      <c r="Q21" s="447"/>
      <c r="S21" s="447" t="s">
        <v>525</v>
      </c>
      <c r="T21" s="447"/>
      <c r="U21" s="447"/>
      <c r="V21" s="447"/>
      <c r="W21" s="447"/>
      <c r="Y21" s="447" t="s">
        <v>530</v>
      </c>
      <c r="Z21" s="447"/>
      <c r="AA21" s="447"/>
      <c r="AB21" s="447"/>
      <c r="AC21" s="447"/>
      <c r="AE21" s="447" t="s">
        <v>1123</v>
      </c>
      <c r="AF21" s="447"/>
      <c r="AG21" s="447"/>
      <c r="AH21" s="447"/>
      <c r="AI21" s="447"/>
    </row>
    <row r="22" spans="1:35">
      <c r="A22" s="447" t="s">
        <v>1636</v>
      </c>
      <c r="B22" s="447"/>
      <c r="C22" s="447"/>
      <c r="D22" s="447"/>
      <c r="E22" s="447"/>
      <c r="G22" s="447" t="s">
        <v>527</v>
      </c>
      <c r="H22" s="447"/>
      <c r="I22" s="447"/>
      <c r="J22" s="447"/>
      <c r="K22" s="447"/>
      <c r="M22" s="447" t="s">
        <v>528</v>
      </c>
      <c r="N22" s="447"/>
      <c r="O22" s="447"/>
      <c r="P22" s="447"/>
      <c r="Q22" s="447"/>
      <c r="S22" s="447" t="s">
        <v>529</v>
      </c>
      <c r="T22" s="447"/>
      <c r="U22" s="447"/>
      <c r="V22" s="447"/>
      <c r="W22" s="447"/>
      <c r="Y22" s="447" t="s">
        <v>535</v>
      </c>
      <c r="Z22" s="447"/>
      <c r="AA22" s="447"/>
      <c r="AB22" s="447"/>
      <c r="AC22" s="447"/>
      <c r="AE22" s="447" t="s">
        <v>1124</v>
      </c>
      <c r="AF22" s="447"/>
      <c r="AG22" s="447"/>
      <c r="AH22" s="447"/>
      <c r="AI22" s="447"/>
    </row>
    <row r="23" spans="1:35">
      <c r="A23" s="447" t="s">
        <v>531</v>
      </c>
      <c r="B23" s="447"/>
      <c r="C23" s="447"/>
      <c r="D23" s="447"/>
      <c r="E23" s="447"/>
      <c r="G23" s="447" t="s">
        <v>532</v>
      </c>
      <c r="H23" s="447"/>
      <c r="I23" s="447"/>
      <c r="J23" s="447"/>
      <c r="K23" s="447"/>
      <c r="M23" s="447" t="s">
        <v>533</v>
      </c>
      <c r="N23" s="447"/>
      <c r="O23" s="447"/>
      <c r="P23" s="447"/>
      <c r="Q23" s="447"/>
      <c r="S23" s="447" t="s">
        <v>534</v>
      </c>
      <c r="T23" s="447"/>
      <c r="U23" s="447"/>
      <c r="V23" s="447"/>
      <c r="W23" s="447"/>
      <c r="Y23" s="447" t="s">
        <v>1471</v>
      </c>
      <c r="Z23" s="447"/>
      <c r="AA23" s="447"/>
      <c r="AB23" s="447"/>
      <c r="AC23" s="447"/>
      <c r="AE23" s="447" t="s">
        <v>1660</v>
      </c>
      <c r="AF23" s="447"/>
      <c r="AG23" s="447"/>
      <c r="AH23" s="447"/>
      <c r="AI23" s="447"/>
    </row>
    <row r="24" spans="1:35">
      <c r="A24" s="447" t="s">
        <v>536</v>
      </c>
      <c r="B24" s="447"/>
      <c r="C24" s="447"/>
      <c r="D24" s="447"/>
      <c r="E24" s="447"/>
      <c r="G24" s="447" t="s">
        <v>537</v>
      </c>
      <c r="H24" s="447"/>
      <c r="I24" s="447"/>
      <c r="J24" s="447"/>
      <c r="K24" s="447"/>
      <c r="M24" s="447" t="s">
        <v>538</v>
      </c>
      <c r="N24" s="447"/>
      <c r="O24" s="447"/>
      <c r="P24" s="447"/>
      <c r="Q24" s="447"/>
      <c r="S24" s="447" t="s">
        <v>539</v>
      </c>
      <c r="T24" s="447"/>
      <c r="U24" s="447"/>
      <c r="V24" s="447"/>
      <c r="W24" s="447"/>
      <c r="Y24" s="447" t="s">
        <v>543</v>
      </c>
      <c r="Z24" s="447"/>
      <c r="AA24" s="447"/>
      <c r="AB24" s="447"/>
      <c r="AC24" s="447"/>
      <c r="AE24" s="447" t="s">
        <v>1472</v>
      </c>
      <c r="AF24" s="447"/>
      <c r="AG24" s="447"/>
      <c r="AH24" s="447"/>
      <c r="AI24" s="447"/>
    </row>
    <row r="25" spans="1:35">
      <c r="A25" s="447" t="s">
        <v>540</v>
      </c>
      <c r="B25" s="447"/>
      <c r="C25" s="447"/>
      <c r="D25" s="447"/>
      <c r="E25" s="447"/>
      <c r="G25" s="447" t="s">
        <v>541</v>
      </c>
      <c r="H25" s="447"/>
      <c r="I25" s="447"/>
      <c r="J25" s="447"/>
      <c r="K25" s="447"/>
      <c r="M25" s="447" t="s">
        <v>542</v>
      </c>
      <c r="N25" s="447"/>
      <c r="O25" s="447"/>
      <c r="P25" s="447"/>
      <c r="Q25" s="447"/>
      <c r="S25" s="447" t="s">
        <v>1291</v>
      </c>
      <c r="T25" s="447"/>
      <c r="U25" s="447"/>
      <c r="V25" s="447"/>
      <c r="W25" s="447"/>
      <c r="Y25" s="447" t="s">
        <v>547</v>
      </c>
      <c r="Z25" s="447"/>
      <c r="AA25" s="447"/>
      <c r="AB25" s="447"/>
      <c r="AC25" s="447"/>
      <c r="AE25" s="447" t="s">
        <v>1473</v>
      </c>
      <c r="AF25" s="447"/>
      <c r="AG25" s="447"/>
      <c r="AH25" s="447"/>
      <c r="AI25" s="447"/>
    </row>
    <row r="26" spans="1:35">
      <c r="A26" s="447" t="s">
        <v>544</v>
      </c>
      <c r="B26" s="447"/>
      <c r="C26" s="447"/>
      <c r="D26" s="447"/>
      <c r="E26" s="447"/>
      <c r="G26" s="447" t="s">
        <v>545</v>
      </c>
      <c r="H26" s="447"/>
      <c r="I26" s="447"/>
      <c r="J26" s="447"/>
      <c r="K26" s="447"/>
      <c r="M26" s="447" t="s">
        <v>546</v>
      </c>
      <c r="N26" s="447"/>
      <c r="O26" s="447"/>
      <c r="P26" s="447"/>
      <c r="Q26" s="447"/>
      <c r="S26" s="325" t="s">
        <v>1656</v>
      </c>
      <c r="Y26" s="447" t="s">
        <v>551</v>
      </c>
      <c r="Z26" s="447"/>
      <c r="AA26" s="447"/>
      <c r="AB26" s="447"/>
      <c r="AC26" s="447"/>
      <c r="AE26" s="447" t="s">
        <v>1254</v>
      </c>
      <c r="AF26" s="447"/>
      <c r="AG26" s="447"/>
      <c r="AH26" s="447"/>
      <c r="AI26" s="447"/>
    </row>
    <row r="27" spans="1:35">
      <c r="A27" s="447" t="s">
        <v>548</v>
      </c>
      <c r="B27" s="447"/>
      <c r="C27" s="447"/>
      <c r="D27" s="447"/>
      <c r="E27" s="447"/>
      <c r="G27" s="447" t="s">
        <v>549</v>
      </c>
      <c r="H27" s="447"/>
      <c r="I27" s="447"/>
      <c r="J27" s="447"/>
      <c r="K27" s="447"/>
      <c r="M27" s="447" t="s">
        <v>550</v>
      </c>
      <c r="N27" s="447"/>
      <c r="O27" s="447"/>
      <c r="P27" s="447"/>
      <c r="Q27" s="447"/>
      <c r="Y27" s="447" t="s">
        <v>554</v>
      </c>
      <c r="Z27" s="447"/>
      <c r="AA27" s="447"/>
      <c r="AB27" s="447"/>
      <c r="AC27" s="447"/>
      <c r="AE27" s="447" t="s">
        <v>1338</v>
      </c>
      <c r="AF27" s="447"/>
      <c r="AG27" s="447"/>
      <c r="AH27" s="447"/>
      <c r="AI27" s="447"/>
    </row>
    <row r="28" spans="1:35">
      <c r="A28" s="447" t="s">
        <v>552</v>
      </c>
      <c r="B28" s="447"/>
      <c r="C28" s="447"/>
      <c r="D28" s="447"/>
      <c r="E28" s="447"/>
      <c r="G28" s="447" t="s">
        <v>1646</v>
      </c>
      <c r="H28" s="447"/>
      <c r="I28" s="447"/>
      <c r="J28" s="447"/>
      <c r="K28" s="447"/>
      <c r="M28" s="447" t="s">
        <v>553</v>
      </c>
      <c r="N28" s="447"/>
      <c r="O28" s="447"/>
      <c r="P28" s="447"/>
      <c r="Q28" s="447"/>
      <c r="Y28" s="447" t="s">
        <v>558</v>
      </c>
      <c r="Z28" s="447"/>
      <c r="AA28" s="447"/>
      <c r="AB28" s="447"/>
      <c r="AC28" s="447"/>
      <c r="AE28" s="447" t="s">
        <v>1292</v>
      </c>
      <c r="AF28" s="447"/>
      <c r="AG28" s="447"/>
      <c r="AH28" s="447"/>
      <c r="AI28" s="447"/>
    </row>
    <row r="29" spans="1:35">
      <c r="A29" s="447" t="s">
        <v>555</v>
      </c>
      <c r="B29" s="447"/>
      <c r="C29" s="447"/>
      <c r="D29" s="447"/>
      <c r="E29" s="447"/>
      <c r="G29" s="447" t="s">
        <v>556</v>
      </c>
      <c r="H29" s="447"/>
      <c r="I29" s="447"/>
      <c r="J29" s="447"/>
      <c r="K29" s="447"/>
      <c r="M29" s="447" t="s">
        <v>557</v>
      </c>
      <c r="N29" s="447"/>
      <c r="O29" s="447"/>
      <c r="P29" s="447"/>
      <c r="Q29" s="447"/>
      <c r="Y29" s="447" t="s">
        <v>1474</v>
      </c>
      <c r="Z29" s="447"/>
      <c r="AA29" s="447"/>
      <c r="AB29" s="447"/>
      <c r="AC29" s="447"/>
      <c r="AE29" s="447" t="s">
        <v>1661</v>
      </c>
      <c r="AF29" s="447"/>
      <c r="AG29" s="447"/>
      <c r="AH29" s="447"/>
      <c r="AI29" s="447"/>
    </row>
    <row r="30" spans="1:35">
      <c r="A30" s="447" t="s">
        <v>559</v>
      </c>
      <c r="B30" s="447"/>
      <c r="C30" s="447"/>
      <c r="D30" s="447"/>
      <c r="E30" s="447"/>
      <c r="G30" s="447" t="s">
        <v>560</v>
      </c>
      <c r="H30" s="447"/>
      <c r="I30" s="447"/>
      <c r="J30" s="447"/>
      <c r="K30" s="447"/>
      <c r="M30" s="447" t="s">
        <v>561</v>
      </c>
      <c r="N30" s="447"/>
      <c r="O30" s="447"/>
      <c r="P30" s="447"/>
      <c r="Q30" s="447"/>
      <c r="Y30" s="447" t="s">
        <v>566</v>
      </c>
      <c r="Z30" s="447"/>
      <c r="AA30" s="447"/>
      <c r="AB30" s="447"/>
      <c r="AC30" s="447"/>
      <c r="AE30" s="447" t="s">
        <v>1662</v>
      </c>
      <c r="AF30" s="447"/>
      <c r="AG30" s="447"/>
      <c r="AH30" s="447"/>
      <c r="AI30" s="447"/>
    </row>
    <row r="31" spans="1:35">
      <c r="A31" s="447" t="s">
        <v>562</v>
      </c>
      <c r="B31" s="447"/>
      <c r="C31" s="447"/>
      <c r="D31" s="447"/>
      <c r="E31" s="447"/>
      <c r="G31" s="447" t="s">
        <v>563</v>
      </c>
      <c r="H31" s="447"/>
      <c r="I31" s="447"/>
      <c r="J31" s="447"/>
      <c r="K31" s="447"/>
      <c r="M31" s="447" t="s">
        <v>564</v>
      </c>
      <c r="N31" s="447"/>
      <c r="O31" s="447"/>
      <c r="P31" s="447"/>
      <c r="Q31" s="447"/>
      <c r="Y31" s="447" t="s">
        <v>568</v>
      </c>
      <c r="Z31" s="447"/>
      <c r="AA31" s="447"/>
      <c r="AB31" s="447"/>
      <c r="AC31" s="447"/>
      <c r="AE31" s="447" t="s">
        <v>1663</v>
      </c>
      <c r="AF31" s="447"/>
      <c r="AG31" s="447"/>
      <c r="AH31" s="447"/>
      <c r="AI31" s="447"/>
    </row>
    <row r="32" spans="1:35">
      <c r="A32" s="447" t="s">
        <v>565</v>
      </c>
      <c r="B32" s="447"/>
      <c r="C32" s="447"/>
      <c r="D32" s="447"/>
      <c r="E32" s="447"/>
      <c r="G32" s="447" t="s">
        <v>1647</v>
      </c>
      <c r="H32" s="447"/>
      <c r="I32" s="447"/>
      <c r="J32" s="447"/>
      <c r="K32" s="447"/>
      <c r="M32" s="447" t="s">
        <v>1125</v>
      </c>
      <c r="N32" s="447"/>
      <c r="O32" s="447"/>
      <c r="P32" s="447"/>
      <c r="Q32" s="447"/>
      <c r="Y32" s="447" t="s">
        <v>570</v>
      </c>
      <c r="Z32" s="447"/>
      <c r="AA32" s="447"/>
      <c r="AB32" s="447"/>
      <c r="AC32" s="447"/>
      <c r="AE32" s="447" t="s">
        <v>1664</v>
      </c>
      <c r="AF32" s="447"/>
      <c r="AG32" s="447"/>
      <c r="AH32" s="447"/>
      <c r="AI32" s="447"/>
    </row>
    <row r="33" spans="1:35">
      <c r="A33" s="447" t="s">
        <v>567</v>
      </c>
      <c r="B33" s="447"/>
      <c r="C33" s="447"/>
      <c r="D33" s="447"/>
      <c r="E33" s="447"/>
      <c r="G33" s="447" t="s">
        <v>1654</v>
      </c>
      <c r="H33" s="447"/>
      <c r="I33" s="447"/>
      <c r="J33" s="447"/>
      <c r="K33" s="447"/>
      <c r="M33" s="447" t="s">
        <v>1293</v>
      </c>
      <c r="N33" s="447"/>
      <c r="O33" s="447"/>
      <c r="P33" s="447"/>
      <c r="Q33" s="447"/>
      <c r="Y33" s="447" t="s">
        <v>1132</v>
      </c>
      <c r="Z33" s="447"/>
      <c r="AA33" s="447"/>
      <c r="AB33" s="447"/>
      <c r="AC33" s="447"/>
      <c r="AE33" s="447" t="s">
        <v>1665</v>
      </c>
      <c r="AF33" s="447"/>
      <c r="AG33" s="447"/>
      <c r="AH33" s="447"/>
      <c r="AI33" s="447"/>
    </row>
    <row r="34" spans="1:35">
      <c r="A34" s="447" t="s">
        <v>569</v>
      </c>
      <c r="B34" s="447"/>
      <c r="C34" s="447"/>
      <c r="D34" s="447"/>
      <c r="E34" s="447"/>
      <c r="G34" s="447" t="s">
        <v>1294</v>
      </c>
      <c r="H34" s="447"/>
      <c r="I34" s="447"/>
      <c r="J34" s="447"/>
      <c r="K34" s="447"/>
      <c r="Y34" s="447" t="s">
        <v>1475</v>
      </c>
      <c r="Z34" s="447"/>
      <c r="AA34" s="447"/>
      <c r="AB34" s="447"/>
      <c r="AC34" s="447"/>
    </row>
    <row r="35" spans="1:35">
      <c r="A35" s="447" t="s">
        <v>571</v>
      </c>
      <c r="B35" s="447"/>
      <c r="C35" s="447"/>
      <c r="D35" s="447"/>
      <c r="E35" s="447"/>
      <c r="G35" s="325" t="s">
        <v>1648</v>
      </c>
      <c r="Y35" s="447" t="s">
        <v>1295</v>
      </c>
      <c r="Z35" s="447"/>
      <c r="AA35" s="447"/>
      <c r="AB35" s="447"/>
      <c r="AC35" s="447"/>
    </row>
    <row r="36" spans="1:35">
      <c r="A36" s="447" t="s">
        <v>572</v>
      </c>
      <c r="B36" s="447"/>
      <c r="C36" s="447"/>
      <c r="D36" s="447"/>
      <c r="E36" s="447"/>
      <c r="Y36" s="447" t="s">
        <v>1476</v>
      </c>
      <c r="Z36" s="447"/>
      <c r="AA36" s="447"/>
      <c r="AB36" s="447"/>
      <c r="AC36" s="447"/>
    </row>
    <row r="37" spans="1:35">
      <c r="A37" s="447" t="s">
        <v>573</v>
      </c>
      <c r="B37" s="447"/>
      <c r="C37" s="447"/>
      <c r="D37" s="447"/>
      <c r="E37" s="447"/>
      <c r="Y37" s="447" t="s">
        <v>1477</v>
      </c>
      <c r="Z37" s="447"/>
      <c r="AA37" s="447"/>
      <c r="AB37" s="447"/>
      <c r="AC37" s="447"/>
    </row>
    <row r="38" spans="1:35">
      <c r="A38" s="447" t="s">
        <v>1131</v>
      </c>
      <c r="B38" s="447"/>
      <c r="C38" s="447"/>
      <c r="D38" s="447"/>
      <c r="E38" s="447"/>
      <c r="Y38" s="447"/>
      <c r="Z38" s="447"/>
      <c r="AA38" s="447"/>
      <c r="AB38" s="447"/>
      <c r="AC38" s="447"/>
    </row>
    <row r="39" spans="1:35">
      <c r="A39" s="447" t="s">
        <v>1248</v>
      </c>
      <c r="B39" s="447"/>
      <c r="C39" s="447"/>
      <c r="D39" s="447"/>
      <c r="E39" s="447"/>
      <c r="Y39" s="447"/>
      <c r="Z39" s="447"/>
      <c r="AA39" s="447"/>
      <c r="AB39" s="447"/>
      <c r="AC39" s="447"/>
    </row>
    <row r="40" spans="1:35">
      <c r="A40" s="447" t="s">
        <v>1126</v>
      </c>
      <c r="B40" s="447"/>
      <c r="C40" s="447"/>
      <c r="D40" s="447"/>
      <c r="E40" s="447"/>
    </row>
    <row r="41" spans="1:35">
      <c r="A41" s="447" t="s">
        <v>1296</v>
      </c>
      <c r="B41" s="447"/>
      <c r="C41" s="447"/>
      <c r="D41" s="447"/>
      <c r="E41" s="447"/>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row>
    <row r="42" spans="1:35">
      <c r="A42" s="447" t="s">
        <v>1637</v>
      </c>
      <c r="B42" s="447"/>
      <c r="C42" s="447"/>
      <c r="D42" s="447"/>
      <c r="E42" s="447"/>
    </row>
    <row r="43" spans="1:35">
      <c r="A43" s="447" t="s">
        <v>1638</v>
      </c>
      <c r="B43" s="447"/>
      <c r="C43" s="447"/>
      <c r="D43" s="447"/>
      <c r="E43" s="447"/>
    </row>
    <row r="44" spans="1:35">
      <c r="A44" s="447" t="s">
        <v>1639</v>
      </c>
      <c r="B44" s="447"/>
      <c r="C44" s="447"/>
      <c r="D44" s="447"/>
      <c r="E44" s="447"/>
    </row>
    <row r="45" spans="1:35">
      <c r="A45" s="325" t="s">
        <v>1640</v>
      </c>
    </row>
    <row r="46" spans="1:35">
      <c r="A46" s="325" t="s">
        <v>1641</v>
      </c>
    </row>
    <row r="47" spans="1:35">
      <c r="A47" s="325" t="s">
        <v>1642</v>
      </c>
    </row>
    <row r="48" spans="1:35">
      <c r="A48" s="325" t="s">
        <v>1643</v>
      </c>
    </row>
    <row r="49" spans="1:1">
      <c r="A49" s="325" t="s">
        <v>1644</v>
      </c>
    </row>
    <row r="73" spans="6:13">
      <c r="F73" s="325" t="s">
        <v>694</v>
      </c>
      <c r="G73" s="325" t="s">
        <v>688</v>
      </c>
      <c r="H73" s="325" t="s">
        <v>695</v>
      </c>
      <c r="I73" s="325" t="s">
        <v>696</v>
      </c>
      <c r="L73" s="325" t="s">
        <v>691</v>
      </c>
      <c r="M73" s="325" t="s">
        <v>692</v>
      </c>
    </row>
    <row r="74" spans="6:13">
      <c r="F74" s="325" t="s">
        <v>694</v>
      </c>
      <c r="G74" s="325" t="s">
        <v>689</v>
      </c>
      <c r="H74" s="325" t="s">
        <v>697</v>
      </c>
      <c r="I74" s="325" t="s">
        <v>698</v>
      </c>
    </row>
    <row r="75" spans="6:13">
      <c r="F75" s="325" t="s">
        <v>694</v>
      </c>
      <c r="G75" s="325" t="s">
        <v>690</v>
      </c>
      <c r="H75" s="325" t="s">
        <v>699</v>
      </c>
      <c r="I75" s="325" t="s">
        <v>700</v>
      </c>
    </row>
    <row r="76" spans="6:13">
      <c r="F76" s="325" t="s">
        <v>694</v>
      </c>
      <c r="G76" s="325" t="s">
        <v>693</v>
      </c>
      <c r="H76" s="325" t="s">
        <v>701</v>
      </c>
      <c r="I76" s="325" t="s">
        <v>702</v>
      </c>
    </row>
    <row r="77" spans="6:13">
      <c r="F77" s="325" t="s">
        <v>694</v>
      </c>
      <c r="G77" s="325" t="s">
        <v>691</v>
      </c>
      <c r="H77" s="325" t="s">
        <v>703</v>
      </c>
      <c r="I77" s="325" t="s">
        <v>704</v>
      </c>
    </row>
    <row r="78" spans="6:13">
      <c r="F78" s="325" t="s">
        <v>694</v>
      </c>
      <c r="G78" s="325" t="s">
        <v>692</v>
      </c>
      <c r="H78" s="325" t="s">
        <v>705</v>
      </c>
      <c r="I78" s="325" t="s">
        <v>706</v>
      </c>
    </row>
  </sheetData>
  <sheetProtection selectLockedCells="1" selectUnlockedCells="1"/>
  <mergeCells count="6">
    <mergeCell ref="AE4:AI4"/>
    <mergeCell ref="A4:E4"/>
    <mergeCell ref="G4:K4"/>
    <mergeCell ref="M4:Q4"/>
    <mergeCell ref="S4:W4"/>
    <mergeCell ref="Y4:AC4"/>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5B31-F21D-4AEA-ABE6-6C7649ABEAC3}">
  <sheetPr>
    <tabColor theme="1"/>
  </sheetPr>
  <dimension ref="A1:AZ20"/>
  <sheetViews>
    <sheetView topLeftCell="AB1" workbookViewId="0">
      <selection activeCell="AU21" sqref="AU21"/>
    </sheetView>
  </sheetViews>
  <sheetFormatPr defaultColWidth="9" defaultRowHeight="18"/>
  <cols>
    <col min="1" max="1" width="9" style="363"/>
    <col min="2" max="7" width="9.08203125" style="363" bestFit="1" customWidth="1"/>
    <col min="8" max="8" width="9.33203125" style="363" bestFit="1" customWidth="1"/>
    <col min="9" max="10" width="9.08203125" style="363" bestFit="1" customWidth="1"/>
    <col min="11" max="11" width="9.33203125" style="363" bestFit="1" customWidth="1"/>
    <col min="12" max="15" width="9.08203125" style="363" bestFit="1" customWidth="1"/>
    <col min="16" max="16" width="9.33203125" style="363" bestFit="1" customWidth="1"/>
    <col min="17" max="17" width="9" style="363"/>
    <col min="18" max="21" width="9.08203125" style="363" bestFit="1" customWidth="1"/>
    <col min="22" max="22" width="9" style="363"/>
    <col min="23" max="28" width="9.33203125" style="363" bestFit="1" customWidth="1"/>
    <col min="29" max="29" width="9.08203125" style="363" bestFit="1" customWidth="1"/>
    <col min="30" max="30" width="9" style="363"/>
    <col min="31" max="43" width="9.33203125" style="363" bestFit="1" customWidth="1"/>
    <col min="44" max="45" width="9.08203125" style="363" bestFit="1" customWidth="1"/>
    <col min="46" max="48" width="9.33203125" style="363" bestFit="1" customWidth="1"/>
    <col min="49" max="49" width="9" style="363"/>
    <col min="50" max="50" width="9.33203125" style="363" bestFit="1" customWidth="1"/>
    <col min="51" max="52" width="9.08203125" style="363" bestFit="1" customWidth="1"/>
    <col min="53" max="16384" width="9" style="312"/>
  </cols>
  <sheetData>
    <row r="1" spans="1:52">
      <c r="B1" s="363" t="s">
        <v>800</v>
      </c>
      <c r="H1" s="363" t="s">
        <v>886</v>
      </c>
      <c r="O1" s="363" t="s">
        <v>887</v>
      </c>
      <c r="W1" s="363">
        <v>1</v>
      </c>
      <c r="X1" s="363">
        <v>2</v>
      </c>
      <c r="Y1" s="363">
        <v>3</v>
      </c>
      <c r="AB1" s="363">
        <v>4</v>
      </c>
      <c r="AE1" s="363">
        <v>1</v>
      </c>
      <c r="AF1" s="363">
        <f>AE1+1</f>
        <v>2</v>
      </c>
      <c r="AG1" s="363">
        <f>AF1+1</f>
        <v>3</v>
      </c>
      <c r="AQ1" s="363">
        <f>AG1+1</f>
        <v>4</v>
      </c>
      <c r="AS1" s="363">
        <f>AU1+1</f>
        <v>7</v>
      </c>
      <c r="AT1" s="363">
        <f>AQ1+1</f>
        <v>5</v>
      </c>
      <c r="AU1" s="363">
        <f t="shared" ref="AU1" si="0">AT1+1</f>
        <v>6</v>
      </c>
    </row>
    <row r="2" spans="1:52">
      <c r="B2" s="363" t="s">
        <v>921</v>
      </c>
      <c r="C2" s="363" t="s">
        <v>54</v>
      </c>
      <c r="D2" s="363" t="s">
        <v>765</v>
      </c>
      <c r="E2" s="363" t="s">
        <v>766</v>
      </c>
      <c r="G2" s="363" t="s">
        <v>888</v>
      </c>
      <c r="H2" s="363" t="s">
        <v>801</v>
      </c>
      <c r="I2" s="363" t="s">
        <v>921</v>
      </c>
      <c r="J2" s="363" t="s">
        <v>54</v>
      </c>
      <c r="K2" s="363" t="s">
        <v>765</v>
      </c>
      <c r="L2" s="363" t="s">
        <v>766</v>
      </c>
      <c r="N2" s="363" t="s">
        <v>889</v>
      </c>
      <c r="O2" s="363" t="s">
        <v>54</v>
      </c>
      <c r="P2" s="363" t="s">
        <v>765</v>
      </c>
      <c r="R2" s="363" t="s">
        <v>771</v>
      </c>
      <c r="S2" s="363" t="s">
        <v>772</v>
      </c>
      <c r="T2" s="363" t="s">
        <v>774</v>
      </c>
      <c r="U2" s="363" t="s">
        <v>773</v>
      </c>
      <c r="W2" s="363" t="s">
        <v>775</v>
      </c>
      <c r="X2" s="363" t="s">
        <v>776</v>
      </c>
      <c r="Y2" s="363" t="s">
        <v>777</v>
      </c>
      <c r="Z2" s="363" t="s">
        <v>779</v>
      </c>
      <c r="AA2" s="363" t="s">
        <v>780</v>
      </c>
      <c r="AB2" s="363" t="s">
        <v>778</v>
      </c>
      <c r="AC2" s="363" t="s">
        <v>781</v>
      </c>
      <c r="AE2" s="363" t="s">
        <v>775</v>
      </c>
      <c r="AF2" s="363" t="s">
        <v>791</v>
      </c>
      <c r="AG2" s="363" t="s">
        <v>792</v>
      </c>
      <c r="AH2" s="363" t="s">
        <v>778</v>
      </c>
      <c r="AR2" s="363" t="s">
        <v>781</v>
      </c>
      <c r="AT2" s="363" t="s">
        <v>793</v>
      </c>
      <c r="AU2" s="363" t="s">
        <v>779</v>
      </c>
      <c r="AV2" s="363" t="s">
        <v>780</v>
      </c>
      <c r="AX2" s="363" t="s">
        <v>1088</v>
      </c>
      <c r="AY2" s="363" t="s">
        <v>1098</v>
      </c>
      <c r="AZ2" s="363" t="s">
        <v>1099</v>
      </c>
    </row>
    <row r="3" spans="1:52">
      <c r="E3" s="363" t="s">
        <v>804</v>
      </c>
      <c r="F3" s="363" t="s">
        <v>805</v>
      </c>
      <c r="L3" s="363" t="s">
        <v>804</v>
      </c>
      <c r="M3" s="363" t="s">
        <v>805</v>
      </c>
      <c r="AB3" s="363" t="s">
        <v>782</v>
      </c>
      <c r="AC3" s="363" t="s">
        <v>783</v>
      </c>
    </row>
    <row r="4" spans="1:52">
      <c r="B4" s="363" t="s">
        <v>767</v>
      </c>
      <c r="C4" s="363" t="s">
        <v>768</v>
      </c>
      <c r="D4" s="363" t="s">
        <v>769</v>
      </c>
      <c r="E4" s="363" t="s">
        <v>770</v>
      </c>
      <c r="G4" s="363" t="s">
        <v>789</v>
      </c>
      <c r="I4" s="363" t="s">
        <v>767</v>
      </c>
      <c r="J4" s="363" t="s">
        <v>768</v>
      </c>
      <c r="L4" s="363" t="s">
        <v>770</v>
      </c>
      <c r="N4" s="363" t="s">
        <v>789</v>
      </c>
      <c r="O4" s="363" t="s">
        <v>768</v>
      </c>
      <c r="P4" s="363" t="s">
        <v>769</v>
      </c>
    </row>
    <row r="5" spans="1:52">
      <c r="K5" s="363" t="s">
        <v>891</v>
      </c>
    </row>
    <row r="8" spans="1:52">
      <c r="B8" s="363" t="s">
        <v>795</v>
      </c>
      <c r="C8" s="363" t="s">
        <v>796</v>
      </c>
      <c r="D8" s="363" t="s">
        <v>797</v>
      </c>
      <c r="E8" s="363" t="s">
        <v>798</v>
      </c>
      <c r="F8" s="363" t="s">
        <v>802</v>
      </c>
      <c r="G8" s="363" t="s">
        <v>803</v>
      </c>
      <c r="I8" s="363" t="s">
        <v>795</v>
      </c>
      <c r="J8" s="363" t="s">
        <v>796</v>
      </c>
      <c r="K8" s="363" t="s">
        <v>797</v>
      </c>
      <c r="L8" s="363" t="s">
        <v>798</v>
      </c>
      <c r="M8" s="363" t="s">
        <v>802</v>
      </c>
      <c r="N8" s="363" t="s">
        <v>803</v>
      </c>
      <c r="O8" s="363" t="s">
        <v>796</v>
      </c>
      <c r="P8" s="363" t="s">
        <v>797</v>
      </c>
      <c r="AH8" s="363">
        <v>1</v>
      </c>
      <c r="AI8" s="363">
        <f t="shared" ref="AI8:AS8" si="1">AH8+1</f>
        <v>2</v>
      </c>
      <c r="AJ8" s="363">
        <f t="shared" si="1"/>
        <v>3</v>
      </c>
      <c r="AK8" s="363">
        <f t="shared" si="1"/>
        <v>4</v>
      </c>
      <c r="AL8" s="363">
        <f t="shared" si="1"/>
        <v>5</v>
      </c>
      <c r="AM8" s="363">
        <f t="shared" ref="AM8" si="2">AL8+1</f>
        <v>6</v>
      </c>
      <c r="AN8" s="363">
        <f t="shared" ref="AN8" si="3">AM8+1</f>
        <v>7</v>
      </c>
      <c r="AO8" s="363">
        <f t="shared" ref="AO8" si="4">AN8+1</f>
        <v>8</v>
      </c>
      <c r="AP8" s="363">
        <f t="shared" ref="AP8" si="5">AO8+1</f>
        <v>9</v>
      </c>
      <c r="AQ8" s="363">
        <f t="shared" ref="AQ8" si="6">AP8+1</f>
        <v>10</v>
      </c>
      <c r="AR8" s="363">
        <v>1</v>
      </c>
      <c r="AS8" s="363">
        <f t="shared" si="1"/>
        <v>2</v>
      </c>
    </row>
    <row r="9" spans="1:52">
      <c r="A9" s="363" t="s">
        <v>122</v>
      </c>
      <c r="B9" s="363" t="e">
        <f>'④-1月別配置内訳書(2)-(2)-(A)'!AA9</f>
        <v>#DIV/0!</v>
      </c>
      <c r="C9" s="363" t="e">
        <f>'④-2月別配置内訳書(2)-(2)-(B)'!AF9</f>
        <v>#DIV/0!</v>
      </c>
      <c r="D9" s="363" t="e">
        <f>'④-3月別配置内訳書(2)-(2)-(C)・(D)'!V9</f>
        <v>#DIV/0!</v>
      </c>
      <c r="E9" s="364" t="e">
        <f>'④-3月別配置内訳書(2)-(2)-(C)・(D)'!AW9</f>
        <v>#DIV/0!</v>
      </c>
      <c r="F9" s="363" t="e">
        <f>'④-3月別配置内訳書(2)-(2)-(C)・(D)'!AX9</f>
        <v>#DIV/0!</v>
      </c>
      <c r="G9" s="363" t="e">
        <f>'④-４月別配置内訳書(2)-(2)-(E)'!V9</f>
        <v>#DIV/0!</v>
      </c>
      <c r="H9" s="363" t="e">
        <f>I9+J9+K9</f>
        <v>#DIV/0!</v>
      </c>
      <c r="I9" s="363" t="e">
        <f>'④-1月別配置内訳書(2)-(2)-(A)'!AB9</f>
        <v>#DIV/0!</v>
      </c>
      <c r="J9" s="363" t="e">
        <f>'④-2月別配置内訳書(2)-(2)-(B)'!AG9</f>
        <v>#N/A</v>
      </c>
      <c r="K9" s="363" t="e">
        <f t="shared" ref="K9:K20" si="7">MIN($D9,1+IF($S9&gt;=$W$1,$R9,0))</f>
        <v>#DIV/0!</v>
      </c>
      <c r="L9" s="363" t="e">
        <f>'④-3月別配置内訳書(2)-(2)-(C)・(D)'!AY9</f>
        <v>#N/A</v>
      </c>
      <c r="M9" s="363" t="e">
        <f>'④-3月別配置内訳書(2)-(2)-(C)・(D)'!AZ9</f>
        <v>#N/A</v>
      </c>
      <c r="N9" s="363" t="e">
        <f>G9</f>
        <v>#DIV/0!</v>
      </c>
      <c r="O9" s="363" t="e">
        <f>C9-J9</f>
        <v>#DIV/0!</v>
      </c>
      <c r="P9" s="363" t="e">
        <f>D9-K9</f>
        <v>#DIV/0!</v>
      </c>
      <c r="R9" s="363">
        <f>①基本情報!F29</f>
        <v>0</v>
      </c>
      <c r="S9" s="363">
        <f>①基本情報!F31</f>
        <v>0</v>
      </c>
      <c r="T9" s="363">
        <f>SUM('③児童数及び職員定数 (2)-(1)'!C10:D10)</f>
        <v>0</v>
      </c>
      <c r="U9" s="363">
        <f>IF(T9&gt;=66,2,IF(T9&gt;=36,1,0))</f>
        <v>0</v>
      </c>
      <c r="W9" s="363" t="e">
        <f>IF(AND($H9=$W$1,$K9=0,R9&gt;=$W$1,SUM(L9:N9)=0),"NG",IF(SUM($H9,$L9:$O9)&gt;=$W$1,"OK","NG"))</f>
        <v>#DIV/0!</v>
      </c>
      <c r="X9" s="363" t="e">
        <f>IF($H9&gt;=X$1,"OK","NG")</f>
        <v>#DIV/0!</v>
      </c>
      <c r="Y9" s="363" t="e">
        <f>IF($H9&gt;=Y$1,"OK","NG")</f>
        <v>#DIV/0!</v>
      </c>
      <c r="Z9" s="363" t="e">
        <f>IF($W9="OK",IF(SUM($L9:$N9)&gt;=1,"OK",IF(SUM($I9:$P9)-COUNTIF($W9:$Y9,"OK")-SUM($AB9,$AC9)&gt;=1,"OK","NG")),"NG")</f>
        <v>#DIV/0!</v>
      </c>
      <c r="AA9" s="363" t="e">
        <f>IF($W9="OK",IF(COUNTIF($W9:$Z9,"OK")=4,"NG",IF(SUM($L9:$N9)&gt;=2,"OK",IF(SUM($I9:$P9)-COUNTIF($W9:$Z9,"OK")-SUM($AB9,$AC9)&gt;=1,"OK","NG"))),"NG")</f>
        <v>#DIV/0!</v>
      </c>
      <c r="AB9" s="363" t="e">
        <f>IF(AND($H9=$W$1,$R9&gt;=$W$1),1,IF($S9&gt;=$W$1,IF(AND($H9&gt;=$AB$1,$R9&gt;=1),MIN(ROUNDDOWN(SUM($I9:$K9,$O9:$P9)-3,0),$R9),0),IF(AND($H9&gt;=$AB$1,$R9&gt;=1),MIN(ROUNDDOWN(SUM($I9:$K9,$O9)-3,0),$R9),0)))</f>
        <v>#DIV/0!</v>
      </c>
      <c r="AC9" s="363">
        <f>IF(U9&gt;=1,MIN(ROUNDDOWN(SUM(I9:J9,O9)-COUNTIF($AF9:$AL9,$B$8)-COUNTIF($AF9:$AL9,$C$8),0),U9),0)</f>
        <v>0</v>
      </c>
      <c r="AE9" s="363" t="e">
        <f>IF(W9="OK",IF($I9&gt;=$AE$1,I$8,IF($J9&gt;=$AE$1,J$8,IF($K9&gt;=$AE$1,K$8,"NG"))),"NG")</f>
        <v>#DIV/0!</v>
      </c>
      <c r="AF9" s="363" t="e">
        <f>IF(X9="OK",IF($J9&gt;=$AE$1+COUNTIF($AE9:AE9,$J$8),$J$8,IF($K9&gt;=$AE$1+COUNTIF($AE9:AE9,$K$8),$K$8,IF($I9&gt;=$AE$1+COUNTIF($AE9:AE9,$I$8),$I$8,"NG"))),"NG")</f>
        <v>#DIV/0!</v>
      </c>
      <c r="AG9" s="363" t="e">
        <f>IF(Y9="OK",IF($J9&gt;=$AE$1+COUNTIF($AE9:AF9,$J$8),$J$8,IF($K9&gt;=$AE$1+COUNTIF($AE9:AF9,$K$8),$K$8,IF($I9&gt;=$AE$1+COUNTIF($AE9:AF9,$I$8),$I$8,"NG"))),"NG")</f>
        <v>#DIV/0!</v>
      </c>
      <c r="AH9" s="363" t="e">
        <f>IF($AB9&gt;=AH$8,IF($S9&gt;=$AE$1,IF($J9&gt;=$AE$1+COUNTIF($AE9:AG9,$J$8),$J$8,IF($D9&gt;=$AE$1+COUNTIF($AE9:AG9,$D$8),$D$8,IF($I9&gt;=$AE$1+COUNTIF($AE9:AG9,$I$8),$I$8,"NG"))),IF($J9&gt;=$AE$1+COUNTIF($AE9:AG9,$J$8),$J$8,IF($I9&gt;=$AE$1+COUNTIF($AE9:AG9,$I$8),$I$8,"NG"))),"NG")</f>
        <v>#DIV/0!</v>
      </c>
      <c r="AI9" s="363" t="e">
        <f>IF($AB9&gt;=AI$8,IF($S9&gt;=$AE$1,IF($J9&gt;=$AE$1+COUNTIF($AE9:AH9,$J$8),$J$8,IF($D9&gt;=$AE$1+COUNTIF($AE9:AH9,$D$8),$D$8,IF($I9&gt;=$AE$1+COUNTIF($AE9:AH9,$I$8),$I$8,"NG"))),IF($J9&gt;=$AE$1+COUNTIF($AE9:AH9,$J$8),$J$8,IF($I9&gt;=$AE$1+COUNTIF($AE9:AH9,$I$8),$I$8,"NG"))),"NG")</f>
        <v>#DIV/0!</v>
      </c>
      <c r="AJ9" s="363" t="e">
        <f>IF($AB9&gt;=AJ$8,IF($S9&gt;=$AE$1,IF($J9&gt;=$AE$1+COUNTIF($AE9:AI9,$J$8),$J$8,IF($D9&gt;=$AE$1+COUNTIF($AE9:AI9,$D$8),$D$8,IF($I9&gt;=$AE$1+COUNTIF($AE9:AI9,$I$8),$I$8,"NG"))),IF($J9&gt;=$AE$1+COUNTIF($AE9:AI9,$J$8),$J$8,IF($I9&gt;=$AE$1+COUNTIF($AE9:AI9,$I$8),$I$8,"NG"))),"NG")</f>
        <v>#DIV/0!</v>
      </c>
      <c r="AK9" s="363" t="e">
        <f>IF($AB9&gt;=AK$8,IF($S9&gt;=$AE$1,IF($J9&gt;=$AE$1+COUNTIF($AE9:AJ9,$J$8),$J$8,IF($D9&gt;=$AE$1+COUNTIF($AE9:AJ9,$D$8),$D$8,IF($I9&gt;=$AE$1+COUNTIF($AE9:AJ9,$I$8),$I$8,"NG"))),IF($J9&gt;=$AE$1+COUNTIF($AE9:AJ9,$J$8),$J$8,IF($I9&gt;=$AE$1+COUNTIF($AE9:AJ9,$I$8),$I$8,"NG"))),"NG")</f>
        <v>#DIV/0!</v>
      </c>
      <c r="AL9" s="363" t="e">
        <f>IF($AB9&gt;=AL$8,IF($S9&gt;=$AE$1,IF($J9&gt;=$AE$1+COUNTIF($AE9:AK9,$J$8),$J$8,IF($D9&gt;=$AE$1+COUNTIF($AE9:AK9,$D$8),$D$8,IF($I9&gt;=$AE$1+COUNTIF($AE9:AK9,$I$8),$I$8,"NG"))),IF($J9&gt;=$AE$1+COUNTIF($AE9:AK9,$J$8),$J$8,IF($I9&gt;=$AE$1+COUNTIF($AE9:AK9,$I$8),$I$8,"NG"))),"NG")</f>
        <v>#DIV/0!</v>
      </c>
      <c r="AM9" s="363" t="e">
        <f>IF($AB9&gt;=AM$8,IF($S9&gt;=$AE$1,IF($J9&gt;=$AE$1+COUNTIF($AE9:AL9,$J$8),$J$8,IF($D9&gt;=$AE$1+COUNTIF($AE9:AL9,$D$8),$D$8,IF($I9&gt;=$AE$1+COUNTIF($AE9:AL9,$I$8),$I$8,"NG"))),IF($J9&gt;=$AE$1+COUNTIF($AE9:AL9,$J$8),$J$8,IF($I9&gt;=$AE$1+COUNTIF($AE9:AL9,$I$8),$I$8,"NG"))),"NG")</f>
        <v>#DIV/0!</v>
      </c>
      <c r="AN9" s="363" t="e">
        <f>IF($AB9&gt;=AN$8,IF($S9&gt;=$AE$1,IF($J9&gt;=$AE$1+COUNTIF($AE9:AM9,$J$8),$J$8,IF($D9&gt;=$AE$1+COUNTIF($AE9:AM9,$D$8),$D$8,IF($I9&gt;=$AE$1+COUNTIF($AE9:AM9,$I$8),$I$8,"NG"))),IF($J9&gt;=$AE$1+COUNTIF($AE9:AM9,$J$8),$J$8,IF($I9&gt;=$AE$1+COUNTIF($AE9:AM9,$I$8),$I$8,"NG"))),"NG")</f>
        <v>#DIV/0!</v>
      </c>
      <c r="AO9" s="363" t="e">
        <f>IF($AB9&gt;=AO$8,IF($S9&gt;=$AE$1,IF($J9&gt;=$AE$1+COUNTIF($AE9:AN9,$J$8),$J$8,IF($D9&gt;=$AE$1+COUNTIF($AE9:AN9,$D$8),$D$8,IF($I9&gt;=$AE$1+COUNTIF($AE9:AN9,$I$8),$I$8,"NG"))),IF($J9&gt;=$AE$1+COUNTIF($AE9:AN9,$J$8),$J$8,IF($I9&gt;=$AE$1+COUNTIF($AE9:AN9,$I$8),$I$8,"NG"))),"NG")</f>
        <v>#DIV/0!</v>
      </c>
      <c r="AP9" s="363" t="e">
        <f>IF($AB9&gt;=AP$8,IF($S9&gt;=$AE$1,IF($J9&gt;=$AE$1+COUNTIF($AE9:AO9,$J$8),$J$8,IF($D9&gt;=$AE$1+COUNTIF($AE9:AO9,$D$8),$D$8,IF($I9&gt;=$AE$1+COUNTIF($AE9:AO9,$I$8),$I$8,"NG"))),IF($J9&gt;=$AE$1+COUNTIF($AE9:AO9,$J$8),$J$8,IF($I9&gt;=$AE$1+COUNTIF($AE9:AO9,$I$8),$I$8,"NG"))),"NG")</f>
        <v>#DIV/0!</v>
      </c>
      <c r="AQ9" s="363" t="e">
        <f>IF($AB9&gt;=AQ$8,IF($S9&gt;=$AE$1,IF($J9&gt;=$AE$1+COUNTIF($AE9:AP9,$J$8),$J$8,IF($D9&gt;=$AE$1+COUNTIF($AE9:AP9,$D$8),$D$8,IF($I9&gt;=$AE$1+COUNTIF($AE9:AP9,$I$8),$I$8,"NG"))),IF($J9&gt;=$AE$1+COUNTIF($AE9:AP9,$J$8),$J$8,IF($I9&gt;=$AE$1+COUNTIF($AE9:AP9,$I$8),$I$8,"NG"))),"NG")</f>
        <v>#DIV/0!</v>
      </c>
      <c r="AR9" s="363" t="str">
        <f>IF($AC9&gt;=AR$8,IF($J9&gt;=$AE$1+COUNTIF($AE9:AQ9,$J$8),$J$8,IF($I9&gt;=$AE$1+COUNTIF($AE9:AQ9,$I$8),$I$8,"NG")),"NG")</f>
        <v>NG</v>
      </c>
      <c r="AS9" s="363" t="str">
        <f>IF($AC9&gt;=AS$8,IF($J9&gt;=$AE$1+COUNTIF($AE9:AR9,$J$8),$J$8,IF($I9&gt;=$AE$1+COUNTIF($AE9:AR9,$I$8),$I$8,"NG")),"NG")</f>
        <v>NG</v>
      </c>
      <c r="AT9" s="363" t="e">
        <f>IF(AND(W9="OK",AE9="NG"),IF($N9&gt;=$AE$1+COUNTIF($AE9:AS9,$N$8),$N$8,IF($M9&gt;=$AE$1+COUNTIF($AE9:AS9,$M$8),$M$8,IF($L9&gt;=$AE$1+COUNTIF($AE9:AS9,$L$8),$L$8,"NG"))),"NG")</f>
        <v>#DIV/0!</v>
      </c>
      <c r="AU9" s="363" t="e">
        <f>IF(Z9="OK",IF($C9&gt;=$AE$1+COUNTIF($AE9:AT9,$C$8),$C$8,IF($D9&gt;=$AE$1+COUNTIF($AE9:AT9,$D$8),$D$8,IF($N9&gt;=$AE$1+COUNTIF($AE9:AT9,$N$8),$N$8,IF($I9&gt;=$AE$1+COUNTIF($AE9:AT9,$I$8),$I$8,IF($M9&gt;=$AE$1+COUNTIF($AE9:AT9,$M$8),$M$8,IF($L9&gt;=$AE$1+COUNTIF($AE9:AT9,$L$8),$L$8,"NG")))))),"NG")</f>
        <v>#DIV/0!</v>
      </c>
      <c r="AV9" s="363" t="e">
        <f>IF(AA9="OK",IF(COUNTIF($AE9:AU9,$L$8)+COUNTIF($AE9:AU9,$M$8)+COUNTIF($AE9:AU9,$N$8)&gt;=2,"NG",IF($C9&gt;=$AE$1+COUNTIF($AE9:AU9,$C$8),$C$8,IF($D9&gt;=$AE$1+COUNTIF($AE9:AU9,$D$8),$D$8,IF($N9&gt;=$AE$1+COUNTIF($AE9:AU9,$N$8),$N$8,IF($M9&gt;=$AE$1+COUNTIF($AE9:AU9,$M$8),$M$8,IF($I9&gt;=$AE$1+COUNTIF($AE9:AU9,$I$8),$I$8,IF($L9&gt;=$AE$1+COUNTIF($AE9:AU9,$L$8),$L$8,"NG"))))))),"NG")</f>
        <v>#DIV/0!</v>
      </c>
      <c r="AX9" s="363" t="e">
        <f>IF(AE9="NG",AT9,AE9)</f>
        <v>#DIV/0!</v>
      </c>
      <c r="AY9" s="363">
        <f>COUNTIF($AH9:$AQ9,"A")+COUNTIF($AH9:$AQ9,"B")+COUNTIF($AH9:$AQ9,"C")</f>
        <v>0</v>
      </c>
      <c r="AZ9" s="363">
        <f>COUNTIF($AR9:$AS9,"A")+COUNTIF($AR9:$AS9,"B")</f>
        <v>0</v>
      </c>
    </row>
    <row r="10" spans="1:52">
      <c r="A10" s="363" t="s">
        <v>123</v>
      </c>
      <c r="B10" s="363" t="e">
        <f>'④-1月別配置内訳書(2)-(2)-(A)'!AA10</f>
        <v>#DIV/0!</v>
      </c>
      <c r="C10" s="363" t="e">
        <f>'④-2月別配置内訳書(2)-(2)-(B)'!AF10</f>
        <v>#DIV/0!</v>
      </c>
      <c r="D10" s="363" t="e">
        <f>'④-3月別配置内訳書(2)-(2)-(C)・(D)'!V10</f>
        <v>#DIV/0!</v>
      </c>
      <c r="E10" s="364" t="e">
        <f>'④-3月別配置内訳書(2)-(2)-(C)・(D)'!AW10</f>
        <v>#DIV/0!</v>
      </c>
      <c r="F10" s="363" t="e">
        <f>'④-3月別配置内訳書(2)-(2)-(C)・(D)'!AX10</f>
        <v>#DIV/0!</v>
      </c>
      <c r="G10" s="363" t="e">
        <f>'④-４月別配置内訳書(2)-(2)-(E)'!V10</f>
        <v>#DIV/0!</v>
      </c>
      <c r="H10" s="363" t="e">
        <f>I10+J10+K10</f>
        <v>#DIV/0!</v>
      </c>
      <c r="I10" s="363" t="e">
        <f>'④-1月別配置内訳書(2)-(2)-(A)'!AB10</f>
        <v>#DIV/0!</v>
      </c>
      <c r="J10" s="363" t="e">
        <f>'④-2月別配置内訳書(2)-(2)-(B)'!AG10</f>
        <v>#N/A</v>
      </c>
      <c r="K10" s="363" t="e">
        <f t="shared" si="7"/>
        <v>#N/A</v>
      </c>
      <c r="L10" s="363" t="e">
        <f>'④-3月別配置内訳書(2)-(2)-(C)・(D)'!AY10</f>
        <v>#N/A</v>
      </c>
      <c r="M10" s="363" t="e">
        <f>'④-3月別配置内訳書(2)-(2)-(C)・(D)'!AZ10</f>
        <v>#N/A</v>
      </c>
      <c r="N10" s="363" t="e">
        <f t="shared" ref="N10:N14" si="8">G10</f>
        <v>#DIV/0!</v>
      </c>
      <c r="O10" s="363" t="e">
        <f t="shared" ref="O10:O14" si="9">C10-J10</f>
        <v>#DIV/0!</v>
      </c>
      <c r="P10" s="363" t="e">
        <f t="shared" ref="P10:P14" si="10">D10-K10</f>
        <v>#DIV/0!</v>
      </c>
      <c r="R10" s="363" t="e">
        <f>①基本情報!G29</f>
        <v>#N/A</v>
      </c>
      <c r="S10" s="363" t="e">
        <f>①基本情報!G31</f>
        <v>#N/A</v>
      </c>
      <c r="T10" s="363">
        <f>SUM('③児童数及び職員定数 (2)-(1)'!C11:D11)</f>
        <v>0</v>
      </c>
      <c r="U10" s="363">
        <f>IF(T10&gt;=66,2,IF(T10&gt;=36,1,0))</f>
        <v>0</v>
      </c>
      <c r="W10" s="363" t="e">
        <f t="shared" ref="W10:W20" si="11">IF(AND($H10=$W$1,$K10=0,R10&gt;=$W$1,SUM(L10:N10)=0),"NG",IF(SUM($H10,$L10:$O10)&gt;=$W$1,"OK","NG"))</f>
        <v>#DIV/0!</v>
      </c>
      <c r="X10" s="363" t="e">
        <f t="shared" ref="X10:Y20" si="12">IF($H10&gt;=X$1,"OK","NG")</f>
        <v>#DIV/0!</v>
      </c>
      <c r="Y10" s="363" t="e">
        <f t="shared" si="12"/>
        <v>#DIV/0!</v>
      </c>
      <c r="Z10" s="363" t="e">
        <f t="shared" ref="Z10:Z20" si="13">IF($W10="OK",IF(SUM($L10:$N10)&gt;=1,"OK",IF(SUM($I10:$P10)-COUNTIF($W10:$Y10,"OK")-SUM($AB10,$AC10)&gt;=1,"OK","NG")),"NG")</f>
        <v>#DIV/0!</v>
      </c>
      <c r="AA10" s="363" t="e">
        <f t="shared" ref="AA10:AA20" si="14">IF($W10="OK",IF(COUNTIF($W10:$Z10,"OK")=4,"NG",IF(SUM($L10:$N10)&gt;=2,"OK",IF(SUM($I10:$P10)-COUNTIF($W10:$Z10,"OK")-SUM($AB10,$AC10)&gt;=1,"OK","NG"))),"NG")</f>
        <v>#DIV/0!</v>
      </c>
      <c r="AB10" s="363" t="e">
        <f>IF(AND($H10=$W$1,$R10&gt;=$W$1),1,IF($S10&gt;=$W$1,IF(AND($H10&gt;=$AB$1,$R10&gt;=1),MIN(ROUNDDOWN(SUM($I10:$K10,$O10:$P10)-3,0),$R10),0),IF(AND($H10&gt;=$AB$1,$R10&gt;=1),MIN(ROUNDDOWN(SUM($I10:$K10,$O10)-3,0),$R10),0)))</f>
        <v>#DIV/0!</v>
      </c>
      <c r="AC10" s="363">
        <f>IF(U10&gt;=1,MIN(ROUNDDOWN(SUM(I10:J10,O10)-COUNTIF($AF10:$AL10,$B$8)-COUNTIF($AF10:$AL10,$C$8),0),U10),0)</f>
        <v>0</v>
      </c>
      <c r="AE10" s="363" t="e">
        <f t="shared" ref="AE10:AE14" si="15">IF(W10="OK",IF($I10&gt;=$AE$1,I$8,IF($J10&gt;=$AE$1,J$8,IF($K10&gt;=$AE$1,K$8,"NG"))),"NG")</f>
        <v>#DIV/0!</v>
      </c>
      <c r="AF10" s="363" t="e">
        <f>IF(X10="OK",IF($J10&gt;=$AE$1+COUNTIF($AE10:AE10,$J$8),$J$8,IF($K10&gt;=$AE$1+COUNTIF($AE10:AE10,$K$8),$K$8,IF($I10&gt;=$AE$1+COUNTIF($AE10:AE10,$I$8),$I$8,"NG"))),"NG")</f>
        <v>#DIV/0!</v>
      </c>
      <c r="AG10" s="363" t="e">
        <f>IF(Y10="OK",IF($J10&gt;=$AE$1+COUNTIF($AE10:AF10,$J$8),$J$8,IF($K10&gt;=$AE$1+COUNTIF($AE10:AF10,$K$8),$K$8,IF($I10&gt;=$AE$1+COUNTIF($AE10:AF10,$I$8),$I$8,"NG"))),"NG")</f>
        <v>#DIV/0!</v>
      </c>
      <c r="AH10" s="363" t="e">
        <f>IF($AB10&gt;=AH$8,IF($S10&gt;=$AE$1,IF($J10&gt;=$AE$1+COUNTIF($AE10:AG10,$J$8),$J$8,IF($D10&gt;=$AE$1+COUNTIF($AE10:AG10,$D$8),$D$8,IF($I10&gt;=$AE$1+COUNTIF($AE10:AG10,$I$8),$I$8,"NG"))),IF($J10&gt;=$AE$1+COUNTIF($AE10:AG10,$J$8),$J$8,IF($I10&gt;=$AE$1+COUNTIF($AE10:AG10,$I$8),$I$8,"NG"))),"NG")</f>
        <v>#DIV/0!</v>
      </c>
      <c r="AI10" s="363" t="e">
        <f>IF($AB10&gt;=AI$8,IF($S10&gt;=$AE$1,IF($J10&gt;=$AE$1+COUNTIF($AE10:AH10,$J$8),$J$8,IF($D10&gt;=$AE$1+COUNTIF($AE10:AH10,$D$8),$D$8,IF($I10&gt;=$AE$1+COUNTIF($AE10:AH10,$I$8),$I$8,"NG"))),IF($J10&gt;=$AE$1+COUNTIF($AE10:AH10,$J$8),$J$8,IF($I10&gt;=$AE$1+COUNTIF($AE10:AH10,$I$8),$I$8,"NG"))),"NG")</f>
        <v>#DIV/0!</v>
      </c>
      <c r="AJ10" s="363" t="e">
        <f>IF($AB10&gt;=AJ$8,IF($S10&gt;=$AE$1,IF($J10&gt;=$AE$1+COUNTIF($AE10:AI10,$J$8),$J$8,IF($D10&gt;=$AE$1+COUNTIF($AE10:AI10,$D$8),$D$8,IF($I10&gt;=$AE$1+COUNTIF($AE10:AI10,$I$8),$I$8,"NG"))),IF($J10&gt;=$AE$1+COUNTIF($AE10:AI10,$J$8),$J$8,IF($I10&gt;=$AE$1+COUNTIF($AE10:AI10,$I$8),$I$8,"NG"))),"NG")</f>
        <v>#DIV/0!</v>
      </c>
      <c r="AK10" s="363" t="e">
        <f>IF($AB10&gt;=AK$8,IF($S10&gt;=$AE$1,IF($J10&gt;=$AE$1+COUNTIF($AE10:AJ10,$J$8),$J$8,IF($D10&gt;=$AE$1+COUNTIF($AE10:AJ10,$D$8),$D$8,IF($I10&gt;=$AE$1+COUNTIF($AE10:AJ10,$I$8),$I$8,"NG"))),IF($J10&gt;=$AE$1+COUNTIF($AE10:AJ10,$J$8),$J$8,IF($I10&gt;=$AE$1+COUNTIF($AE10:AJ10,$I$8),$I$8,"NG"))),"NG")</f>
        <v>#DIV/0!</v>
      </c>
      <c r="AL10" s="363" t="e">
        <f>IF($AB10&gt;=AL$8,IF($S10&gt;=$AE$1,IF($J10&gt;=$AE$1+COUNTIF($AE10:AK10,$J$8),$J$8,IF($D10&gt;=$AE$1+COUNTIF($AE10:AK10,$D$8),$D$8,IF($I10&gt;=$AE$1+COUNTIF($AE10:AK10,$I$8),$I$8,"NG"))),IF($J10&gt;=$AE$1+COUNTIF($AE10:AK10,$J$8),$J$8,IF($I10&gt;=$AE$1+COUNTIF($AE10:AK10,$I$8),$I$8,"NG"))),"NG")</f>
        <v>#DIV/0!</v>
      </c>
      <c r="AM10" s="363" t="e">
        <f>IF($AB10&gt;=AM$8,IF($S10&gt;=$AE$1,IF($J10&gt;=$AE$1+COUNTIF($AE10:AL10,$J$8),$J$8,IF($D10&gt;=$AE$1+COUNTIF($AE10:AL10,$D$8),$D$8,IF($I10&gt;=$AE$1+COUNTIF($AE10:AL10,$I$8),$I$8,"NG"))),IF($J10&gt;=$AE$1+COUNTIF($AE10:AL10,$J$8),$J$8,IF($I10&gt;=$AE$1+COUNTIF($AE10:AL10,$I$8),$I$8,"NG"))),"NG")</f>
        <v>#DIV/0!</v>
      </c>
      <c r="AN10" s="363" t="e">
        <f>IF($AB10&gt;=AN$8,IF($S10&gt;=$AE$1,IF($J10&gt;=$AE$1+COUNTIF($AE10:AM10,$J$8),$J$8,IF($D10&gt;=$AE$1+COUNTIF($AE10:AM10,$D$8),$D$8,IF($I10&gt;=$AE$1+COUNTIF($AE10:AM10,$I$8),$I$8,"NG"))),IF($J10&gt;=$AE$1+COUNTIF($AE10:AM10,$J$8),$J$8,IF($I10&gt;=$AE$1+COUNTIF($AE10:AM10,$I$8),$I$8,"NG"))),"NG")</f>
        <v>#DIV/0!</v>
      </c>
      <c r="AO10" s="363" t="e">
        <f>IF($AB10&gt;=AO$8,IF($S10&gt;=$AE$1,IF($J10&gt;=$AE$1+COUNTIF($AE10:AN10,$J$8),$J$8,IF($D10&gt;=$AE$1+COUNTIF($AE10:AN10,$D$8),$D$8,IF($I10&gt;=$AE$1+COUNTIF($AE10:AN10,$I$8),$I$8,"NG"))),IF($J10&gt;=$AE$1+COUNTIF($AE10:AN10,$J$8),$J$8,IF($I10&gt;=$AE$1+COUNTIF($AE10:AN10,$I$8),$I$8,"NG"))),"NG")</f>
        <v>#DIV/0!</v>
      </c>
      <c r="AP10" s="363" t="e">
        <f>IF($AB10&gt;=AP$8,IF($S10&gt;=$AE$1,IF($J10&gt;=$AE$1+COUNTIF($AE10:AO10,$J$8),$J$8,IF($D10&gt;=$AE$1+COUNTIF($AE10:AO10,$D$8),$D$8,IF($I10&gt;=$AE$1+COUNTIF($AE10:AO10,$I$8),$I$8,"NG"))),IF($J10&gt;=$AE$1+COUNTIF($AE10:AO10,$J$8),$J$8,IF($I10&gt;=$AE$1+COUNTIF($AE10:AO10,$I$8),$I$8,"NG"))),"NG")</f>
        <v>#DIV/0!</v>
      </c>
      <c r="AQ10" s="363" t="e">
        <f>IF($AB10&gt;=AQ$8,IF($S10&gt;=$AE$1,IF($J10&gt;=$AE$1+COUNTIF($AE10:AP10,$J$8),$J$8,IF($D10&gt;=$AE$1+COUNTIF($AE10:AP10,$D$8),$D$8,IF($I10&gt;=$AE$1+COUNTIF($AE10:AP10,$I$8),$I$8,"NG"))),IF($J10&gt;=$AE$1+COUNTIF($AE10:AP10,$J$8),$J$8,IF($I10&gt;=$AE$1+COUNTIF($AE10:AP10,$I$8),$I$8,"NG"))),"NG")</f>
        <v>#DIV/0!</v>
      </c>
      <c r="AR10" s="363" t="str">
        <f>IF($AC10&gt;=AR$8,IF($J10&gt;=$AE$1+COUNTIF($AE10:AQ10,$J$8),$J$8,IF($I10&gt;=$AE$1+COUNTIF($AE10:AQ10,$I$8),$I$8,"NG")),"NG")</f>
        <v>NG</v>
      </c>
      <c r="AS10" s="363" t="str">
        <f>IF($AC10&gt;=AS$8,IF($J10&gt;=$AE$1+COUNTIF($AE10:AR10,$J$8),$J$8,IF($I10&gt;=$AE$1+COUNTIF($AE10:AR10,$I$8),$I$8,"NG")),"NG")</f>
        <v>NG</v>
      </c>
      <c r="AT10" s="363" t="e">
        <f>IF(AND(W10="OK",AE10="NG"),IF($N10&gt;=$AE$1+COUNTIF($AE10:AS10,$N$8),$N$8,IF($M10&gt;=$AE$1+COUNTIF($AE10:AS10,$M$8),$M$8,IF($L10&gt;=$AE$1+COUNTIF($AE10:AS10,$L$8),$L$8,"NG"))),"NG")</f>
        <v>#DIV/0!</v>
      </c>
      <c r="AU10" s="363" t="e">
        <f>IF(Z10="OK",IF($C10&gt;=$AE$1+COUNTIF($AE10:AT10,$C$8),$C$8,IF($D10&gt;=$AE$1+COUNTIF($AE10:AT10,$D$8),$D$8,IF($N10&gt;=$AE$1+COUNTIF($AE10:AT10,$N$8),$N$8,IF($I10&gt;=$AE$1+COUNTIF($AE10:AT10,$I$8),$I$8,IF($M10&gt;=$AE$1+COUNTIF($AE10:AT10,$M$8),$M$8,IF($L10&gt;=$AE$1+COUNTIF($AE10:AT10,$L$8),$L$8,"NG")))))),"NG")</f>
        <v>#DIV/0!</v>
      </c>
      <c r="AV10" s="363" t="e">
        <f>IF(AA10="OK",IF(COUNTIF($AE10:AU10,$L$8)+COUNTIF($AE10:AU10,$M$8)+COUNTIF($AE10:AU10,$N$8)&gt;=2,"NG",IF($C10&gt;=$AE$1+COUNTIF($AE10:AU10,$C$8),$C$8,IF($D10&gt;=$AE$1+COUNTIF($AE10:AU10,$D$8),$D$8,IF($N10&gt;=$AE$1+COUNTIF($AE10:AU10,$N$8),$N$8,IF($M10&gt;=$AE$1+COUNTIF($AE10:AU10,$M$8),$M$8,IF($I10&gt;=$AE$1+COUNTIF($AE10:AU10,$I$8),$I$8,IF($L10&gt;=$AE$1+COUNTIF($AE10:AU10,$L$8),$L$8,"NG"))))))),"NG")</f>
        <v>#DIV/0!</v>
      </c>
      <c r="AX10" s="363" t="e">
        <f>IF(AE10="NG",AT10,AE10)</f>
        <v>#DIV/0!</v>
      </c>
      <c r="AY10" s="363">
        <f>COUNTIF($AH10:$AQ10,"A")+COUNTIF($AH10:$AQ10,"B")+COUNTIF($AH10:$AQ10,"C")</f>
        <v>0</v>
      </c>
      <c r="AZ10" s="363">
        <f>COUNTIF($AR10:$AS10,"A")+COUNTIF($AR10:$AS10,"B")</f>
        <v>0</v>
      </c>
    </row>
    <row r="11" spans="1:52">
      <c r="A11" s="363" t="s">
        <v>124</v>
      </c>
      <c r="B11" s="363" t="e">
        <f>'④-1月別配置内訳書(2)-(2)-(A)'!AA11</f>
        <v>#DIV/0!</v>
      </c>
      <c r="C11" s="363" t="e">
        <f>'④-2月別配置内訳書(2)-(2)-(B)'!AF11</f>
        <v>#DIV/0!</v>
      </c>
      <c r="D11" s="363" t="e">
        <f>'④-3月別配置内訳書(2)-(2)-(C)・(D)'!V11</f>
        <v>#DIV/0!</v>
      </c>
      <c r="E11" s="364" t="e">
        <f>'④-3月別配置内訳書(2)-(2)-(C)・(D)'!AW11</f>
        <v>#DIV/0!</v>
      </c>
      <c r="F11" s="363" t="e">
        <f>'④-3月別配置内訳書(2)-(2)-(C)・(D)'!AX11</f>
        <v>#DIV/0!</v>
      </c>
      <c r="G11" s="363" t="e">
        <f>'④-４月別配置内訳書(2)-(2)-(E)'!V11</f>
        <v>#DIV/0!</v>
      </c>
      <c r="H11" s="363" t="e">
        <f t="shared" ref="H11:H14" si="16">I11+J11+K11</f>
        <v>#DIV/0!</v>
      </c>
      <c r="I11" s="363" t="e">
        <f>'④-1月別配置内訳書(2)-(2)-(A)'!AB11</f>
        <v>#DIV/0!</v>
      </c>
      <c r="J11" s="363" t="e">
        <f>'④-2月別配置内訳書(2)-(2)-(B)'!AG11</f>
        <v>#N/A</v>
      </c>
      <c r="K11" s="363" t="e">
        <f t="shared" si="7"/>
        <v>#N/A</v>
      </c>
      <c r="L11" s="363" t="e">
        <f>'④-3月別配置内訳書(2)-(2)-(C)・(D)'!AY11</f>
        <v>#N/A</v>
      </c>
      <c r="M11" s="363" t="e">
        <f>'④-3月別配置内訳書(2)-(2)-(C)・(D)'!AZ11</f>
        <v>#N/A</v>
      </c>
      <c r="N11" s="363" t="e">
        <f t="shared" si="8"/>
        <v>#DIV/0!</v>
      </c>
      <c r="O11" s="363" t="e">
        <f t="shared" si="9"/>
        <v>#DIV/0!</v>
      </c>
      <c r="P11" s="363" t="e">
        <f t="shared" si="10"/>
        <v>#DIV/0!</v>
      </c>
      <c r="R11" s="363" t="e">
        <f>①基本情報!H29</f>
        <v>#N/A</v>
      </c>
      <c r="S11" s="363" t="e">
        <f>①基本情報!H31</f>
        <v>#N/A</v>
      </c>
      <c r="T11" s="363">
        <f>SUM('③児童数及び職員定数 (2)-(1)'!C12:D12)</f>
        <v>0</v>
      </c>
      <c r="U11" s="363">
        <f t="shared" ref="U11:U14" si="17">IF(T11&gt;=66,2,IF(T11&gt;=36,1,0))</f>
        <v>0</v>
      </c>
      <c r="W11" s="363" t="e">
        <f t="shared" si="11"/>
        <v>#DIV/0!</v>
      </c>
      <c r="X11" s="363" t="e">
        <f>IF($H11&gt;=X$1,"OK","NG")</f>
        <v>#DIV/0!</v>
      </c>
      <c r="Y11" s="363" t="e">
        <f>IF($H11&gt;=Y$1,"OK","NG")</f>
        <v>#DIV/0!</v>
      </c>
      <c r="Z11" s="363" t="e">
        <f>IF($W11="OK",IF(SUM($L11:$N11)&gt;=1,"OK",IF(SUM($I11:$P11)-COUNTIF($W11:$Y11,"OK")-SUM($AB11,$AC11)&gt;=1,"OK","NG")),"NG")</f>
        <v>#DIV/0!</v>
      </c>
      <c r="AA11" s="363" t="e">
        <f>IF($W11="OK",IF(COUNTIF($W11:$Z11,"OK")=4,"NG",IF(SUM($L11:$N11)&gt;=2,"OK",IF(SUM($I11:$P11)-COUNTIF($W11:$Z11,"OK")-SUM($AB11,$AC11)&gt;=1,"OK","NG"))),"NG")</f>
        <v>#DIV/0!</v>
      </c>
      <c r="AB11" s="363" t="e">
        <f t="shared" ref="AB11:AB20" si="18">IF(AND($H11=$W$1,$R11&gt;=$W$1),1,IF($S11&gt;=$W$1,IF(AND($H11&gt;=$AB$1,$R11&gt;=1),MIN(ROUNDDOWN(SUM($I11:$K11,$O11:$P11)-3,0),$R11),0),IF(AND($H11&gt;=$AB$1,$R11&gt;=1),MIN(ROUNDDOWN(SUM($I11:$K11,$O11)-3,0),$R11),0)))</f>
        <v>#DIV/0!</v>
      </c>
      <c r="AC11" s="363">
        <f>IF(U11&gt;=1,MIN(ROUNDDOWN(SUM(I11:J11,O11)-COUNTIF($AF11:$AL11,$B$8)-COUNTIF($AF11:$AL11,$C$8),0),U11),0)</f>
        <v>0</v>
      </c>
      <c r="AE11" s="363" t="e">
        <f t="shared" si="15"/>
        <v>#DIV/0!</v>
      </c>
      <c r="AF11" s="363" t="e">
        <f>IF(X11="OK",IF($J11&gt;=$AE$1+COUNTIF($AE11:AE11,$J$8),$J$8,IF($K11&gt;=$AE$1+COUNTIF($AE11:AE11,$K$8),$K$8,IF($I11&gt;=$AE$1+COUNTIF($AE11:AE11,$I$8),$I$8,"NG"))),"NG")</f>
        <v>#DIV/0!</v>
      </c>
      <c r="AG11" s="363" t="e">
        <f>IF(Y11="OK",IF($J11&gt;=$AE$1+COUNTIF($AE11:AF11,$J$8),$J$8,IF($K11&gt;=$AE$1+COUNTIF($AE11:AF11,$K$8),$K$8,IF($I11&gt;=$AE$1+COUNTIF($AE11:AF11,$I$8),$I$8,"NG"))),"NG")</f>
        <v>#DIV/0!</v>
      </c>
      <c r="AH11" s="363" t="e">
        <f>IF($AB11&gt;=AH$8,IF($S11&gt;=$AE$1,IF($J11&gt;=$AE$1+COUNTIF($AE11:AG11,$J$8),$J$8,IF($D11&gt;=$AE$1+COUNTIF($AE11:AG11,$D$8),$D$8,IF($I11&gt;=$AE$1+COUNTIF($AE11:AG11,$I$8),$I$8,"NG"))),IF($J11&gt;=$AE$1+COUNTIF($AE11:AG11,$J$8),$J$8,IF($I11&gt;=$AE$1+COUNTIF($AE11:AG11,$I$8),$I$8,"NG"))),"NG")</f>
        <v>#DIV/0!</v>
      </c>
      <c r="AI11" s="363" t="e">
        <f>IF($AB11&gt;=AI$8,IF($S11&gt;=$AE$1,IF($J11&gt;=$AE$1+COUNTIF($AE11:AH11,$J$8),$J$8,IF($D11&gt;=$AE$1+COUNTIF($AE11:AH11,$D$8),$D$8,IF($I11&gt;=$AE$1+COUNTIF($AE11:AH11,$I$8),$I$8,"NG"))),IF($J11&gt;=$AE$1+COUNTIF($AE11:AH11,$J$8),$J$8,IF($I11&gt;=$AE$1+COUNTIF($AE11:AH11,$I$8),$I$8,"NG"))),"NG")</f>
        <v>#DIV/0!</v>
      </c>
      <c r="AJ11" s="363" t="e">
        <f>IF($AB11&gt;=AJ$8,IF($S11&gt;=$AE$1,IF($J11&gt;=$AE$1+COUNTIF($AE11:AI11,$J$8),$J$8,IF($D11&gt;=$AE$1+COUNTIF($AE11:AI11,$D$8),$D$8,IF($I11&gt;=$AE$1+COUNTIF($AE11:AI11,$I$8),$I$8,"NG"))),IF($J11&gt;=$AE$1+COUNTIF($AE11:AI11,$J$8),$J$8,IF($I11&gt;=$AE$1+COUNTIF($AE11:AI11,$I$8),$I$8,"NG"))),"NG")</f>
        <v>#DIV/0!</v>
      </c>
      <c r="AK11" s="363" t="e">
        <f>IF($AB11&gt;=AK$8,IF($S11&gt;=$AE$1,IF($J11&gt;=$AE$1+COUNTIF($AE11:AJ11,$J$8),$J$8,IF($D11&gt;=$AE$1+COUNTIF($AE11:AJ11,$D$8),$D$8,IF($I11&gt;=$AE$1+COUNTIF($AE11:AJ11,$I$8),$I$8,"NG"))),IF($J11&gt;=$AE$1+COUNTIF($AE11:AJ11,$J$8),$J$8,IF($I11&gt;=$AE$1+COUNTIF($AE11:AJ11,$I$8),$I$8,"NG"))),"NG")</f>
        <v>#DIV/0!</v>
      </c>
      <c r="AL11" s="363" t="e">
        <f>IF($AB11&gt;=AL$8,IF($S11&gt;=$AE$1,IF($J11&gt;=$AE$1+COUNTIF($AE11:AK11,$J$8),$J$8,IF($D11&gt;=$AE$1+COUNTIF($AE11:AK11,$D$8),$D$8,IF($I11&gt;=$AE$1+COUNTIF($AE11:AK11,$I$8),$I$8,"NG"))),IF($J11&gt;=$AE$1+COUNTIF($AE11:AK11,$J$8),$J$8,IF($I11&gt;=$AE$1+COUNTIF($AE11:AK11,$I$8),$I$8,"NG"))),"NG")</f>
        <v>#DIV/0!</v>
      </c>
      <c r="AM11" s="363" t="e">
        <f>IF($AB11&gt;=AM$8,IF($S11&gt;=$AE$1,IF($J11&gt;=$AE$1+COUNTIF($AE11:AL11,$J$8),$J$8,IF($D11&gt;=$AE$1+COUNTIF($AE11:AL11,$D$8),$D$8,IF($I11&gt;=$AE$1+COUNTIF($AE11:AL11,$I$8),$I$8,"NG"))),IF($J11&gt;=$AE$1+COUNTIF($AE11:AL11,$J$8),$J$8,IF($I11&gt;=$AE$1+COUNTIF($AE11:AL11,$I$8),$I$8,"NG"))),"NG")</f>
        <v>#DIV/0!</v>
      </c>
      <c r="AN11" s="363" t="e">
        <f>IF($AB11&gt;=AN$8,IF($S11&gt;=$AE$1,IF($J11&gt;=$AE$1+COUNTIF($AE11:AM11,$J$8),$J$8,IF($D11&gt;=$AE$1+COUNTIF($AE11:AM11,$D$8),$D$8,IF($I11&gt;=$AE$1+COUNTIF($AE11:AM11,$I$8),$I$8,"NG"))),IF($J11&gt;=$AE$1+COUNTIF($AE11:AM11,$J$8),$J$8,IF($I11&gt;=$AE$1+COUNTIF($AE11:AM11,$I$8),$I$8,"NG"))),"NG")</f>
        <v>#DIV/0!</v>
      </c>
      <c r="AO11" s="363" t="e">
        <f>IF($AB11&gt;=AO$8,IF($S11&gt;=$AE$1,IF($J11&gt;=$AE$1+COUNTIF($AE11:AN11,$J$8),$J$8,IF($D11&gt;=$AE$1+COUNTIF($AE11:AN11,$D$8),$D$8,IF($I11&gt;=$AE$1+COUNTIF($AE11:AN11,$I$8),$I$8,"NG"))),IF($J11&gt;=$AE$1+COUNTIF($AE11:AN11,$J$8),$J$8,IF($I11&gt;=$AE$1+COUNTIF($AE11:AN11,$I$8),$I$8,"NG"))),"NG")</f>
        <v>#DIV/0!</v>
      </c>
      <c r="AP11" s="363" t="e">
        <f>IF($AB11&gt;=AP$8,IF($S11&gt;=$AE$1,IF($J11&gt;=$AE$1+COUNTIF($AE11:AO11,$J$8),$J$8,IF($D11&gt;=$AE$1+COUNTIF($AE11:AO11,$D$8),$D$8,IF($I11&gt;=$AE$1+COUNTIF($AE11:AO11,$I$8),$I$8,"NG"))),IF($J11&gt;=$AE$1+COUNTIF($AE11:AO11,$J$8),$J$8,IF($I11&gt;=$AE$1+COUNTIF($AE11:AO11,$I$8),$I$8,"NG"))),"NG")</f>
        <v>#DIV/0!</v>
      </c>
      <c r="AQ11" s="363" t="e">
        <f>IF($AB11&gt;=AQ$8,IF($S11&gt;=$AE$1,IF($J11&gt;=$AE$1+COUNTIF($AE11:AP11,$J$8),$J$8,IF($D11&gt;=$AE$1+COUNTIF($AE11:AP11,$D$8),$D$8,IF($I11&gt;=$AE$1+COUNTIF($AE11:AP11,$I$8),$I$8,"NG"))),IF($J11&gt;=$AE$1+COUNTIF($AE11:AP11,$J$8),$J$8,IF($I11&gt;=$AE$1+COUNTIF($AE11:AP11,$I$8),$I$8,"NG"))),"NG")</f>
        <v>#DIV/0!</v>
      </c>
      <c r="AR11" s="363" t="str">
        <f>IF($AC11&gt;=AR$8,IF($J11&gt;=$AE$1+COUNTIF($AE11:AQ11,$J$8),$J$8,IF($I11&gt;=$AE$1+COUNTIF($AE11:AQ11,$I$8),$I$8,"NG")),"NG")</f>
        <v>NG</v>
      </c>
      <c r="AS11" s="363" t="str">
        <f>IF($AC11&gt;=AS$8,IF($J11&gt;=$AE$1+COUNTIF($AE11:AR11,$J$8),$J$8,IF($I11&gt;=$AE$1+COUNTIF($AE11:AR11,$I$8),$I$8,"NG")),"NG")</f>
        <v>NG</v>
      </c>
      <c r="AT11" s="363" t="e">
        <f>IF(AND(W11="OK",AE11="NG"),IF($N11&gt;=$AE$1+COUNTIF($AE11:AS11,$N$8),$N$8,IF($M11&gt;=$AE$1+COUNTIF($AE11:AS11,$M$8),$M$8,IF($L11&gt;=$AE$1+COUNTIF($AE11:AS11,$L$8),$L$8,"NG"))),"NG")</f>
        <v>#DIV/0!</v>
      </c>
      <c r="AU11" s="363" t="e">
        <f>IF(Z11="OK",IF($C11&gt;=$AE$1+COUNTIF($AE11:AT11,$C$8),$C$8,IF($D11&gt;=$AE$1+COUNTIF($AE11:AT11,$D$8),$D$8,IF($N11&gt;=$AE$1+COUNTIF($AE11:AT11,$N$8),$N$8,IF($I11&gt;=$AE$1+COUNTIF($AE11:AT11,$I$8),$I$8,IF($M11&gt;=$AE$1+COUNTIF($AE11:AT11,$M$8),$M$8,IF($L11&gt;=$AE$1+COUNTIF($AE11:AT11,$L$8),$L$8,"NG")))))),"NG")</f>
        <v>#DIV/0!</v>
      </c>
      <c r="AV11" s="363" t="e">
        <f>IF(AA11="OK",IF(COUNTIF($AE11:AU11,$L$8)+COUNTIF($AE11:AU11,$M$8)+COUNTIF($AE11:AU11,$N$8)&gt;=2,"NG",IF($C11&gt;=$AE$1+COUNTIF($AE11:AU11,$C$8),$C$8,IF($D11&gt;=$AE$1+COUNTIF($AE11:AU11,$D$8),$D$8,IF($N11&gt;=$AE$1+COUNTIF($AE11:AU11,$N$8),$N$8,IF($M11&gt;=$AE$1+COUNTIF($AE11:AU11,$M$8),$M$8,IF($I11&gt;=$AE$1+COUNTIF($AE11:AU11,$I$8),$I$8,IF($L11&gt;=$AE$1+COUNTIF($AE11:AU11,$L$8),$L$8,"NG"))))))),"NG")</f>
        <v>#DIV/0!</v>
      </c>
      <c r="AX11" s="363" t="e">
        <f t="shared" ref="AX11:AX14" si="19">IF(AE11="NG",AT11,AE11)</f>
        <v>#DIV/0!</v>
      </c>
      <c r="AY11" s="363">
        <f t="shared" ref="AY11:AY20" si="20">COUNTIF($AH11:$AQ11,"A")+COUNTIF($AH11:$AQ11,"B")+COUNTIF($AH11:$AQ11,"C")</f>
        <v>0</v>
      </c>
      <c r="AZ11" s="363">
        <f t="shared" ref="AZ11:AZ20" si="21">COUNTIF($AR11:$AS11,"A")+COUNTIF($AR11:$AS11,"B")</f>
        <v>0</v>
      </c>
    </row>
    <row r="12" spans="1:52">
      <c r="A12" s="363" t="s">
        <v>125</v>
      </c>
      <c r="B12" s="363" t="e">
        <f>'④-1月別配置内訳書(2)-(2)-(A)'!AA12</f>
        <v>#DIV/0!</v>
      </c>
      <c r="C12" s="363" t="e">
        <f>'④-2月別配置内訳書(2)-(2)-(B)'!AF12</f>
        <v>#DIV/0!</v>
      </c>
      <c r="D12" s="363" t="e">
        <f>'④-3月別配置内訳書(2)-(2)-(C)・(D)'!V12</f>
        <v>#DIV/0!</v>
      </c>
      <c r="E12" s="364" t="e">
        <f>'④-3月別配置内訳書(2)-(2)-(C)・(D)'!AW12</f>
        <v>#DIV/0!</v>
      </c>
      <c r="F12" s="363" t="e">
        <f>'④-3月別配置内訳書(2)-(2)-(C)・(D)'!AX12</f>
        <v>#DIV/0!</v>
      </c>
      <c r="G12" s="363" t="e">
        <f>'④-４月別配置内訳書(2)-(2)-(E)'!V12</f>
        <v>#DIV/0!</v>
      </c>
      <c r="H12" s="363" t="e">
        <f t="shared" si="16"/>
        <v>#DIV/0!</v>
      </c>
      <c r="I12" s="363" t="e">
        <f>'④-1月別配置内訳書(2)-(2)-(A)'!AB12</f>
        <v>#DIV/0!</v>
      </c>
      <c r="J12" s="363" t="e">
        <f>'④-2月別配置内訳書(2)-(2)-(B)'!AG12</f>
        <v>#N/A</v>
      </c>
      <c r="K12" s="363" t="e">
        <f t="shared" si="7"/>
        <v>#N/A</v>
      </c>
      <c r="L12" s="363" t="e">
        <f>'④-3月別配置内訳書(2)-(2)-(C)・(D)'!AY12</f>
        <v>#N/A</v>
      </c>
      <c r="M12" s="363" t="e">
        <f>'④-3月別配置内訳書(2)-(2)-(C)・(D)'!AZ12</f>
        <v>#N/A</v>
      </c>
      <c r="N12" s="363" t="e">
        <f t="shared" si="8"/>
        <v>#DIV/0!</v>
      </c>
      <c r="O12" s="363" t="e">
        <f t="shared" si="9"/>
        <v>#DIV/0!</v>
      </c>
      <c r="P12" s="363" t="e">
        <f t="shared" si="10"/>
        <v>#DIV/0!</v>
      </c>
      <c r="R12" s="363" t="e">
        <f>①基本情報!I29</f>
        <v>#N/A</v>
      </c>
      <c r="S12" s="363" t="e">
        <f>①基本情報!I31</f>
        <v>#N/A</v>
      </c>
      <c r="T12" s="363">
        <f>SUM('③児童数及び職員定数 (2)-(1)'!C13:D13)</f>
        <v>0</v>
      </c>
      <c r="U12" s="363">
        <f t="shared" si="17"/>
        <v>0</v>
      </c>
      <c r="W12" s="363" t="e">
        <f t="shared" si="11"/>
        <v>#DIV/0!</v>
      </c>
      <c r="X12" s="363" t="e">
        <f t="shared" si="12"/>
        <v>#DIV/0!</v>
      </c>
      <c r="Y12" s="363" t="e">
        <f t="shared" si="12"/>
        <v>#DIV/0!</v>
      </c>
      <c r="Z12" s="363" t="e">
        <f t="shared" si="13"/>
        <v>#DIV/0!</v>
      </c>
      <c r="AA12" s="363" t="e">
        <f t="shared" si="14"/>
        <v>#DIV/0!</v>
      </c>
      <c r="AB12" s="363" t="e">
        <f t="shared" si="18"/>
        <v>#DIV/0!</v>
      </c>
      <c r="AC12" s="363">
        <f t="shared" ref="AC12:AC14" si="22">IF(U12&gt;=1,MIN(ROUNDDOWN(SUM(I12:J12,O12)-COUNTIF($AF12:$AL12,$B$8)-COUNTIF($AF12:$AL12,$C$8),0),U12),0)</f>
        <v>0</v>
      </c>
      <c r="AE12" s="363" t="e">
        <f t="shared" si="15"/>
        <v>#DIV/0!</v>
      </c>
      <c r="AF12" s="363" t="e">
        <f>IF(X12="OK",IF($J12&gt;=$AE$1+COUNTIF($AE12:AE12,$J$8),$J$8,IF($K12&gt;=$AE$1+COUNTIF($AE12:AE12,$K$8),$K$8,IF($I12&gt;=$AE$1+COUNTIF($AE12:AE12,$I$8),$I$8,"NG"))),"NG")</f>
        <v>#DIV/0!</v>
      </c>
      <c r="AG12" s="363" t="e">
        <f>IF(Y12="OK",IF($J12&gt;=$AE$1+COUNTIF($AE12:AF12,$J$8),$J$8,IF($K12&gt;=$AE$1+COUNTIF($AE12:AF12,$K$8),$K$8,IF($I12&gt;=$AE$1+COUNTIF($AE12:AF12,$I$8),$I$8,"NG"))),"NG")</f>
        <v>#DIV/0!</v>
      </c>
      <c r="AH12" s="363" t="e">
        <f>IF($AB12&gt;=AH$8,IF($S12&gt;=$AE$1,IF($J12&gt;=$AE$1+COUNTIF($AE12:AG12,$J$8),$J$8,IF($D12&gt;=$AE$1+COUNTIF($AE12:AG12,$D$8),$D$8,IF($I12&gt;=$AE$1+COUNTIF($AE12:AG12,$I$8),$I$8,"NG"))),IF($J12&gt;=$AE$1+COUNTIF($AE12:AG12,$J$8),$J$8,IF($I12&gt;=$AE$1+COUNTIF($AE12:AG12,$I$8),$I$8,"NG"))),"NG")</f>
        <v>#DIV/0!</v>
      </c>
      <c r="AI12" s="363" t="e">
        <f>IF($AB12&gt;=AI$8,IF($S12&gt;=$AE$1,IF($J12&gt;=$AE$1+COUNTIF($AE12:AH12,$J$8),$J$8,IF($D12&gt;=$AE$1+COUNTIF($AE12:AH12,$D$8),$D$8,IF($I12&gt;=$AE$1+COUNTIF($AE12:AH12,$I$8),$I$8,"NG"))),IF($J12&gt;=$AE$1+COUNTIF($AE12:AH12,$J$8),$J$8,IF($I12&gt;=$AE$1+COUNTIF($AE12:AH12,$I$8),$I$8,"NG"))),"NG")</f>
        <v>#DIV/0!</v>
      </c>
      <c r="AJ12" s="363" t="e">
        <f>IF($AB12&gt;=AJ$8,IF($S12&gt;=$AE$1,IF($J12&gt;=$AE$1+COUNTIF($AE12:AI12,$J$8),$J$8,IF($D12&gt;=$AE$1+COUNTIF($AE12:AI12,$D$8),$D$8,IF($I12&gt;=$AE$1+COUNTIF($AE12:AI12,$I$8),$I$8,"NG"))),IF($J12&gt;=$AE$1+COUNTIF($AE12:AI12,$J$8),$J$8,IF($I12&gt;=$AE$1+COUNTIF($AE12:AI12,$I$8),$I$8,"NG"))),"NG")</f>
        <v>#DIV/0!</v>
      </c>
      <c r="AK12" s="363" t="e">
        <f>IF($AB12&gt;=AK$8,IF($S12&gt;=$AE$1,IF($J12&gt;=$AE$1+COUNTIF($AE12:AJ12,$J$8),$J$8,IF($D12&gt;=$AE$1+COUNTIF($AE12:AJ12,$D$8),$D$8,IF($I12&gt;=$AE$1+COUNTIF($AE12:AJ12,$I$8),$I$8,"NG"))),IF($J12&gt;=$AE$1+COUNTIF($AE12:AJ12,$J$8),$J$8,IF($I12&gt;=$AE$1+COUNTIF($AE12:AJ12,$I$8),$I$8,"NG"))),"NG")</f>
        <v>#DIV/0!</v>
      </c>
      <c r="AL12" s="363" t="e">
        <f>IF($AB12&gt;=AL$8,IF($S12&gt;=$AE$1,IF($J12&gt;=$AE$1+COUNTIF($AE12:AK12,$J$8),$J$8,IF($D12&gt;=$AE$1+COUNTIF($AE12:AK12,$D$8),$D$8,IF($I12&gt;=$AE$1+COUNTIF($AE12:AK12,$I$8),$I$8,"NG"))),IF($J12&gt;=$AE$1+COUNTIF($AE12:AK12,$J$8),$J$8,IF($I12&gt;=$AE$1+COUNTIF($AE12:AK12,$I$8),$I$8,"NG"))),"NG")</f>
        <v>#DIV/0!</v>
      </c>
      <c r="AM12" s="363" t="e">
        <f>IF($AB12&gt;=AM$8,IF($S12&gt;=$AE$1,IF($J12&gt;=$AE$1+COUNTIF($AE12:AL12,$J$8),$J$8,IF($D12&gt;=$AE$1+COUNTIF($AE12:AL12,$D$8),$D$8,IF($I12&gt;=$AE$1+COUNTIF($AE12:AL12,$I$8),$I$8,"NG"))),IF($J12&gt;=$AE$1+COUNTIF($AE12:AL12,$J$8),$J$8,IF($I12&gt;=$AE$1+COUNTIF($AE12:AL12,$I$8),$I$8,"NG"))),"NG")</f>
        <v>#DIV/0!</v>
      </c>
      <c r="AN12" s="363" t="e">
        <f>IF($AB12&gt;=AN$8,IF($S12&gt;=$AE$1,IF($J12&gt;=$AE$1+COUNTIF($AE12:AM12,$J$8),$J$8,IF($D12&gt;=$AE$1+COUNTIF($AE12:AM12,$D$8),$D$8,IF($I12&gt;=$AE$1+COUNTIF($AE12:AM12,$I$8),$I$8,"NG"))),IF($J12&gt;=$AE$1+COUNTIF($AE12:AM12,$J$8),$J$8,IF($I12&gt;=$AE$1+COUNTIF($AE12:AM12,$I$8),$I$8,"NG"))),"NG")</f>
        <v>#DIV/0!</v>
      </c>
      <c r="AO12" s="363" t="e">
        <f>IF($AB12&gt;=AO$8,IF($S12&gt;=$AE$1,IF($J12&gt;=$AE$1+COUNTIF($AE12:AN12,$J$8),$J$8,IF($D12&gt;=$AE$1+COUNTIF($AE12:AN12,$D$8),$D$8,IF($I12&gt;=$AE$1+COUNTIF($AE12:AN12,$I$8),$I$8,"NG"))),IF($J12&gt;=$AE$1+COUNTIF($AE12:AN12,$J$8),$J$8,IF($I12&gt;=$AE$1+COUNTIF($AE12:AN12,$I$8),$I$8,"NG"))),"NG")</f>
        <v>#DIV/0!</v>
      </c>
      <c r="AP12" s="363" t="e">
        <f>IF($AB12&gt;=AP$8,IF($S12&gt;=$AE$1,IF($J12&gt;=$AE$1+COUNTIF($AE12:AO12,$J$8),$J$8,IF($D12&gt;=$AE$1+COUNTIF($AE12:AO12,$D$8),$D$8,IF($I12&gt;=$AE$1+COUNTIF($AE12:AO12,$I$8),$I$8,"NG"))),IF($J12&gt;=$AE$1+COUNTIF($AE12:AO12,$J$8),$J$8,IF($I12&gt;=$AE$1+COUNTIF($AE12:AO12,$I$8),$I$8,"NG"))),"NG")</f>
        <v>#DIV/0!</v>
      </c>
      <c r="AQ12" s="363" t="e">
        <f>IF($AB12&gt;=AQ$8,IF($S12&gt;=$AE$1,IF($J12&gt;=$AE$1+COUNTIF($AE12:AP12,$J$8),$J$8,IF($D12&gt;=$AE$1+COUNTIF($AE12:AP12,$D$8),$D$8,IF($I12&gt;=$AE$1+COUNTIF($AE12:AP12,$I$8),$I$8,"NG"))),IF($J12&gt;=$AE$1+COUNTIF($AE12:AP12,$J$8),$J$8,IF($I12&gt;=$AE$1+COUNTIF($AE12:AP12,$I$8),$I$8,"NG"))),"NG")</f>
        <v>#DIV/0!</v>
      </c>
      <c r="AR12" s="363" t="str">
        <f>IF($AC12&gt;=AR$8,IF($J12&gt;=$AE$1+COUNTIF($AE12:AQ12,$J$8),$J$8,IF($I12&gt;=$AE$1+COUNTIF($AE12:AQ12,$I$8),$I$8,"NG")),"NG")</f>
        <v>NG</v>
      </c>
      <c r="AS12" s="363" t="str">
        <f>IF($AC12&gt;=AS$8,IF($J12&gt;=$AE$1+COUNTIF($AE12:AR12,$J$8),$J$8,IF($I12&gt;=$AE$1+COUNTIF($AE12:AR12,$I$8),$I$8,"NG")),"NG")</f>
        <v>NG</v>
      </c>
      <c r="AT12" s="363" t="e">
        <f>IF(AND(W12="OK",AE12="NG"),IF($N12&gt;=$AE$1+COUNTIF($AE12:AS12,$N$8),$N$8,IF($M12&gt;=$AE$1+COUNTIF($AE12:AS12,$M$8),$M$8,IF($L12&gt;=$AE$1+COUNTIF($AE12:AS12,$L$8),$L$8,"NG"))),"NG")</f>
        <v>#DIV/0!</v>
      </c>
      <c r="AU12" s="363" t="e">
        <f>IF(Z12="OK",IF($C12&gt;=$AE$1+COUNTIF($AE12:AT12,$C$8),$C$8,IF($D12&gt;=$AE$1+COUNTIF($AE12:AT12,$D$8),$D$8,IF($N12&gt;=$AE$1+COUNTIF($AE12:AT12,$N$8),$N$8,IF($I12&gt;=$AE$1+COUNTIF($AE12:AT12,$I$8),$I$8,IF($M12&gt;=$AE$1+COUNTIF($AE12:AT12,$M$8),$M$8,IF($L12&gt;=$AE$1+COUNTIF($AE12:AT12,$L$8),$L$8,"NG")))))),"NG")</f>
        <v>#DIV/0!</v>
      </c>
      <c r="AV12" s="363" t="e">
        <f>IF(AA12="OK",IF(COUNTIF($AE12:AU12,$L$8)+COUNTIF($AE12:AU12,$M$8)+COUNTIF($AE12:AU12,$N$8)&gt;=2,"NG",IF($C12&gt;=$AE$1+COUNTIF($AE12:AU12,$C$8),$C$8,IF($D12&gt;=$AE$1+COUNTIF($AE12:AU12,$D$8),$D$8,IF($N12&gt;=$AE$1+COUNTIF($AE12:AU12,$N$8),$N$8,IF($M12&gt;=$AE$1+COUNTIF($AE12:AU12,$M$8),$M$8,IF($I12&gt;=$AE$1+COUNTIF($AE12:AU12,$I$8),$I$8,IF($L12&gt;=$AE$1+COUNTIF($AE12:AU12,$L$8),$L$8,"NG"))))))),"NG")</f>
        <v>#DIV/0!</v>
      </c>
      <c r="AX12" s="363" t="e">
        <f t="shared" si="19"/>
        <v>#DIV/0!</v>
      </c>
      <c r="AY12" s="363">
        <f t="shared" si="20"/>
        <v>0</v>
      </c>
      <c r="AZ12" s="363">
        <f t="shared" si="21"/>
        <v>0</v>
      </c>
    </row>
    <row r="13" spans="1:52">
      <c r="A13" s="363" t="s">
        <v>126</v>
      </c>
      <c r="B13" s="363" t="e">
        <f>'④-1月別配置内訳書(2)-(2)-(A)'!AA13</f>
        <v>#DIV/0!</v>
      </c>
      <c r="C13" s="363" t="e">
        <f>'④-2月別配置内訳書(2)-(2)-(B)'!AF13</f>
        <v>#DIV/0!</v>
      </c>
      <c r="D13" s="363" t="e">
        <f>'④-3月別配置内訳書(2)-(2)-(C)・(D)'!V13</f>
        <v>#DIV/0!</v>
      </c>
      <c r="E13" s="364" t="e">
        <f>'④-3月別配置内訳書(2)-(2)-(C)・(D)'!AW13</f>
        <v>#DIV/0!</v>
      </c>
      <c r="F13" s="363" t="e">
        <f>'④-3月別配置内訳書(2)-(2)-(C)・(D)'!AX13</f>
        <v>#DIV/0!</v>
      </c>
      <c r="G13" s="363" t="e">
        <f>'④-４月別配置内訳書(2)-(2)-(E)'!V13</f>
        <v>#DIV/0!</v>
      </c>
      <c r="H13" s="363" t="e">
        <f t="shared" si="16"/>
        <v>#DIV/0!</v>
      </c>
      <c r="I13" s="363" t="e">
        <f>'④-1月別配置内訳書(2)-(2)-(A)'!AB13</f>
        <v>#DIV/0!</v>
      </c>
      <c r="J13" s="363" t="e">
        <f>'④-2月別配置内訳書(2)-(2)-(B)'!AG13</f>
        <v>#N/A</v>
      </c>
      <c r="K13" s="363" t="e">
        <f t="shared" si="7"/>
        <v>#N/A</v>
      </c>
      <c r="L13" s="363" t="e">
        <f>'④-3月別配置内訳書(2)-(2)-(C)・(D)'!AY13</f>
        <v>#N/A</v>
      </c>
      <c r="M13" s="363" t="e">
        <f>'④-3月別配置内訳書(2)-(2)-(C)・(D)'!AZ13</f>
        <v>#N/A</v>
      </c>
      <c r="N13" s="363" t="e">
        <f t="shared" si="8"/>
        <v>#DIV/0!</v>
      </c>
      <c r="O13" s="363" t="e">
        <f t="shared" si="9"/>
        <v>#DIV/0!</v>
      </c>
      <c r="P13" s="363" t="e">
        <f t="shared" si="10"/>
        <v>#DIV/0!</v>
      </c>
      <c r="R13" s="363" t="e">
        <f>①基本情報!J29</f>
        <v>#N/A</v>
      </c>
      <c r="S13" s="363" t="e">
        <f>①基本情報!J31</f>
        <v>#N/A</v>
      </c>
      <c r="T13" s="363">
        <f>SUM('③児童数及び職員定数 (2)-(1)'!C14:D14)</f>
        <v>0</v>
      </c>
      <c r="U13" s="363">
        <f t="shared" si="17"/>
        <v>0</v>
      </c>
      <c r="W13" s="363" t="e">
        <f t="shared" si="11"/>
        <v>#DIV/0!</v>
      </c>
      <c r="X13" s="363" t="e">
        <f t="shared" si="12"/>
        <v>#DIV/0!</v>
      </c>
      <c r="Y13" s="363" t="e">
        <f t="shared" si="12"/>
        <v>#DIV/0!</v>
      </c>
      <c r="Z13" s="363" t="e">
        <f t="shared" si="13"/>
        <v>#DIV/0!</v>
      </c>
      <c r="AA13" s="363" t="e">
        <f t="shared" si="14"/>
        <v>#DIV/0!</v>
      </c>
      <c r="AB13" s="363" t="e">
        <f t="shared" si="18"/>
        <v>#DIV/0!</v>
      </c>
      <c r="AC13" s="363">
        <f t="shared" si="22"/>
        <v>0</v>
      </c>
      <c r="AE13" s="363" t="e">
        <f t="shared" si="15"/>
        <v>#DIV/0!</v>
      </c>
      <c r="AF13" s="363" t="e">
        <f>IF(X13="OK",IF($J13&gt;=$AE$1+COUNTIF($AE13:AE13,$J$8),$J$8,IF($K13&gt;=$AE$1+COUNTIF($AE13:AE13,$K$8),$K$8,IF($I13&gt;=$AE$1+COUNTIF($AE13:AE13,$I$8),$I$8,"NG"))),"NG")</f>
        <v>#DIV/0!</v>
      </c>
      <c r="AG13" s="363" t="e">
        <f>IF(Y13="OK",IF($J13&gt;=$AE$1+COUNTIF($AE13:AF13,$J$8),$J$8,IF($K13&gt;=$AE$1+COUNTIF($AE13:AF13,$K$8),$K$8,IF($I13&gt;=$AE$1+COUNTIF($AE13:AF13,$I$8),$I$8,"NG"))),"NG")</f>
        <v>#DIV/0!</v>
      </c>
      <c r="AH13" s="363" t="e">
        <f>IF($AB13&gt;=AH$8,IF($S13&gt;=$AE$1,IF($J13&gt;=$AE$1+COUNTIF($AE13:AG13,$J$8),$J$8,IF($D13&gt;=$AE$1+COUNTIF($AE13:AG13,$D$8),$D$8,IF($I13&gt;=$AE$1+COUNTIF($AE13:AG13,$I$8),$I$8,"NG"))),IF($J13&gt;=$AE$1+COUNTIF($AE13:AG13,$J$8),$J$8,IF($I13&gt;=$AE$1+COUNTIF($AE13:AG13,$I$8),$I$8,"NG"))),"NG")</f>
        <v>#DIV/0!</v>
      </c>
      <c r="AI13" s="363" t="e">
        <f>IF($AB13&gt;=AI$8,IF($S13&gt;=$AE$1,IF($J13&gt;=$AE$1+COUNTIF($AE13:AH13,$J$8),$J$8,IF($D13&gt;=$AE$1+COUNTIF($AE13:AH13,$D$8),$D$8,IF($I13&gt;=$AE$1+COUNTIF($AE13:AH13,$I$8),$I$8,"NG"))),IF($J13&gt;=$AE$1+COUNTIF($AE13:AH13,$J$8),$J$8,IF($I13&gt;=$AE$1+COUNTIF($AE13:AH13,$I$8),$I$8,"NG"))),"NG")</f>
        <v>#DIV/0!</v>
      </c>
      <c r="AJ13" s="363" t="e">
        <f>IF($AB13&gt;=AJ$8,IF($S13&gt;=$AE$1,IF($J13&gt;=$AE$1+COUNTIF($AE13:AI13,$J$8),$J$8,IF($D13&gt;=$AE$1+COUNTIF($AE13:AI13,$D$8),$D$8,IF($I13&gt;=$AE$1+COUNTIF($AE13:AI13,$I$8),$I$8,"NG"))),IF($J13&gt;=$AE$1+COUNTIF($AE13:AI13,$J$8),$J$8,IF($I13&gt;=$AE$1+COUNTIF($AE13:AI13,$I$8),$I$8,"NG"))),"NG")</f>
        <v>#DIV/0!</v>
      </c>
      <c r="AK13" s="363" t="e">
        <f>IF($AB13&gt;=AK$8,IF($S13&gt;=$AE$1,IF($J13&gt;=$AE$1+COUNTIF($AE13:AJ13,$J$8),$J$8,IF($D13&gt;=$AE$1+COUNTIF($AE13:AJ13,$D$8),$D$8,IF($I13&gt;=$AE$1+COUNTIF($AE13:AJ13,$I$8),$I$8,"NG"))),IF($J13&gt;=$AE$1+COUNTIF($AE13:AJ13,$J$8),$J$8,IF($I13&gt;=$AE$1+COUNTIF($AE13:AJ13,$I$8),$I$8,"NG"))),"NG")</f>
        <v>#DIV/0!</v>
      </c>
      <c r="AL13" s="363" t="e">
        <f>IF($AB13&gt;=AL$8,IF($S13&gt;=$AE$1,IF($J13&gt;=$AE$1+COUNTIF($AE13:AK13,$J$8),$J$8,IF($D13&gt;=$AE$1+COUNTIF($AE13:AK13,$D$8),$D$8,IF($I13&gt;=$AE$1+COUNTIF($AE13:AK13,$I$8),$I$8,"NG"))),IF($J13&gt;=$AE$1+COUNTIF($AE13:AK13,$J$8),$J$8,IF($I13&gt;=$AE$1+COUNTIF($AE13:AK13,$I$8),$I$8,"NG"))),"NG")</f>
        <v>#DIV/0!</v>
      </c>
      <c r="AM13" s="363" t="e">
        <f>IF($AB13&gt;=AM$8,IF($S13&gt;=$AE$1,IF($J13&gt;=$AE$1+COUNTIF($AE13:AL13,$J$8),$J$8,IF($D13&gt;=$AE$1+COUNTIF($AE13:AL13,$D$8),$D$8,IF($I13&gt;=$AE$1+COUNTIF($AE13:AL13,$I$8),$I$8,"NG"))),IF($J13&gt;=$AE$1+COUNTIF($AE13:AL13,$J$8),$J$8,IF($I13&gt;=$AE$1+COUNTIF($AE13:AL13,$I$8),$I$8,"NG"))),"NG")</f>
        <v>#DIV/0!</v>
      </c>
      <c r="AN13" s="363" t="e">
        <f>IF($AB13&gt;=AN$8,IF($S13&gt;=$AE$1,IF($J13&gt;=$AE$1+COUNTIF($AE13:AM13,$J$8),$J$8,IF($D13&gt;=$AE$1+COUNTIF($AE13:AM13,$D$8),$D$8,IF($I13&gt;=$AE$1+COUNTIF($AE13:AM13,$I$8),$I$8,"NG"))),IF($J13&gt;=$AE$1+COUNTIF($AE13:AM13,$J$8),$J$8,IF($I13&gt;=$AE$1+COUNTIF($AE13:AM13,$I$8),$I$8,"NG"))),"NG")</f>
        <v>#DIV/0!</v>
      </c>
      <c r="AO13" s="363" t="e">
        <f>IF($AB13&gt;=AO$8,IF($S13&gt;=$AE$1,IF($J13&gt;=$AE$1+COUNTIF($AE13:AN13,$J$8),$J$8,IF($D13&gt;=$AE$1+COUNTIF($AE13:AN13,$D$8),$D$8,IF($I13&gt;=$AE$1+COUNTIF($AE13:AN13,$I$8),$I$8,"NG"))),IF($J13&gt;=$AE$1+COUNTIF($AE13:AN13,$J$8),$J$8,IF($I13&gt;=$AE$1+COUNTIF($AE13:AN13,$I$8),$I$8,"NG"))),"NG")</f>
        <v>#DIV/0!</v>
      </c>
      <c r="AP13" s="363" t="e">
        <f>IF($AB13&gt;=AP$8,IF($S13&gt;=$AE$1,IF($J13&gt;=$AE$1+COUNTIF($AE13:AO13,$J$8),$J$8,IF($D13&gt;=$AE$1+COUNTIF($AE13:AO13,$D$8),$D$8,IF($I13&gt;=$AE$1+COUNTIF($AE13:AO13,$I$8),$I$8,"NG"))),IF($J13&gt;=$AE$1+COUNTIF($AE13:AO13,$J$8),$J$8,IF($I13&gt;=$AE$1+COUNTIF($AE13:AO13,$I$8),$I$8,"NG"))),"NG")</f>
        <v>#DIV/0!</v>
      </c>
      <c r="AQ13" s="363" t="e">
        <f>IF($AB13&gt;=AQ$8,IF($S13&gt;=$AE$1,IF($J13&gt;=$AE$1+COUNTIF($AE13:AP13,$J$8),$J$8,IF($D13&gt;=$AE$1+COUNTIF($AE13:AP13,$D$8),$D$8,IF($I13&gt;=$AE$1+COUNTIF($AE13:AP13,$I$8),$I$8,"NG"))),IF($J13&gt;=$AE$1+COUNTIF($AE13:AP13,$J$8),$J$8,IF($I13&gt;=$AE$1+COUNTIF($AE13:AP13,$I$8),$I$8,"NG"))),"NG")</f>
        <v>#DIV/0!</v>
      </c>
      <c r="AR13" s="363" t="str">
        <f>IF($AC13&gt;=AR$8,IF($J13&gt;=$AE$1+COUNTIF($AE13:AQ13,$J$8),$J$8,IF($I13&gt;=$AE$1+COUNTIF($AE13:AQ13,$I$8),$I$8,"NG")),"NG")</f>
        <v>NG</v>
      </c>
      <c r="AS13" s="363" t="str">
        <f>IF($AC13&gt;=AS$8,IF($J13&gt;=$AE$1+COUNTIF($AE13:AR13,$J$8),$J$8,IF($I13&gt;=$AE$1+COUNTIF($AE13:AR13,$I$8),$I$8,"NG")),"NG")</f>
        <v>NG</v>
      </c>
      <c r="AT13" s="363" t="e">
        <f>IF(AND(W13="OK",AE13="NG"),IF($N13&gt;=$AE$1+COUNTIF($AE13:AS13,$N$8),$N$8,IF($M13&gt;=$AE$1+COUNTIF($AE13:AS13,$M$8),$M$8,IF($L13&gt;=$AE$1+COUNTIF($AE13:AS13,$L$8),$L$8,"NG"))),"NG")</f>
        <v>#DIV/0!</v>
      </c>
      <c r="AU13" s="363" t="e">
        <f>IF(Z13="OK",IF($C13&gt;=$AE$1+COUNTIF($AE13:AT13,$C$8),$C$8,IF($D13&gt;=$AE$1+COUNTIF($AE13:AT13,$D$8),$D$8,IF($N13&gt;=$AE$1+COUNTIF($AE13:AT13,$N$8),$N$8,IF($I13&gt;=$AE$1+COUNTIF($AE13:AT13,$I$8),$I$8,IF($M13&gt;=$AE$1+COUNTIF($AE13:AT13,$M$8),$M$8,IF($L13&gt;=$AE$1+COUNTIF($AE13:AT13,$L$8),$L$8,"NG")))))),"NG")</f>
        <v>#DIV/0!</v>
      </c>
      <c r="AV13" s="363" t="e">
        <f>IF(AA13="OK",IF(COUNTIF($AE13:AU13,$L$8)+COUNTIF($AE13:AU13,$M$8)+COUNTIF($AE13:AU13,$N$8)&gt;=2,"NG",IF($C13&gt;=$AE$1+COUNTIF($AE13:AU13,$C$8),$C$8,IF($D13&gt;=$AE$1+COUNTIF($AE13:AU13,$D$8),$D$8,IF($N13&gt;=$AE$1+COUNTIF($AE13:AU13,$N$8),$N$8,IF($M13&gt;=$AE$1+COUNTIF($AE13:AU13,$M$8),$M$8,IF($I13&gt;=$AE$1+COUNTIF($AE13:AU13,$I$8),$I$8,IF($L13&gt;=$AE$1+COUNTIF($AE13:AU13,$L$8),$L$8,"NG"))))))),"NG")</f>
        <v>#DIV/0!</v>
      </c>
      <c r="AX13" s="363" t="e">
        <f t="shared" si="19"/>
        <v>#DIV/0!</v>
      </c>
      <c r="AY13" s="363">
        <f t="shared" si="20"/>
        <v>0</v>
      </c>
      <c r="AZ13" s="363">
        <f t="shared" si="21"/>
        <v>0</v>
      </c>
    </row>
    <row r="14" spans="1:52">
      <c r="A14" s="363" t="s">
        <v>127</v>
      </c>
      <c r="B14" s="363" t="e">
        <f>'④-1月別配置内訳書(2)-(2)-(A)'!AA14</f>
        <v>#DIV/0!</v>
      </c>
      <c r="C14" s="363" t="e">
        <f>'④-2月別配置内訳書(2)-(2)-(B)'!AF14</f>
        <v>#DIV/0!</v>
      </c>
      <c r="D14" s="363" t="e">
        <f>'④-3月別配置内訳書(2)-(2)-(C)・(D)'!V14</f>
        <v>#DIV/0!</v>
      </c>
      <c r="E14" s="364" t="e">
        <f>'④-3月別配置内訳書(2)-(2)-(C)・(D)'!AW14</f>
        <v>#DIV/0!</v>
      </c>
      <c r="F14" s="363" t="e">
        <f>'④-3月別配置内訳書(2)-(2)-(C)・(D)'!AX14</f>
        <v>#DIV/0!</v>
      </c>
      <c r="G14" s="363" t="e">
        <f>'④-４月別配置内訳書(2)-(2)-(E)'!V14</f>
        <v>#DIV/0!</v>
      </c>
      <c r="H14" s="363" t="e">
        <f t="shared" si="16"/>
        <v>#DIV/0!</v>
      </c>
      <c r="I14" s="363" t="e">
        <f>'④-1月別配置内訳書(2)-(2)-(A)'!AB14</f>
        <v>#DIV/0!</v>
      </c>
      <c r="J14" s="363" t="e">
        <f>'④-2月別配置内訳書(2)-(2)-(B)'!AG14</f>
        <v>#N/A</v>
      </c>
      <c r="K14" s="363" t="e">
        <f t="shared" si="7"/>
        <v>#N/A</v>
      </c>
      <c r="L14" s="363" t="e">
        <f>'④-3月別配置内訳書(2)-(2)-(C)・(D)'!AY14</f>
        <v>#N/A</v>
      </c>
      <c r="M14" s="363" t="e">
        <f>'④-3月別配置内訳書(2)-(2)-(C)・(D)'!AZ14</f>
        <v>#N/A</v>
      </c>
      <c r="N14" s="363" t="e">
        <f t="shared" si="8"/>
        <v>#DIV/0!</v>
      </c>
      <c r="O14" s="363" t="e">
        <f t="shared" si="9"/>
        <v>#DIV/0!</v>
      </c>
      <c r="P14" s="363" t="e">
        <f t="shared" si="10"/>
        <v>#DIV/0!</v>
      </c>
      <c r="R14" s="363" t="e">
        <f>①基本情報!K29</f>
        <v>#N/A</v>
      </c>
      <c r="S14" s="363" t="e">
        <f>①基本情報!K31</f>
        <v>#N/A</v>
      </c>
      <c r="T14" s="363">
        <f>SUM('③児童数及び職員定数 (2)-(1)'!C15:D15)</f>
        <v>0</v>
      </c>
      <c r="U14" s="363">
        <f t="shared" si="17"/>
        <v>0</v>
      </c>
      <c r="W14" s="363" t="e">
        <f t="shared" si="11"/>
        <v>#DIV/0!</v>
      </c>
      <c r="X14" s="363" t="e">
        <f t="shared" si="12"/>
        <v>#DIV/0!</v>
      </c>
      <c r="Y14" s="363" t="e">
        <f t="shared" si="12"/>
        <v>#DIV/0!</v>
      </c>
      <c r="Z14" s="363" t="e">
        <f t="shared" si="13"/>
        <v>#DIV/0!</v>
      </c>
      <c r="AA14" s="363" t="e">
        <f t="shared" si="14"/>
        <v>#DIV/0!</v>
      </c>
      <c r="AB14" s="363" t="e">
        <f t="shared" si="18"/>
        <v>#DIV/0!</v>
      </c>
      <c r="AC14" s="363">
        <f t="shared" si="22"/>
        <v>0</v>
      </c>
      <c r="AE14" s="363" t="e">
        <f t="shared" si="15"/>
        <v>#DIV/0!</v>
      </c>
      <c r="AF14" s="363" t="e">
        <f>IF(X14="OK",IF($J14&gt;=$AE$1+COUNTIF($AE14:AE14,$J$8),$J$8,IF($K14&gt;=$AE$1+COUNTIF($AE14:AE14,$K$8),$K$8,IF($I14&gt;=$AE$1+COUNTIF($AE14:AE14,$I$8),$I$8,"NG"))),"NG")</f>
        <v>#DIV/0!</v>
      </c>
      <c r="AG14" s="363" t="e">
        <f>IF(Y14="OK",IF($J14&gt;=$AE$1+COUNTIF($AE14:AF14,$J$8),$J$8,IF($K14&gt;=$AE$1+COUNTIF($AE14:AF14,$K$8),$K$8,IF($I14&gt;=$AE$1+COUNTIF($AE14:AF14,$I$8),$I$8,"NG"))),"NG")</f>
        <v>#DIV/0!</v>
      </c>
      <c r="AH14" s="363" t="e">
        <f>IF($AB14&gt;=AH$8,IF($S14&gt;=$AE$1,IF($J14&gt;=$AE$1+COUNTIF($AE14:AG14,$J$8),$J$8,IF($D14&gt;=$AE$1+COUNTIF($AE14:AG14,$D$8),$D$8,IF($I14&gt;=$AE$1+COUNTIF($AE14:AG14,$I$8),$I$8,"NG"))),IF($J14&gt;=$AE$1+COUNTIF($AE14:AG14,$J$8),$J$8,IF($I14&gt;=$AE$1+COUNTIF($AE14:AG14,$I$8),$I$8,"NG"))),"NG")</f>
        <v>#DIV/0!</v>
      </c>
      <c r="AI14" s="363" t="e">
        <f>IF($AB14&gt;=AI$8,IF($S14&gt;=$AE$1,IF($J14&gt;=$AE$1+COUNTIF($AE14:AH14,$J$8),$J$8,IF($D14&gt;=$AE$1+COUNTIF($AE14:AH14,$D$8),$D$8,IF($I14&gt;=$AE$1+COUNTIF($AE14:AH14,$I$8),$I$8,"NG"))),IF($J14&gt;=$AE$1+COUNTIF($AE14:AH14,$J$8),$J$8,IF($I14&gt;=$AE$1+COUNTIF($AE14:AH14,$I$8),$I$8,"NG"))),"NG")</f>
        <v>#DIV/0!</v>
      </c>
      <c r="AJ14" s="363" t="e">
        <f>IF($AB14&gt;=AJ$8,IF($S14&gt;=$AE$1,IF($J14&gt;=$AE$1+COUNTIF($AE14:AI14,$J$8),$J$8,IF($D14&gt;=$AE$1+COUNTIF($AE14:AI14,$D$8),$D$8,IF($I14&gt;=$AE$1+COUNTIF($AE14:AI14,$I$8),$I$8,"NG"))),IF($J14&gt;=$AE$1+COUNTIF($AE14:AI14,$J$8),$J$8,IF($I14&gt;=$AE$1+COUNTIF($AE14:AI14,$I$8),$I$8,"NG"))),"NG")</f>
        <v>#DIV/0!</v>
      </c>
      <c r="AK14" s="363" t="e">
        <f>IF($AB14&gt;=AK$8,IF($S14&gt;=$AE$1,IF($J14&gt;=$AE$1+COUNTIF($AE14:AJ14,$J$8),$J$8,IF($D14&gt;=$AE$1+COUNTIF($AE14:AJ14,$D$8),$D$8,IF($I14&gt;=$AE$1+COUNTIF($AE14:AJ14,$I$8),$I$8,"NG"))),IF($J14&gt;=$AE$1+COUNTIF($AE14:AJ14,$J$8),$J$8,IF($I14&gt;=$AE$1+COUNTIF($AE14:AJ14,$I$8),$I$8,"NG"))),"NG")</f>
        <v>#DIV/0!</v>
      </c>
      <c r="AL14" s="363" t="e">
        <f>IF($AB14&gt;=AL$8,IF($S14&gt;=$AE$1,IF($J14&gt;=$AE$1+COUNTIF($AE14:AK14,$J$8),$J$8,IF($D14&gt;=$AE$1+COUNTIF($AE14:AK14,$D$8),$D$8,IF($I14&gt;=$AE$1+COUNTIF($AE14:AK14,$I$8),$I$8,"NG"))),IF($J14&gt;=$AE$1+COUNTIF($AE14:AK14,$J$8),$J$8,IF($I14&gt;=$AE$1+COUNTIF($AE14:AK14,$I$8),$I$8,"NG"))),"NG")</f>
        <v>#DIV/0!</v>
      </c>
      <c r="AM14" s="363" t="e">
        <f>IF($AB14&gt;=AM$8,IF($S14&gt;=$AE$1,IF($J14&gt;=$AE$1+COUNTIF($AE14:AL14,$J$8),$J$8,IF($D14&gt;=$AE$1+COUNTIF($AE14:AL14,$D$8),$D$8,IF($I14&gt;=$AE$1+COUNTIF($AE14:AL14,$I$8),$I$8,"NG"))),IF($J14&gt;=$AE$1+COUNTIF($AE14:AL14,$J$8),$J$8,IF($I14&gt;=$AE$1+COUNTIF($AE14:AL14,$I$8),$I$8,"NG"))),"NG")</f>
        <v>#DIV/0!</v>
      </c>
      <c r="AN14" s="363" t="e">
        <f>IF($AB14&gt;=AN$8,IF($S14&gt;=$AE$1,IF($J14&gt;=$AE$1+COUNTIF($AE14:AM14,$J$8),$J$8,IF($D14&gt;=$AE$1+COUNTIF($AE14:AM14,$D$8),$D$8,IF($I14&gt;=$AE$1+COUNTIF($AE14:AM14,$I$8),$I$8,"NG"))),IF($J14&gt;=$AE$1+COUNTIF($AE14:AM14,$J$8),$J$8,IF($I14&gt;=$AE$1+COUNTIF($AE14:AM14,$I$8),$I$8,"NG"))),"NG")</f>
        <v>#DIV/0!</v>
      </c>
      <c r="AO14" s="363" t="e">
        <f>IF($AB14&gt;=AO$8,IF($S14&gt;=$AE$1,IF($J14&gt;=$AE$1+COUNTIF($AE14:AN14,$J$8),$J$8,IF($D14&gt;=$AE$1+COUNTIF($AE14:AN14,$D$8),$D$8,IF($I14&gt;=$AE$1+COUNTIF($AE14:AN14,$I$8),$I$8,"NG"))),IF($J14&gt;=$AE$1+COUNTIF($AE14:AN14,$J$8),$J$8,IF($I14&gt;=$AE$1+COUNTIF($AE14:AN14,$I$8),$I$8,"NG"))),"NG")</f>
        <v>#DIV/0!</v>
      </c>
      <c r="AP14" s="363" t="e">
        <f>IF($AB14&gt;=AP$8,IF($S14&gt;=$AE$1,IF($J14&gt;=$AE$1+COUNTIF($AE14:AO14,$J$8),$J$8,IF($D14&gt;=$AE$1+COUNTIF($AE14:AO14,$D$8),$D$8,IF($I14&gt;=$AE$1+COUNTIF($AE14:AO14,$I$8),$I$8,"NG"))),IF($J14&gt;=$AE$1+COUNTIF($AE14:AO14,$J$8),$J$8,IF($I14&gt;=$AE$1+COUNTIF($AE14:AO14,$I$8),$I$8,"NG"))),"NG")</f>
        <v>#DIV/0!</v>
      </c>
      <c r="AQ14" s="363" t="e">
        <f>IF($AB14&gt;=AQ$8,IF($S14&gt;=$AE$1,IF($J14&gt;=$AE$1+COUNTIF($AE14:AP14,$J$8),$J$8,IF($D14&gt;=$AE$1+COUNTIF($AE14:AP14,$D$8),$D$8,IF($I14&gt;=$AE$1+COUNTIF($AE14:AP14,$I$8),$I$8,"NG"))),IF($J14&gt;=$AE$1+COUNTIF($AE14:AP14,$J$8),$J$8,IF($I14&gt;=$AE$1+COUNTIF($AE14:AP14,$I$8),$I$8,"NG"))),"NG")</f>
        <v>#DIV/0!</v>
      </c>
      <c r="AR14" s="363" t="str">
        <f>IF($AC14&gt;=AR$8,IF($J14&gt;=$AE$1+COUNTIF($AE14:AQ14,$J$8),$J$8,IF($I14&gt;=$AE$1+COUNTIF($AE14:AQ14,$I$8),$I$8,"NG")),"NG")</f>
        <v>NG</v>
      </c>
      <c r="AS14" s="363" t="str">
        <f>IF($AC14&gt;=AS$8,IF($J14&gt;=$AE$1+COUNTIF($AE14:AR14,$J$8),$J$8,IF($I14&gt;=$AE$1+COUNTIF($AE14:AR14,$I$8),$I$8,"NG")),"NG")</f>
        <v>NG</v>
      </c>
      <c r="AT14" s="363" t="e">
        <f>IF(AND(W14="OK",AE14="NG"),IF($N14&gt;=$AE$1+COUNTIF($AE14:AS14,$N$8),$N$8,IF($M14&gt;=$AE$1+COUNTIF($AE14:AS14,$M$8),$M$8,IF($L14&gt;=$AE$1+COUNTIF($AE14:AS14,$L$8),$L$8,"NG"))),"NG")</f>
        <v>#DIV/0!</v>
      </c>
      <c r="AU14" s="363" t="e">
        <f>IF(Z14="OK",IF($C14&gt;=$AE$1+COUNTIF($AE14:AT14,$C$8),$C$8,IF($D14&gt;=$AE$1+COUNTIF($AE14:AT14,$D$8),$D$8,IF($N14&gt;=$AE$1+COUNTIF($AE14:AT14,$N$8),$N$8,IF($I14&gt;=$AE$1+COUNTIF($AE14:AT14,$I$8),$I$8,IF($M14&gt;=$AE$1+COUNTIF($AE14:AT14,$M$8),$M$8,IF($L14&gt;=$AE$1+COUNTIF($AE14:AT14,$L$8),$L$8,"NG")))))),"NG")</f>
        <v>#DIV/0!</v>
      </c>
      <c r="AV14" s="363" t="e">
        <f>IF(AA14="OK",IF(COUNTIF($AE14:AU14,$L$8)+COUNTIF($AE14:AU14,$M$8)+COUNTIF($AE14:AU14,$N$8)&gt;=2,"NG",IF($C14&gt;=$AE$1+COUNTIF($AE14:AU14,$C$8),$C$8,IF($D14&gt;=$AE$1+COUNTIF($AE14:AU14,$D$8),$D$8,IF($N14&gt;=$AE$1+COUNTIF($AE14:AU14,$N$8),$N$8,IF($M14&gt;=$AE$1+COUNTIF($AE14:AU14,$M$8),$M$8,IF($I14&gt;=$AE$1+COUNTIF($AE14:AU14,$I$8),$I$8,IF($L14&gt;=$AE$1+COUNTIF($AE14:AU14,$L$8),$L$8,"NG"))))))),"NG")</f>
        <v>#DIV/0!</v>
      </c>
      <c r="AX14" s="363" t="e">
        <f t="shared" si="19"/>
        <v>#DIV/0!</v>
      </c>
      <c r="AY14" s="363">
        <f t="shared" si="20"/>
        <v>0</v>
      </c>
      <c r="AZ14" s="363">
        <f t="shared" si="21"/>
        <v>0</v>
      </c>
    </row>
    <row r="15" spans="1:52">
      <c r="A15" s="363" t="s">
        <v>128</v>
      </c>
      <c r="B15" s="363" t="e">
        <f>'④-1月別配置内訳書(2)-(2)-(A)'!AA15</f>
        <v>#DIV/0!</v>
      </c>
      <c r="C15" s="363" t="e">
        <f>'④-2月別配置内訳書(2)-(2)-(B)'!AF15</f>
        <v>#DIV/0!</v>
      </c>
      <c r="D15" s="363" t="e">
        <f>'④-3月別配置内訳書(2)-(2)-(C)・(D)'!V15</f>
        <v>#DIV/0!</v>
      </c>
      <c r="E15" s="364" t="e">
        <f>'④-3月別配置内訳書(2)-(2)-(C)・(D)'!AW15</f>
        <v>#DIV/0!</v>
      </c>
      <c r="F15" s="363" t="e">
        <f>'④-3月別配置内訳書(2)-(2)-(C)・(D)'!AX15</f>
        <v>#DIV/0!</v>
      </c>
      <c r="G15" s="363" t="e">
        <f>'④-４月別配置内訳書(2)-(2)-(E)'!V15</f>
        <v>#DIV/0!</v>
      </c>
      <c r="H15" s="363" t="e">
        <f t="shared" ref="H15:H20" si="23">I15+J15+K15</f>
        <v>#DIV/0!</v>
      </c>
      <c r="I15" s="363" t="e">
        <f>'④-1月別配置内訳書(2)-(2)-(A)'!AB15</f>
        <v>#DIV/0!</v>
      </c>
      <c r="J15" s="363" t="e">
        <f>'④-2月別配置内訳書(2)-(2)-(B)'!AG15</f>
        <v>#N/A</v>
      </c>
      <c r="K15" s="363" t="e">
        <f t="shared" si="7"/>
        <v>#N/A</v>
      </c>
      <c r="L15" s="363" t="e">
        <f>'④-3月別配置内訳書(2)-(2)-(C)・(D)'!AY15</f>
        <v>#N/A</v>
      </c>
      <c r="M15" s="363" t="e">
        <f>'④-3月別配置内訳書(2)-(2)-(C)・(D)'!AZ15</f>
        <v>#N/A</v>
      </c>
      <c r="N15" s="363" t="e">
        <f t="shared" ref="N15:N20" si="24">G15</f>
        <v>#DIV/0!</v>
      </c>
      <c r="O15" s="363" t="e">
        <f t="shared" ref="O15:O20" si="25">C15-J15</f>
        <v>#DIV/0!</v>
      </c>
      <c r="P15" s="363" t="e">
        <f t="shared" ref="P15:P20" si="26">D15-K15</f>
        <v>#DIV/0!</v>
      </c>
      <c r="R15" s="365" t="e">
        <f>①基本情報!L29</f>
        <v>#N/A</v>
      </c>
      <c r="S15" s="365" t="e">
        <f>①基本情報!L31</f>
        <v>#N/A</v>
      </c>
      <c r="T15" s="363">
        <f>SUM('③児童数及び職員定数 (2)-(1)'!C16:D16)</f>
        <v>0</v>
      </c>
      <c r="U15" s="363">
        <f t="shared" ref="U15:U20" si="27">IF(T15&gt;=66,2,IF(T15&gt;=36,1,0))</f>
        <v>0</v>
      </c>
      <c r="W15" s="363" t="e">
        <f t="shared" si="11"/>
        <v>#DIV/0!</v>
      </c>
      <c r="X15" s="363" t="e">
        <f t="shared" si="12"/>
        <v>#DIV/0!</v>
      </c>
      <c r="Y15" s="363" t="e">
        <f t="shared" si="12"/>
        <v>#DIV/0!</v>
      </c>
      <c r="Z15" s="363" t="e">
        <f t="shared" si="13"/>
        <v>#DIV/0!</v>
      </c>
      <c r="AA15" s="363" t="e">
        <f t="shared" si="14"/>
        <v>#DIV/0!</v>
      </c>
      <c r="AB15" s="363" t="e">
        <f t="shared" si="18"/>
        <v>#DIV/0!</v>
      </c>
      <c r="AC15" s="363">
        <f t="shared" ref="AC15:AC20" si="28">IF(U15&gt;=1,MIN(ROUNDDOWN(SUM(I15:J15,O15)-COUNTIF($AF15:$AL15,$B$8)-COUNTIF($AF15:$AL15,$C$8),0),U15),0)</f>
        <v>0</v>
      </c>
      <c r="AE15" s="363" t="e">
        <f t="shared" ref="AE15:AE20" si="29">IF(W15="OK",IF($I15&gt;=$AE$1,I$8,IF($J15&gt;=$AE$1,J$8,IF($K15&gt;=$AE$1,K$8,"NG"))),"NG")</f>
        <v>#DIV/0!</v>
      </c>
      <c r="AF15" s="363" t="e">
        <f>IF(X15="OK",IF($J15&gt;=$AE$1+COUNTIF($AE15:AE15,$J$8),$J$8,IF($K15&gt;=$AE$1+COUNTIF($AE15:AE15,$K$8),$K$8,IF($I15&gt;=$AE$1+COUNTIF($AE15:AE15,$I$8),$I$8,"NG"))),"NG")</f>
        <v>#DIV/0!</v>
      </c>
      <c r="AG15" s="363" t="e">
        <f>IF(Y15="OK",IF($J15&gt;=$AE$1+COUNTIF($AE15:AF15,$J$8),$J$8,IF($K15&gt;=$AE$1+COUNTIF($AE15:AF15,$K$8),$K$8,IF($I15&gt;=$AE$1+COUNTIF($AE15:AF15,$I$8),$I$8,"NG"))),"NG")</f>
        <v>#DIV/0!</v>
      </c>
      <c r="AH15" s="363" t="e">
        <f>IF($AB15&gt;=AH$8,IF($S15&gt;=$AE$1,IF($J15&gt;=$AE$1+COUNTIF($AE15:AG15,$J$8),$J$8,IF($D15&gt;=$AE$1+COUNTIF($AE15:AG15,$D$8),$D$8,IF($I15&gt;=$AE$1+COUNTIF($AE15:AG15,$I$8),$I$8,"NG"))),IF($J15&gt;=$AE$1+COUNTIF($AE15:AG15,$J$8),$J$8,IF($I15&gt;=$AE$1+COUNTIF($AE15:AG15,$I$8),$I$8,"NG"))),"NG")</f>
        <v>#DIV/0!</v>
      </c>
      <c r="AI15" s="363" t="e">
        <f>IF($AB15&gt;=AI$8,IF($S15&gt;=$AE$1,IF($J15&gt;=$AE$1+COUNTIF($AE15:AH15,$J$8),$J$8,IF($D15&gt;=$AE$1+COUNTIF($AE15:AH15,$D$8),$D$8,IF($I15&gt;=$AE$1+COUNTIF($AE15:AH15,$I$8),$I$8,"NG"))),IF($J15&gt;=$AE$1+COUNTIF($AE15:AH15,$J$8),$J$8,IF($I15&gt;=$AE$1+COUNTIF($AE15:AH15,$I$8),$I$8,"NG"))),"NG")</f>
        <v>#DIV/0!</v>
      </c>
      <c r="AJ15" s="363" t="e">
        <f>IF($AB15&gt;=AJ$8,IF($S15&gt;=$AE$1,IF($J15&gt;=$AE$1+COUNTIF($AE15:AI15,$J$8),$J$8,IF($D15&gt;=$AE$1+COUNTIF($AE15:AI15,$D$8),$D$8,IF($I15&gt;=$AE$1+COUNTIF($AE15:AI15,$I$8),$I$8,"NG"))),IF($J15&gt;=$AE$1+COUNTIF($AE15:AI15,$J$8),$J$8,IF($I15&gt;=$AE$1+COUNTIF($AE15:AI15,$I$8),$I$8,"NG"))),"NG")</f>
        <v>#DIV/0!</v>
      </c>
      <c r="AK15" s="363" t="e">
        <f>IF($AB15&gt;=AK$8,IF($S15&gt;=$AE$1,IF($J15&gt;=$AE$1+COUNTIF($AE15:AJ15,$J$8),$J$8,IF($D15&gt;=$AE$1+COUNTIF($AE15:AJ15,$D$8),$D$8,IF($I15&gt;=$AE$1+COUNTIF($AE15:AJ15,$I$8),$I$8,"NG"))),IF($J15&gt;=$AE$1+COUNTIF($AE15:AJ15,$J$8),$J$8,IF($I15&gt;=$AE$1+COUNTIF($AE15:AJ15,$I$8),$I$8,"NG"))),"NG")</f>
        <v>#DIV/0!</v>
      </c>
      <c r="AL15" s="363" t="e">
        <f>IF($AB15&gt;=AL$8,IF($S15&gt;=$AE$1,IF($J15&gt;=$AE$1+COUNTIF($AE15:AK15,$J$8),$J$8,IF($D15&gt;=$AE$1+COUNTIF($AE15:AK15,$D$8),$D$8,IF($I15&gt;=$AE$1+COUNTIF($AE15:AK15,$I$8),$I$8,"NG"))),IF($J15&gt;=$AE$1+COUNTIF($AE15:AK15,$J$8),$J$8,IF($I15&gt;=$AE$1+COUNTIF($AE15:AK15,$I$8),$I$8,"NG"))),"NG")</f>
        <v>#DIV/0!</v>
      </c>
      <c r="AM15" s="363" t="e">
        <f>IF($AB15&gt;=AM$8,IF($S15&gt;=$AE$1,IF($J15&gt;=$AE$1+COUNTIF($AE15:AL15,$J$8),$J$8,IF($D15&gt;=$AE$1+COUNTIF($AE15:AL15,$D$8),$D$8,IF($I15&gt;=$AE$1+COUNTIF($AE15:AL15,$I$8),$I$8,"NG"))),IF($J15&gt;=$AE$1+COUNTIF($AE15:AL15,$J$8),$J$8,IF($I15&gt;=$AE$1+COUNTIF($AE15:AL15,$I$8),$I$8,"NG"))),"NG")</f>
        <v>#DIV/0!</v>
      </c>
      <c r="AN15" s="363" t="e">
        <f>IF($AB15&gt;=AN$8,IF($S15&gt;=$AE$1,IF($J15&gt;=$AE$1+COUNTIF($AE15:AM15,$J$8),$J$8,IF($D15&gt;=$AE$1+COUNTIF($AE15:AM15,$D$8),$D$8,IF($I15&gt;=$AE$1+COUNTIF($AE15:AM15,$I$8),$I$8,"NG"))),IF($J15&gt;=$AE$1+COUNTIF($AE15:AM15,$J$8),$J$8,IF($I15&gt;=$AE$1+COUNTIF($AE15:AM15,$I$8),$I$8,"NG"))),"NG")</f>
        <v>#DIV/0!</v>
      </c>
      <c r="AO15" s="363" t="e">
        <f>IF($AB15&gt;=AO$8,IF($S15&gt;=$AE$1,IF($J15&gt;=$AE$1+COUNTIF($AE15:AN15,$J$8),$J$8,IF($D15&gt;=$AE$1+COUNTIF($AE15:AN15,$D$8),$D$8,IF($I15&gt;=$AE$1+COUNTIF($AE15:AN15,$I$8),$I$8,"NG"))),IF($J15&gt;=$AE$1+COUNTIF($AE15:AN15,$J$8),$J$8,IF($I15&gt;=$AE$1+COUNTIF($AE15:AN15,$I$8),$I$8,"NG"))),"NG")</f>
        <v>#DIV/0!</v>
      </c>
      <c r="AP15" s="363" t="e">
        <f>IF($AB15&gt;=AP$8,IF($S15&gt;=$AE$1,IF($J15&gt;=$AE$1+COUNTIF($AE15:AO15,$J$8),$J$8,IF($D15&gt;=$AE$1+COUNTIF($AE15:AO15,$D$8),$D$8,IF($I15&gt;=$AE$1+COUNTIF($AE15:AO15,$I$8),$I$8,"NG"))),IF($J15&gt;=$AE$1+COUNTIF($AE15:AO15,$J$8),$J$8,IF($I15&gt;=$AE$1+COUNTIF($AE15:AO15,$I$8),$I$8,"NG"))),"NG")</f>
        <v>#DIV/0!</v>
      </c>
      <c r="AQ15" s="363" t="e">
        <f>IF($AB15&gt;=AQ$8,IF($S15&gt;=$AE$1,IF($J15&gt;=$AE$1+COUNTIF($AE15:AP15,$J$8),$J$8,IF($D15&gt;=$AE$1+COUNTIF($AE15:AP15,$D$8),$D$8,IF($I15&gt;=$AE$1+COUNTIF($AE15:AP15,$I$8),$I$8,"NG"))),IF($J15&gt;=$AE$1+COUNTIF($AE15:AP15,$J$8),$J$8,IF($I15&gt;=$AE$1+COUNTIF($AE15:AP15,$I$8),$I$8,"NG"))),"NG")</f>
        <v>#DIV/0!</v>
      </c>
      <c r="AR15" s="363" t="str">
        <f>IF($AC15&gt;=AR$8,IF($J15&gt;=$AE$1+COUNTIF($AE15:AQ15,$J$8),$J$8,IF($I15&gt;=$AE$1+COUNTIF($AE15:AQ15,$I$8),$I$8,"NG")),"NG")</f>
        <v>NG</v>
      </c>
      <c r="AS15" s="363" t="str">
        <f>IF($AC15&gt;=AS$8,IF($J15&gt;=$AE$1+COUNTIF($AE15:AR15,$J$8),$J$8,IF($I15&gt;=$AE$1+COUNTIF($AE15:AR15,$I$8),$I$8,"NG")),"NG")</f>
        <v>NG</v>
      </c>
      <c r="AT15" s="363" t="e">
        <f>IF(AND(W15="OK",AE15="NG"),IF($N15&gt;=$AE$1+COUNTIF($AE15:AS15,$N$8),$N$8,IF($M15&gt;=$AE$1+COUNTIF($AE15:AS15,$M$8),$M$8,IF($L15&gt;=$AE$1+COUNTIF($AE15:AS15,$L$8),$L$8,"NG"))),"NG")</f>
        <v>#DIV/0!</v>
      </c>
      <c r="AU15" s="363" t="e">
        <f>IF(Z15="OK",IF($C15&gt;=$AE$1+COUNTIF($AE15:AT15,$C$8),$C$8,IF($D15&gt;=$AE$1+COUNTIF($AE15:AT15,$D$8),$D$8,IF($N15&gt;=$AE$1+COUNTIF($AE15:AT15,$N$8),$N$8,IF($I15&gt;=$AE$1+COUNTIF($AE15:AT15,$I$8),$I$8,IF($M15&gt;=$AE$1+COUNTIF($AE15:AT15,$M$8),$M$8,IF($L15&gt;=$AE$1+COUNTIF($AE15:AT15,$L$8),$L$8,"NG")))))),"NG")</f>
        <v>#DIV/0!</v>
      </c>
      <c r="AV15" s="363" t="e">
        <f>IF(AA15="OK",IF(COUNTIF($AE15:AU15,$L$8)+COUNTIF($AE15:AU15,$M$8)+COUNTIF($AE15:AU15,$N$8)&gt;=2,"NG",IF($C15&gt;=$AE$1+COUNTIF($AE15:AU15,$C$8),$C$8,IF($D15&gt;=$AE$1+COUNTIF($AE15:AU15,$D$8),$D$8,IF($N15&gt;=$AE$1+COUNTIF($AE15:AU15,$N$8),$N$8,IF($M15&gt;=$AE$1+COUNTIF($AE15:AU15,$M$8),$M$8,IF($I15&gt;=$AE$1+COUNTIF($AE15:AU15,$I$8),$I$8,IF($L15&gt;=$AE$1+COUNTIF($AE15:AU15,$L$8),$L$8,"NG"))))))),"NG")</f>
        <v>#DIV/0!</v>
      </c>
      <c r="AX15" s="363" t="e">
        <f t="shared" ref="AX15:AX20" si="30">IF(AE15="NG",AT15,AE15)</f>
        <v>#DIV/0!</v>
      </c>
      <c r="AY15" s="363">
        <f t="shared" si="20"/>
        <v>0</v>
      </c>
      <c r="AZ15" s="363">
        <f t="shared" si="21"/>
        <v>0</v>
      </c>
    </row>
    <row r="16" spans="1:52">
      <c r="A16" s="363" t="s">
        <v>129</v>
      </c>
      <c r="B16" s="363" t="e">
        <f>'④-1月別配置内訳書(2)-(2)-(A)'!AA16</f>
        <v>#DIV/0!</v>
      </c>
      <c r="C16" s="363" t="e">
        <f>'④-2月別配置内訳書(2)-(2)-(B)'!AF16</f>
        <v>#DIV/0!</v>
      </c>
      <c r="D16" s="363" t="e">
        <f>'④-3月別配置内訳書(2)-(2)-(C)・(D)'!V16</f>
        <v>#DIV/0!</v>
      </c>
      <c r="E16" s="364" t="e">
        <f>'④-3月別配置内訳書(2)-(2)-(C)・(D)'!AW16</f>
        <v>#DIV/0!</v>
      </c>
      <c r="F16" s="363" t="e">
        <f>'④-3月別配置内訳書(2)-(2)-(C)・(D)'!AX16</f>
        <v>#DIV/0!</v>
      </c>
      <c r="G16" s="363" t="e">
        <f>'④-４月別配置内訳書(2)-(2)-(E)'!V16</f>
        <v>#DIV/0!</v>
      </c>
      <c r="H16" s="363" t="e">
        <f t="shared" si="23"/>
        <v>#DIV/0!</v>
      </c>
      <c r="I16" s="363" t="e">
        <f>'④-1月別配置内訳書(2)-(2)-(A)'!AB16</f>
        <v>#DIV/0!</v>
      </c>
      <c r="J16" s="363" t="e">
        <f>'④-2月別配置内訳書(2)-(2)-(B)'!AG16</f>
        <v>#N/A</v>
      </c>
      <c r="K16" s="363" t="e">
        <f t="shared" si="7"/>
        <v>#N/A</v>
      </c>
      <c r="L16" s="363" t="e">
        <f>'④-3月別配置内訳書(2)-(2)-(C)・(D)'!AY16</f>
        <v>#N/A</v>
      </c>
      <c r="M16" s="363" t="e">
        <f>'④-3月別配置内訳書(2)-(2)-(C)・(D)'!AZ16</f>
        <v>#N/A</v>
      </c>
      <c r="N16" s="363" t="e">
        <f t="shared" si="24"/>
        <v>#DIV/0!</v>
      </c>
      <c r="O16" s="363" t="e">
        <f t="shared" si="25"/>
        <v>#DIV/0!</v>
      </c>
      <c r="P16" s="363" t="e">
        <f t="shared" si="26"/>
        <v>#DIV/0!</v>
      </c>
      <c r="R16" s="365" t="e">
        <f>①基本情報!M29</f>
        <v>#N/A</v>
      </c>
      <c r="S16" s="365" t="e">
        <f>①基本情報!M31</f>
        <v>#N/A</v>
      </c>
      <c r="T16" s="363">
        <f>SUM('③児童数及び職員定数 (2)-(1)'!C17:D17)</f>
        <v>0</v>
      </c>
      <c r="U16" s="363">
        <f t="shared" si="27"/>
        <v>0</v>
      </c>
      <c r="W16" s="363" t="e">
        <f t="shared" si="11"/>
        <v>#DIV/0!</v>
      </c>
      <c r="X16" s="363" t="e">
        <f t="shared" si="12"/>
        <v>#DIV/0!</v>
      </c>
      <c r="Y16" s="363" t="e">
        <f t="shared" si="12"/>
        <v>#DIV/0!</v>
      </c>
      <c r="Z16" s="363" t="e">
        <f t="shared" si="13"/>
        <v>#DIV/0!</v>
      </c>
      <c r="AA16" s="363" t="e">
        <f t="shared" si="14"/>
        <v>#DIV/0!</v>
      </c>
      <c r="AB16" s="363" t="e">
        <f t="shared" si="18"/>
        <v>#DIV/0!</v>
      </c>
      <c r="AC16" s="363">
        <f t="shared" si="28"/>
        <v>0</v>
      </c>
      <c r="AE16" s="363" t="e">
        <f t="shared" si="29"/>
        <v>#DIV/0!</v>
      </c>
      <c r="AF16" s="363" t="e">
        <f>IF(X16="OK",IF($J16&gt;=$AE$1+COUNTIF($AE16:AE16,$J$8),$J$8,IF($K16&gt;=$AE$1+COUNTIF($AE16:AE16,$K$8),$K$8,IF($I16&gt;=$AE$1+COUNTIF($AE16:AE16,$I$8),$I$8,"NG"))),"NG")</f>
        <v>#DIV/0!</v>
      </c>
      <c r="AG16" s="363" t="e">
        <f>IF(Y16="OK",IF($J16&gt;=$AE$1+COUNTIF($AE16:AF16,$J$8),$J$8,IF($K16&gt;=$AE$1+COUNTIF($AE16:AF16,$K$8),$K$8,IF($I16&gt;=$AE$1+COUNTIF($AE16:AF16,$I$8),$I$8,"NG"))),"NG")</f>
        <v>#DIV/0!</v>
      </c>
      <c r="AH16" s="363" t="e">
        <f>IF($AB16&gt;=AH$8,IF($S16&gt;=$AE$1,IF($J16&gt;=$AE$1+COUNTIF($AE16:AG16,$J$8),$J$8,IF($D16&gt;=$AE$1+COUNTIF($AE16:AG16,$D$8),$D$8,IF($I16&gt;=$AE$1+COUNTIF($AE16:AG16,$I$8),$I$8,"NG"))),IF($J16&gt;=$AE$1+COUNTIF($AE16:AG16,$J$8),$J$8,IF($I16&gt;=$AE$1+COUNTIF($AE16:AG16,$I$8),$I$8,"NG"))),"NG")</f>
        <v>#DIV/0!</v>
      </c>
      <c r="AI16" s="363" t="e">
        <f>IF($AB16&gt;=AI$8,IF($S16&gt;=$AE$1,IF($J16&gt;=$AE$1+COUNTIF($AE16:AH16,$J$8),$J$8,IF($D16&gt;=$AE$1+COUNTIF($AE16:AH16,$D$8),$D$8,IF($I16&gt;=$AE$1+COUNTIF($AE16:AH16,$I$8),$I$8,"NG"))),IF($J16&gt;=$AE$1+COUNTIF($AE16:AH16,$J$8),$J$8,IF($I16&gt;=$AE$1+COUNTIF($AE16:AH16,$I$8),$I$8,"NG"))),"NG")</f>
        <v>#DIV/0!</v>
      </c>
      <c r="AJ16" s="363" t="e">
        <f>IF($AB16&gt;=AJ$8,IF($S16&gt;=$AE$1,IF($J16&gt;=$AE$1+COUNTIF($AE16:AI16,$J$8),$J$8,IF($D16&gt;=$AE$1+COUNTIF($AE16:AI16,$D$8),$D$8,IF($I16&gt;=$AE$1+COUNTIF($AE16:AI16,$I$8),$I$8,"NG"))),IF($J16&gt;=$AE$1+COUNTIF($AE16:AI16,$J$8),$J$8,IF($I16&gt;=$AE$1+COUNTIF($AE16:AI16,$I$8),$I$8,"NG"))),"NG")</f>
        <v>#DIV/0!</v>
      </c>
      <c r="AK16" s="363" t="e">
        <f>IF($AB16&gt;=AK$8,IF($S16&gt;=$AE$1,IF($J16&gt;=$AE$1+COUNTIF($AE16:AJ16,$J$8),$J$8,IF($D16&gt;=$AE$1+COUNTIF($AE16:AJ16,$D$8),$D$8,IF($I16&gt;=$AE$1+COUNTIF($AE16:AJ16,$I$8),$I$8,"NG"))),IF($J16&gt;=$AE$1+COUNTIF($AE16:AJ16,$J$8),$J$8,IF($I16&gt;=$AE$1+COUNTIF($AE16:AJ16,$I$8),$I$8,"NG"))),"NG")</f>
        <v>#DIV/0!</v>
      </c>
      <c r="AL16" s="363" t="e">
        <f>IF($AB16&gt;=AL$8,IF($S16&gt;=$AE$1,IF($J16&gt;=$AE$1+COUNTIF($AE16:AK16,$J$8),$J$8,IF($D16&gt;=$AE$1+COUNTIF($AE16:AK16,$D$8),$D$8,IF($I16&gt;=$AE$1+COUNTIF($AE16:AK16,$I$8),$I$8,"NG"))),IF($J16&gt;=$AE$1+COUNTIF($AE16:AK16,$J$8),$J$8,IF($I16&gt;=$AE$1+COUNTIF($AE16:AK16,$I$8),$I$8,"NG"))),"NG")</f>
        <v>#DIV/0!</v>
      </c>
      <c r="AM16" s="363" t="e">
        <f>IF($AB16&gt;=AM$8,IF($S16&gt;=$AE$1,IF($J16&gt;=$AE$1+COUNTIF($AE16:AL16,$J$8),$J$8,IF($D16&gt;=$AE$1+COUNTIF($AE16:AL16,$D$8),$D$8,IF($I16&gt;=$AE$1+COUNTIF($AE16:AL16,$I$8),$I$8,"NG"))),IF($J16&gt;=$AE$1+COUNTIF($AE16:AL16,$J$8),$J$8,IF($I16&gt;=$AE$1+COUNTIF($AE16:AL16,$I$8),$I$8,"NG"))),"NG")</f>
        <v>#DIV/0!</v>
      </c>
      <c r="AN16" s="363" t="e">
        <f>IF($AB16&gt;=AN$8,IF($S16&gt;=$AE$1,IF($J16&gt;=$AE$1+COUNTIF($AE16:AM16,$J$8),$J$8,IF($D16&gt;=$AE$1+COUNTIF($AE16:AM16,$D$8),$D$8,IF($I16&gt;=$AE$1+COUNTIF($AE16:AM16,$I$8),$I$8,"NG"))),IF($J16&gt;=$AE$1+COUNTIF($AE16:AM16,$J$8),$J$8,IF($I16&gt;=$AE$1+COUNTIF($AE16:AM16,$I$8),$I$8,"NG"))),"NG")</f>
        <v>#DIV/0!</v>
      </c>
      <c r="AO16" s="363" t="e">
        <f>IF($AB16&gt;=AO$8,IF($S16&gt;=$AE$1,IF($J16&gt;=$AE$1+COUNTIF($AE16:AN16,$J$8),$J$8,IF($D16&gt;=$AE$1+COUNTIF($AE16:AN16,$D$8),$D$8,IF($I16&gt;=$AE$1+COUNTIF($AE16:AN16,$I$8),$I$8,"NG"))),IF($J16&gt;=$AE$1+COUNTIF($AE16:AN16,$J$8),$J$8,IF($I16&gt;=$AE$1+COUNTIF($AE16:AN16,$I$8),$I$8,"NG"))),"NG")</f>
        <v>#DIV/0!</v>
      </c>
      <c r="AP16" s="363" t="e">
        <f>IF($AB16&gt;=AP$8,IF($S16&gt;=$AE$1,IF($J16&gt;=$AE$1+COUNTIF($AE16:AO16,$J$8),$J$8,IF($D16&gt;=$AE$1+COUNTIF($AE16:AO16,$D$8),$D$8,IF($I16&gt;=$AE$1+COUNTIF($AE16:AO16,$I$8),$I$8,"NG"))),IF($J16&gt;=$AE$1+COUNTIF($AE16:AO16,$J$8),$J$8,IF($I16&gt;=$AE$1+COUNTIF($AE16:AO16,$I$8),$I$8,"NG"))),"NG")</f>
        <v>#DIV/0!</v>
      </c>
      <c r="AQ16" s="363" t="e">
        <f>IF($AB16&gt;=AQ$8,IF($S16&gt;=$AE$1,IF($J16&gt;=$AE$1+COUNTIF($AE16:AP16,$J$8),$J$8,IF($D16&gt;=$AE$1+COUNTIF($AE16:AP16,$D$8),$D$8,IF($I16&gt;=$AE$1+COUNTIF($AE16:AP16,$I$8),$I$8,"NG"))),IF($J16&gt;=$AE$1+COUNTIF($AE16:AP16,$J$8),$J$8,IF($I16&gt;=$AE$1+COUNTIF($AE16:AP16,$I$8),$I$8,"NG"))),"NG")</f>
        <v>#DIV/0!</v>
      </c>
      <c r="AR16" s="363" t="str">
        <f>IF($AC16&gt;=AR$8,IF($J16&gt;=$AE$1+COUNTIF($AE16:AQ16,$J$8),$J$8,IF($I16&gt;=$AE$1+COUNTIF($AE16:AQ16,$I$8),$I$8,"NG")),"NG")</f>
        <v>NG</v>
      </c>
      <c r="AS16" s="363" t="str">
        <f>IF($AC16&gt;=AS$8,IF($J16&gt;=$AE$1+COUNTIF($AE16:AR16,$J$8),$J$8,IF($I16&gt;=$AE$1+COUNTIF($AE16:AR16,$I$8),$I$8,"NG")),"NG")</f>
        <v>NG</v>
      </c>
      <c r="AT16" s="363" t="e">
        <f>IF(AND(W16="OK",AE16="NG"),IF($N16&gt;=$AE$1+COUNTIF($AE16:AS16,$N$8),$N$8,IF($M16&gt;=$AE$1+COUNTIF($AE16:AS16,$M$8),$M$8,IF($L16&gt;=$AE$1+COUNTIF($AE16:AS16,$L$8),$L$8,"NG"))),"NG")</f>
        <v>#DIV/0!</v>
      </c>
      <c r="AU16" s="363" t="e">
        <f>IF(Z16="OK",IF($C16&gt;=$AE$1+COUNTIF($AE16:AT16,$C$8),$C$8,IF($D16&gt;=$AE$1+COUNTIF($AE16:AT16,$D$8),$D$8,IF($N16&gt;=$AE$1+COUNTIF($AE16:AT16,$N$8),$N$8,IF($I16&gt;=$AE$1+COUNTIF($AE16:AT16,$I$8),$I$8,IF($M16&gt;=$AE$1+COUNTIF($AE16:AT16,$M$8),$M$8,IF($L16&gt;=$AE$1+COUNTIF($AE16:AT16,$L$8),$L$8,"NG")))))),"NG")</f>
        <v>#DIV/0!</v>
      </c>
      <c r="AV16" s="363" t="e">
        <f>IF(AA16="OK",IF(COUNTIF($AE16:AU16,$L$8)+COUNTIF($AE16:AU16,$M$8)+COUNTIF($AE16:AU16,$N$8)&gt;=2,"NG",IF($C16&gt;=$AE$1+COUNTIF($AE16:AU16,$C$8),$C$8,IF($D16&gt;=$AE$1+COUNTIF($AE16:AU16,$D$8),$D$8,IF($N16&gt;=$AE$1+COUNTIF($AE16:AU16,$N$8),$N$8,IF($M16&gt;=$AE$1+COUNTIF($AE16:AU16,$M$8),$M$8,IF($I16&gt;=$AE$1+COUNTIF($AE16:AU16,$I$8),$I$8,IF($L16&gt;=$AE$1+COUNTIF($AE16:AU16,$L$8),$L$8,"NG"))))))),"NG")</f>
        <v>#DIV/0!</v>
      </c>
      <c r="AX16" s="363" t="e">
        <f t="shared" si="30"/>
        <v>#DIV/0!</v>
      </c>
      <c r="AY16" s="363">
        <f t="shared" si="20"/>
        <v>0</v>
      </c>
      <c r="AZ16" s="363">
        <f t="shared" si="21"/>
        <v>0</v>
      </c>
    </row>
    <row r="17" spans="1:52">
      <c r="A17" s="363" t="s">
        <v>130</v>
      </c>
      <c r="B17" s="363" t="e">
        <f>'④-1月別配置内訳書(2)-(2)-(A)'!AA17</f>
        <v>#DIV/0!</v>
      </c>
      <c r="C17" s="363" t="e">
        <f>'④-2月別配置内訳書(2)-(2)-(B)'!AF17</f>
        <v>#DIV/0!</v>
      </c>
      <c r="D17" s="363" t="e">
        <f>'④-3月別配置内訳書(2)-(2)-(C)・(D)'!V17</f>
        <v>#DIV/0!</v>
      </c>
      <c r="E17" s="364" t="e">
        <f>'④-3月別配置内訳書(2)-(2)-(C)・(D)'!AW17</f>
        <v>#DIV/0!</v>
      </c>
      <c r="F17" s="363" t="e">
        <f>'④-3月別配置内訳書(2)-(2)-(C)・(D)'!AX17</f>
        <v>#DIV/0!</v>
      </c>
      <c r="G17" s="363" t="e">
        <f>'④-４月別配置内訳書(2)-(2)-(E)'!V17</f>
        <v>#DIV/0!</v>
      </c>
      <c r="H17" s="363" t="e">
        <f t="shared" si="23"/>
        <v>#DIV/0!</v>
      </c>
      <c r="I17" s="363" t="e">
        <f>'④-1月別配置内訳書(2)-(2)-(A)'!AB17</f>
        <v>#DIV/0!</v>
      </c>
      <c r="J17" s="363" t="e">
        <f>'④-2月別配置内訳書(2)-(2)-(B)'!AG17</f>
        <v>#N/A</v>
      </c>
      <c r="K17" s="363" t="e">
        <f t="shared" si="7"/>
        <v>#N/A</v>
      </c>
      <c r="L17" s="363" t="e">
        <f>'④-3月別配置内訳書(2)-(2)-(C)・(D)'!AY17</f>
        <v>#N/A</v>
      </c>
      <c r="M17" s="363" t="e">
        <f>'④-3月別配置内訳書(2)-(2)-(C)・(D)'!AZ17</f>
        <v>#N/A</v>
      </c>
      <c r="N17" s="363" t="e">
        <f t="shared" si="24"/>
        <v>#DIV/0!</v>
      </c>
      <c r="O17" s="363" t="e">
        <f t="shared" si="25"/>
        <v>#DIV/0!</v>
      </c>
      <c r="P17" s="363" t="e">
        <f t="shared" si="26"/>
        <v>#DIV/0!</v>
      </c>
      <c r="R17" s="365" t="e">
        <f>①基本情報!N29</f>
        <v>#N/A</v>
      </c>
      <c r="S17" s="365" t="e">
        <f>①基本情報!N31</f>
        <v>#N/A</v>
      </c>
      <c r="T17" s="363">
        <f>SUM('③児童数及び職員定数 (2)-(1)'!C18:D18)</f>
        <v>0</v>
      </c>
      <c r="U17" s="363">
        <f t="shared" si="27"/>
        <v>0</v>
      </c>
      <c r="W17" s="363" t="e">
        <f t="shared" si="11"/>
        <v>#DIV/0!</v>
      </c>
      <c r="X17" s="363" t="e">
        <f t="shared" si="12"/>
        <v>#DIV/0!</v>
      </c>
      <c r="Y17" s="363" t="e">
        <f t="shared" si="12"/>
        <v>#DIV/0!</v>
      </c>
      <c r="Z17" s="363" t="e">
        <f t="shared" si="13"/>
        <v>#DIV/0!</v>
      </c>
      <c r="AA17" s="363" t="e">
        <f t="shared" si="14"/>
        <v>#DIV/0!</v>
      </c>
      <c r="AB17" s="363" t="e">
        <f t="shared" si="18"/>
        <v>#DIV/0!</v>
      </c>
      <c r="AC17" s="363">
        <f t="shared" si="28"/>
        <v>0</v>
      </c>
      <c r="AE17" s="363" t="e">
        <f t="shared" si="29"/>
        <v>#DIV/0!</v>
      </c>
      <c r="AF17" s="363" t="e">
        <f>IF(X17="OK",IF($J17&gt;=$AE$1+COUNTIF($AE17:AE17,$J$8),$J$8,IF($K17&gt;=$AE$1+COUNTIF($AE17:AE17,$K$8),$K$8,IF($I17&gt;=$AE$1+COUNTIF($AE17:AE17,$I$8),$I$8,"NG"))),"NG")</f>
        <v>#DIV/0!</v>
      </c>
      <c r="AG17" s="363" t="e">
        <f>IF(Y17="OK",IF($J17&gt;=$AE$1+COUNTIF($AE17:AF17,$J$8),$J$8,IF($K17&gt;=$AE$1+COUNTIF($AE17:AF17,$K$8),$K$8,IF($I17&gt;=$AE$1+COUNTIF($AE17:AF17,$I$8),$I$8,"NG"))),"NG")</f>
        <v>#DIV/0!</v>
      </c>
      <c r="AH17" s="363" t="e">
        <f>IF($AB17&gt;=AH$8,IF($S17&gt;=$AE$1,IF($J17&gt;=$AE$1+COUNTIF($AE17:AG17,$J$8),$J$8,IF($D17&gt;=$AE$1+COUNTIF($AE17:AG17,$D$8),$D$8,IF($I17&gt;=$AE$1+COUNTIF($AE17:AG17,$I$8),$I$8,"NG"))),IF($J17&gt;=$AE$1+COUNTIF($AE17:AG17,$J$8),$J$8,IF($I17&gt;=$AE$1+COUNTIF($AE17:AG17,$I$8),$I$8,"NG"))),"NG")</f>
        <v>#DIV/0!</v>
      </c>
      <c r="AI17" s="363" t="e">
        <f>IF($AB17&gt;=AI$8,IF($S17&gt;=$AE$1,IF($J17&gt;=$AE$1+COUNTIF($AE17:AH17,$J$8),$J$8,IF($D17&gt;=$AE$1+COUNTIF($AE17:AH17,$D$8),$D$8,IF($I17&gt;=$AE$1+COUNTIF($AE17:AH17,$I$8),$I$8,"NG"))),IF($J17&gt;=$AE$1+COUNTIF($AE17:AH17,$J$8),$J$8,IF($I17&gt;=$AE$1+COUNTIF($AE17:AH17,$I$8),$I$8,"NG"))),"NG")</f>
        <v>#DIV/0!</v>
      </c>
      <c r="AJ17" s="363" t="e">
        <f>IF($AB17&gt;=AJ$8,IF($S17&gt;=$AE$1,IF($J17&gt;=$AE$1+COUNTIF($AE17:AI17,$J$8),$J$8,IF($D17&gt;=$AE$1+COUNTIF($AE17:AI17,$D$8),$D$8,IF($I17&gt;=$AE$1+COUNTIF($AE17:AI17,$I$8),$I$8,"NG"))),IF($J17&gt;=$AE$1+COUNTIF($AE17:AI17,$J$8),$J$8,IF($I17&gt;=$AE$1+COUNTIF($AE17:AI17,$I$8),$I$8,"NG"))),"NG")</f>
        <v>#DIV/0!</v>
      </c>
      <c r="AK17" s="363" t="e">
        <f>IF($AB17&gt;=AK$8,IF($S17&gt;=$AE$1,IF($J17&gt;=$AE$1+COUNTIF($AE17:AJ17,$J$8),$J$8,IF($D17&gt;=$AE$1+COUNTIF($AE17:AJ17,$D$8),$D$8,IF($I17&gt;=$AE$1+COUNTIF($AE17:AJ17,$I$8),$I$8,"NG"))),IF($J17&gt;=$AE$1+COUNTIF($AE17:AJ17,$J$8),$J$8,IF($I17&gt;=$AE$1+COUNTIF($AE17:AJ17,$I$8),$I$8,"NG"))),"NG")</f>
        <v>#DIV/0!</v>
      </c>
      <c r="AL17" s="363" t="e">
        <f>IF($AB17&gt;=AL$8,IF($S17&gt;=$AE$1,IF($J17&gt;=$AE$1+COUNTIF($AE17:AK17,$J$8),$J$8,IF($D17&gt;=$AE$1+COUNTIF($AE17:AK17,$D$8),$D$8,IF($I17&gt;=$AE$1+COUNTIF($AE17:AK17,$I$8),$I$8,"NG"))),IF($J17&gt;=$AE$1+COUNTIF($AE17:AK17,$J$8),$J$8,IF($I17&gt;=$AE$1+COUNTIF($AE17:AK17,$I$8),$I$8,"NG"))),"NG")</f>
        <v>#DIV/0!</v>
      </c>
      <c r="AM17" s="363" t="e">
        <f>IF($AB17&gt;=AM$8,IF($S17&gt;=$AE$1,IF($J17&gt;=$AE$1+COUNTIF($AE17:AL17,$J$8),$J$8,IF($D17&gt;=$AE$1+COUNTIF($AE17:AL17,$D$8),$D$8,IF($I17&gt;=$AE$1+COUNTIF($AE17:AL17,$I$8),$I$8,"NG"))),IF($J17&gt;=$AE$1+COUNTIF($AE17:AL17,$J$8),$J$8,IF($I17&gt;=$AE$1+COUNTIF($AE17:AL17,$I$8),$I$8,"NG"))),"NG")</f>
        <v>#DIV/0!</v>
      </c>
      <c r="AN17" s="363" t="e">
        <f>IF($AB17&gt;=AN$8,IF($S17&gt;=$AE$1,IF($J17&gt;=$AE$1+COUNTIF($AE17:AM17,$J$8),$J$8,IF($D17&gt;=$AE$1+COUNTIF($AE17:AM17,$D$8),$D$8,IF($I17&gt;=$AE$1+COUNTIF($AE17:AM17,$I$8),$I$8,"NG"))),IF($J17&gt;=$AE$1+COUNTIF($AE17:AM17,$J$8),$J$8,IF($I17&gt;=$AE$1+COUNTIF($AE17:AM17,$I$8),$I$8,"NG"))),"NG")</f>
        <v>#DIV/0!</v>
      </c>
      <c r="AO17" s="363" t="e">
        <f>IF($AB17&gt;=AO$8,IF($S17&gt;=$AE$1,IF($J17&gt;=$AE$1+COUNTIF($AE17:AN17,$J$8),$J$8,IF($D17&gt;=$AE$1+COUNTIF($AE17:AN17,$D$8),$D$8,IF($I17&gt;=$AE$1+COUNTIF($AE17:AN17,$I$8),$I$8,"NG"))),IF($J17&gt;=$AE$1+COUNTIF($AE17:AN17,$J$8),$J$8,IF($I17&gt;=$AE$1+COUNTIF($AE17:AN17,$I$8),$I$8,"NG"))),"NG")</f>
        <v>#DIV/0!</v>
      </c>
      <c r="AP17" s="363" t="e">
        <f>IF($AB17&gt;=AP$8,IF($S17&gt;=$AE$1,IF($J17&gt;=$AE$1+COUNTIF($AE17:AO17,$J$8),$J$8,IF($D17&gt;=$AE$1+COUNTIF($AE17:AO17,$D$8),$D$8,IF($I17&gt;=$AE$1+COUNTIF($AE17:AO17,$I$8),$I$8,"NG"))),IF($J17&gt;=$AE$1+COUNTIF($AE17:AO17,$J$8),$J$8,IF($I17&gt;=$AE$1+COUNTIF($AE17:AO17,$I$8),$I$8,"NG"))),"NG")</f>
        <v>#DIV/0!</v>
      </c>
      <c r="AQ17" s="363" t="e">
        <f>IF($AB17&gt;=AQ$8,IF($S17&gt;=$AE$1,IF($J17&gt;=$AE$1+COUNTIF($AE17:AP17,$J$8),$J$8,IF($D17&gt;=$AE$1+COUNTIF($AE17:AP17,$D$8),$D$8,IF($I17&gt;=$AE$1+COUNTIF($AE17:AP17,$I$8),$I$8,"NG"))),IF($J17&gt;=$AE$1+COUNTIF($AE17:AP17,$J$8),$J$8,IF($I17&gt;=$AE$1+COUNTIF($AE17:AP17,$I$8),$I$8,"NG"))),"NG")</f>
        <v>#DIV/0!</v>
      </c>
      <c r="AR17" s="363" t="str">
        <f>IF($AC17&gt;=AR$8,IF($J17&gt;=$AE$1+COUNTIF($AE17:AQ17,$J$8),$J$8,IF($I17&gt;=$AE$1+COUNTIF($AE17:AQ17,$I$8),$I$8,"NG")),"NG")</f>
        <v>NG</v>
      </c>
      <c r="AS17" s="363" t="str">
        <f>IF($AC17&gt;=AS$8,IF($J17&gt;=$AE$1+COUNTIF($AE17:AR17,$J$8),$J$8,IF($I17&gt;=$AE$1+COUNTIF($AE17:AR17,$I$8),$I$8,"NG")),"NG")</f>
        <v>NG</v>
      </c>
      <c r="AT17" s="363" t="e">
        <f>IF(AND(W17="OK",AE17="NG"),IF($N17&gt;=$AE$1+COUNTIF($AE17:AS17,$N$8),$N$8,IF($M17&gt;=$AE$1+COUNTIF($AE17:AS17,$M$8),$M$8,IF($L17&gt;=$AE$1+COUNTIF($AE17:AS17,$L$8),$L$8,"NG"))),"NG")</f>
        <v>#DIV/0!</v>
      </c>
      <c r="AU17" s="363" t="e">
        <f>IF(Z17="OK",IF($C17&gt;=$AE$1+COUNTIF($AE17:AT17,$C$8),$C$8,IF($D17&gt;=$AE$1+COUNTIF($AE17:AT17,$D$8),$D$8,IF($N17&gt;=$AE$1+COUNTIF($AE17:AT17,$N$8),$N$8,IF($I17&gt;=$AE$1+COUNTIF($AE17:AT17,$I$8),$I$8,IF($M17&gt;=$AE$1+COUNTIF($AE17:AT17,$M$8),$M$8,IF($L17&gt;=$AE$1+COUNTIF($AE17:AT17,$L$8),$L$8,"NG")))))),"NG")</f>
        <v>#DIV/0!</v>
      </c>
      <c r="AV17" s="363" t="e">
        <f>IF(AA17="OK",IF(COUNTIF($AE17:AU17,$L$8)+COUNTIF($AE17:AU17,$M$8)+COUNTIF($AE17:AU17,$N$8)&gt;=2,"NG",IF($C17&gt;=$AE$1+COUNTIF($AE17:AU17,$C$8),$C$8,IF($D17&gt;=$AE$1+COUNTIF($AE17:AU17,$D$8),$D$8,IF($N17&gt;=$AE$1+COUNTIF($AE17:AU17,$N$8),$N$8,IF($M17&gt;=$AE$1+COUNTIF($AE17:AU17,$M$8),$M$8,IF($I17&gt;=$AE$1+COUNTIF($AE17:AU17,$I$8),$I$8,IF($L17&gt;=$AE$1+COUNTIF($AE17:AU17,$L$8),$L$8,"NG"))))))),"NG")</f>
        <v>#DIV/0!</v>
      </c>
      <c r="AX17" s="363" t="e">
        <f t="shared" si="30"/>
        <v>#DIV/0!</v>
      </c>
      <c r="AY17" s="363">
        <f t="shared" si="20"/>
        <v>0</v>
      </c>
      <c r="AZ17" s="363">
        <f t="shared" si="21"/>
        <v>0</v>
      </c>
    </row>
    <row r="18" spans="1:52">
      <c r="A18" s="363" t="s">
        <v>131</v>
      </c>
      <c r="B18" s="363" t="e">
        <f>'④-1月別配置内訳書(2)-(2)-(A)'!AA18</f>
        <v>#DIV/0!</v>
      </c>
      <c r="C18" s="363" t="e">
        <f>'④-2月別配置内訳書(2)-(2)-(B)'!AF18</f>
        <v>#DIV/0!</v>
      </c>
      <c r="D18" s="363" t="e">
        <f>'④-3月別配置内訳書(2)-(2)-(C)・(D)'!V18</f>
        <v>#DIV/0!</v>
      </c>
      <c r="E18" s="364" t="e">
        <f>'④-3月別配置内訳書(2)-(2)-(C)・(D)'!AW18</f>
        <v>#DIV/0!</v>
      </c>
      <c r="F18" s="363" t="e">
        <f>'④-3月別配置内訳書(2)-(2)-(C)・(D)'!AX18</f>
        <v>#DIV/0!</v>
      </c>
      <c r="G18" s="363" t="e">
        <f>'④-４月別配置内訳書(2)-(2)-(E)'!V18</f>
        <v>#DIV/0!</v>
      </c>
      <c r="H18" s="363" t="e">
        <f t="shared" si="23"/>
        <v>#DIV/0!</v>
      </c>
      <c r="I18" s="363" t="e">
        <f>'④-1月別配置内訳書(2)-(2)-(A)'!AB18</f>
        <v>#DIV/0!</v>
      </c>
      <c r="J18" s="363" t="e">
        <f>'④-2月別配置内訳書(2)-(2)-(B)'!AG18</f>
        <v>#N/A</v>
      </c>
      <c r="K18" s="363" t="e">
        <f t="shared" si="7"/>
        <v>#N/A</v>
      </c>
      <c r="L18" s="363" t="e">
        <f>'④-3月別配置内訳書(2)-(2)-(C)・(D)'!AY18</f>
        <v>#N/A</v>
      </c>
      <c r="M18" s="363" t="e">
        <f>'④-3月別配置内訳書(2)-(2)-(C)・(D)'!AZ18</f>
        <v>#N/A</v>
      </c>
      <c r="N18" s="363" t="e">
        <f t="shared" si="24"/>
        <v>#DIV/0!</v>
      </c>
      <c r="O18" s="363" t="e">
        <f t="shared" si="25"/>
        <v>#DIV/0!</v>
      </c>
      <c r="P18" s="363" t="e">
        <f t="shared" si="26"/>
        <v>#DIV/0!</v>
      </c>
      <c r="R18" s="365" t="e">
        <f>①基本情報!O29</f>
        <v>#N/A</v>
      </c>
      <c r="S18" s="365" t="e">
        <f>①基本情報!O31</f>
        <v>#N/A</v>
      </c>
      <c r="T18" s="363">
        <f>SUM('③児童数及び職員定数 (2)-(1)'!C19:D19)</f>
        <v>0</v>
      </c>
      <c r="U18" s="363">
        <f t="shared" si="27"/>
        <v>0</v>
      </c>
      <c r="W18" s="363" t="e">
        <f t="shared" si="11"/>
        <v>#DIV/0!</v>
      </c>
      <c r="X18" s="363" t="e">
        <f t="shared" si="12"/>
        <v>#DIV/0!</v>
      </c>
      <c r="Y18" s="363" t="e">
        <f t="shared" si="12"/>
        <v>#DIV/0!</v>
      </c>
      <c r="Z18" s="363" t="e">
        <f t="shared" si="13"/>
        <v>#DIV/0!</v>
      </c>
      <c r="AA18" s="363" t="e">
        <f t="shared" si="14"/>
        <v>#DIV/0!</v>
      </c>
      <c r="AB18" s="363" t="e">
        <f t="shared" si="18"/>
        <v>#DIV/0!</v>
      </c>
      <c r="AC18" s="363">
        <f t="shared" si="28"/>
        <v>0</v>
      </c>
      <c r="AE18" s="363" t="e">
        <f t="shared" si="29"/>
        <v>#DIV/0!</v>
      </c>
      <c r="AF18" s="363" t="e">
        <f>IF(X18="OK",IF($J18&gt;=$AE$1+COUNTIF($AE18:AE18,$J$8),$J$8,IF($K18&gt;=$AE$1+COUNTIF($AE18:AE18,$K$8),$K$8,IF($I18&gt;=$AE$1+COUNTIF($AE18:AE18,$I$8),$I$8,"NG"))),"NG")</f>
        <v>#DIV/0!</v>
      </c>
      <c r="AG18" s="363" t="e">
        <f>IF(Y18="OK",IF($J18&gt;=$AE$1+COUNTIF($AE18:AF18,$J$8),$J$8,IF($K18&gt;=$AE$1+COUNTIF($AE18:AF18,$K$8),$K$8,IF($I18&gt;=$AE$1+COUNTIF($AE18:AF18,$I$8),$I$8,"NG"))),"NG")</f>
        <v>#DIV/0!</v>
      </c>
      <c r="AH18" s="363" t="e">
        <f>IF($AB18&gt;=AH$8,IF($S18&gt;=$AE$1,IF($J18&gt;=$AE$1+COUNTIF($AE18:AG18,$J$8),$J$8,IF($D18&gt;=$AE$1+COUNTIF($AE18:AG18,$D$8),$D$8,IF($I18&gt;=$AE$1+COUNTIF($AE18:AG18,$I$8),$I$8,"NG"))),IF($J18&gt;=$AE$1+COUNTIF($AE18:AG18,$J$8),$J$8,IF($I18&gt;=$AE$1+COUNTIF($AE18:AG18,$I$8),$I$8,"NG"))),"NG")</f>
        <v>#DIV/0!</v>
      </c>
      <c r="AI18" s="363" t="e">
        <f>IF($AB18&gt;=AI$8,IF($S18&gt;=$AE$1,IF($J18&gt;=$AE$1+COUNTIF($AE18:AH18,$J$8),$J$8,IF($D18&gt;=$AE$1+COUNTIF($AE18:AH18,$D$8),$D$8,IF($I18&gt;=$AE$1+COUNTIF($AE18:AH18,$I$8),$I$8,"NG"))),IF($J18&gt;=$AE$1+COUNTIF($AE18:AH18,$J$8),$J$8,IF($I18&gt;=$AE$1+COUNTIF($AE18:AH18,$I$8),$I$8,"NG"))),"NG")</f>
        <v>#DIV/0!</v>
      </c>
      <c r="AJ18" s="363" t="e">
        <f>IF($AB18&gt;=AJ$8,IF($S18&gt;=$AE$1,IF($J18&gt;=$AE$1+COUNTIF($AE18:AI18,$J$8),$J$8,IF($D18&gt;=$AE$1+COUNTIF($AE18:AI18,$D$8),$D$8,IF($I18&gt;=$AE$1+COUNTIF($AE18:AI18,$I$8),$I$8,"NG"))),IF($J18&gt;=$AE$1+COUNTIF($AE18:AI18,$J$8),$J$8,IF($I18&gt;=$AE$1+COUNTIF($AE18:AI18,$I$8),$I$8,"NG"))),"NG")</f>
        <v>#DIV/0!</v>
      </c>
      <c r="AK18" s="363" t="e">
        <f>IF($AB18&gt;=AK$8,IF($S18&gt;=$AE$1,IF($J18&gt;=$AE$1+COUNTIF($AE18:AJ18,$J$8),$J$8,IF($D18&gt;=$AE$1+COUNTIF($AE18:AJ18,$D$8),$D$8,IF($I18&gt;=$AE$1+COUNTIF($AE18:AJ18,$I$8),$I$8,"NG"))),IF($J18&gt;=$AE$1+COUNTIF($AE18:AJ18,$J$8),$J$8,IF($I18&gt;=$AE$1+COUNTIF($AE18:AJ18,$I$8),$I$8,"NG"))),"NG")</f>
        <v>#DIV/0!</v>
      </c>
      <c r="AL18" s="363" t="e">
        <f>IF($AB18&gt;=AL$8,IF($S18&gt;=$AE$1,IF($J18&gt;=$AE$1+COUNTIF($AE18:AK18,$J$8),$J$8,IF($D18&gt;=$AE$1+COUNTIF($AE18:AK18,$D$8),$D$8,IF($I18&gt;=$AE$1+COUNTIF($AE18:AK18,$I$8),$I$8,"NG"))),IF($J18&gt;=$AE$1+COUNTIF($AE18:AK18,$J$8),$J$8,IF($I18&gt;=$AE$1+COUNTIF($AE18:AK18,$I$8),$I$8,"NG"))),"NG")</f>
        <v>#DIV/0!</v>
      </c>
      <c r="AM18" s="363" t="e">
        <f>IF($AB18&gt;=AM$8,IF($S18&gt;=$AE$1,IF($J18&gt;=$AE$1+COUNTIF($AE18:AL18,$J$8),$J$8,IF($D18&gt;=$AE$1+COUNTIF($AE18:AL18,$D$8),$D$8,IF($I18&gt;=$AE$1+COUNTIF($AE18:AL18,$I$8),$I$8,"NG"))),IF($J18&gt;=$AE$1+COUNTIF($AE18:AL18,$J$8),$J$8,IF($I18&gt;=$AE$1+COUNTIF($AE18:AL18,$I$8),$I$8,"NG"))),"NG")</f>
        <v>#DIV/0!</v>
      </c>
      <c r="AN18" s="363" t="e">
        <f>IF($AB18&gt;=AN$8,IF($S18&gt;=$AE$1,IF($J18&gt;=$AE$1+COUNTIF($AE18:AM18,$J$8),$J$8,IF($D18&gt;=$AE$1+COUNTIF($AE18:AM18,$D$8),$D$8,IF($I18&gt;=$AE$1+COUNTIF($AE18:AM18,$I$8),$I$8,"NG"))),IF($J18&gt;=$AE$1+COUNTIF($AE18:AM18,$J$8),$J$8,IF($I18&gt;=$AE$1+COUNTIF($AE18:AM18,$I$8),$I$8,"NG"))),"NG")</f>
        <v>#DIV/0!</v>
      </c>
      <c r="AO18" s="363" t="e">
        <f>IF($AB18&gt;=AO$8,IF($S18&gt;=$AE$1,IF($J18&gt;=$AE$1+COUNTIF($AE18:AN18,$J$8),$J$8,IF($D18&gt;=$AE$1+COUNTIF($AE18:AN18,$D$8),$D$8,IF($I18&gt;=$AE$1+COUNTIF($AE18:AN18,$I$8),$I$8,"NG"))),IF($J18&gt;=$AE$1+COUNTIF($AE18:AN18,$J$8),$J$8,IF($I18&gt;=$AE$1+COUNTIF($AE18:AN18,$I$8),$I$8,"NG"))),"NG")</f>
        <v>#DIV/0!</v>
      </c>
      <c r="AP18" s="363" t="e">
        <f>IF($AB18&gt;=AP$8,IF($S18&gt;=$AE$1,IF($J18&gt;=$AE$1+COUNTIF($AE18:AO18,$J$8),$J$8,IF($D18&gt;=$AE$1+COUNTIF($AE18:AO18,$D$8),$D$8,IF($I18&gt;=$AE$1+COUNTIF($AE18:AO18,$I$8),$I$8,"NG"))),IF($J18&gt;=$AE$1+COUNTIF($AE18:AO18,$J$8),$J$8,IF($I18&gt;=$AE$1+COUNTIF($AE18:AO18,$I$8),$I$8,"NG"))),"NG")</f>
        <v>#DIV/0!</v>
      </c>
      <c r="AQ18" s="363" t="e">
        <f>IF($AB18&gt;=AQ$8,IF($S18&gt;=$AE$1,IF($J18&gt;=$AE$1+COUNTIF($AE18:AP18,$J$8),$J$8,IF($D18&gt;=$AE$1+COUNTIF($AE18:AP18,$D$8),$D$8,IF($I18&gt;=$AE$1+COUNTIF($AE18:AP18,$I$8),$I$8,"NG"))),IF($J18&gt;=$AE$1+COUNTIF($AE18:AP18,$J$8),$J$8,IF($I18&gt;=$AE$1+COUNTIF($AE18:AP18,$I$8),$I$8,"NG"))),"NG")</f>
        <v>#DIV/0!</v>
      </c>
      <c r="AR18" s="363" t="str">
        <f>IF($AC18&gt;=AR$8,IF($J18&gt;=$AE$1+COUNTIF($AE18:AQ18,$J$8),$J$8,IF($I18&gt;=$AE$1+COUNTIF($AE18:AQ18,$I$8),$I$8,"NG")),"NG")</f>
        <v>NG</v>
      </c>
      <c r="AS18" s="363" t="str">
        <f>IF($AC18&gt;=AS$8,IF($J18&gt;=$AE$1+COUNTIF($AE18:AR18,$J$8),$J$8,IF($I18&gt;=$AE$1+COUNTIF($AE18:AR18,$I$8),$I$8,"NG")),"NG")</f>
        <v>NG</v>
      </c>
      <c r="AT18" s="363" t="e">
        <f>IF(AND(W18="OK",AE18="NG"),IF($N18&gt;=$AE$1+COUNTIF($AE18:AS18,$N$8),$N$8,IF($M18&gt;=$AE$1+COUNTIF($AE18:AS18,$M$8),$M$8,IF($L18&gt;=$AE$1+COUNTIF($AE18:AS18,$L$8),$L$8,"NG"))),"NG")</f>
        <v>#DIV/0!</v>
      </c>
      <c r="AU18" s="363" t="e">
        <f>IF(Z18="OK",IF($C18&gt;=$AE$1+COUNTIF($AE18:AT18,$C$8),$C$8,IF($D18&gt;=$AE$1+COUNTIF($AE18:AT18,$D$8),$D$8,IF($N18&gt;=$AE$1+COUNTIF($AE18:AT18,$N$8),$N$8,IF($I18&gt;=$AE$1+COUNTIF($AE18:AT18,$I$8),$I$8,IF($M18&gt;=$AE$1+COUNTIF($AE18:AT18,$M$8),$M$8,IF($L18&gt;=$AE$1+COUNTIF($AE18:AT18,$L$8),$L$8,"NG")))))),"NG")</f>
        <v>#DIV/0!</v>
      </c>
      <c r="AV18" s="363" t="e">
        <f>IF(AA18="OK",IF(COUNTIF($AE18:AU18,$L$8)+COUNTIF($AE18:AU18,$M$8)+COUNTIF($AE18:AU18,$N$8)&gt;=2,"NG",IF($C18&gt;=$AE$1+COUNTIF($AE18:AU18,$C$8),$C$8,IF($D18&gt;=$AE$1+COUNTIF($AE18:AU18,$D$8),$D$8,IF($N18&gt;=$AE$1+COUNTIF($AE18:AU18,$N$8),$N$8,IF($M18&gt;=$AE$1+COUNTIF($AE18:AU18,$M$8),$M$8,IF($I18&gt;=$AE$1+COUNTIF($AE18:AU18,$I$8),$I$8,IF($L18&gt;=$AE$1+COUNTIF($AE18:AU18,$L$8),$L$8,"NG"))))))),"NG")</f>
        <v>#DIV/0!</v>
      </c>
      <c r="AX18" s="363" t="e">
        <f t="shared" si="30"/>
        <v>#DIV/0!</v>
      </c>
      <c r="AY18" s="363">
        <f t="shared" si="20"/>
        <v>0</v>
      </c>
      <c r="AZ18" s="363">
        <f t="shared" si="21"/>
        <v>0</v>
      </c>
    </row>
    <row r="19" spans="1:52">
      <c r="A19" s="363" t="s">
        <v>132</v>
      </c>
      <c r="B19" s="363" t="e">
        <f>'④-1月別配置内訳書(2)-(2)-(A)'!AA19</f>
        <v>#DIV/0!</v>
      </c>
      <c r="C19" s="363" t="e">
        <f>'④-2月別配置内訳書(2)-(2)-(B)'!AF19</f>
        <v>#DIV/0!</v>
      </c>
      <c r="D19" s="363" t="e">
        <f>'④-3月別配置内訳書(2)-(2)-(C)・(D)'!V19</f>
        <v>#DIV/0!</v>
      </c>
      <c r="E19" s="364" t="e">
        <f>'④-3月別配置内訳書(2)-(2)-(C)・(D)'!AW19</f>
        <v>#DIV/0!</v>
      </c>
      <c r="F19" s="363" t="e">
        <f>'④-3月別配置内訳書(2)-(2)-(C)・(D)'!AX19</f>
        <v>#DIV/0!</v>
      </c>
      <c r="G19" s="363" t="e">
        <f>'④-４月別配置内訳書(2)-(2)-(E)'!V19</f>
        <v>#DIV/0!</v>
      </c>
      <c r="H19" s="363" t="e">
        <f t="shared" si="23"/>
        <v>#DIV/0!</v>
      </c>
      <c r="I19" s="363" t="e">
        <f>'④-1月別配置内訳書(2)-(2)-(A)'!AB19</f>
        <v>#DIV/0!</v>
      </c>
      <c r="J19" s="363" t="e">
        <f>'④-2月別配置内訳書(2)-(2)-(B)'!AG19</f>
        <v>#N/A</v>
      </c>
      <c r="K19" s="363" t="e">
        <f t="shared" si="7"/>
        <v>#N/A</v>
      </c>
      <c r="L19" s="363" t="e">
        <f>'④-3月別配置内訳書(2)-(2)-(C)・(D)'!AY19</f>
        <v>#N/A</v>
      </c>
      <c r="M19" s="363" t="e">
        <f>'④-3月別配置内訳書(2)-(2)-(C)・(D)'!AZ19</f>
        <v>#N/A</v>
      </c>
      <c r="N19" s="363" t="e">
        <f t="shared" si="24"/>
        <v>#DIV/0!</v>
      </c>
      <c r="O19" s="363" t="e">
        <f t="shared" si="25"/>
        <v>#DIV/0!</v>
      </c>
      <c r="P19" s="363" t="e">
        <f t="shared" si="26"/>
        <v>#DIV/0!</v>
      </c>
      <c r="R19" s="365" t="e">
        <f>①基本情報!P29</f>
        <v>#N/A</v>
      </c>
      <c r="S19" s="365" t="e">
        <f>①基本情報!P31</f>
        <v>#N/A</v>
      </c>
      <c r="T19" s="363">
        <f>SUM('③児童数及び職員定数 (2)-(1)'!C20:D20)</f>
        <v>0</v>
      </c>
      <c r="U19" s="363">
        <f t="shared" si="27"/>
        <v>0</v>
      </c>
      <c r="W19" s="363" t="e">
        <f t="shared" si="11"/>
        <v>#DIV/0!</v>
      </c>
      <c r="X19" s="363" t="e">
        <f t="shared" si="12"/>
        <v>#DIV/0!</v>
      </c>
      <c r="Y19" s="363" t="e">
        <f t="shared" si="12"/>
        <v>#DIV/0!</v>
      </c>
      <c r="Z19" s="363" t="e">
        <f t="shared" si="13"/>
        <v>#DIV/0!</v>
      </c>
      <c r="AA19" s="363" t="e">
        <f t="shared" si="14"/>
        <v>#DIV/0!</v>
      </c>
      <c r="AB19" s="363" t="e">
        <f t="shared" si="18"/>
        <v>#DIV/0!</v>
      </c>
      <c r="AC19" s="363">
        <f t="shared" si="28"/>
        <v>0</v>
      </c>
      <c r="AE19" s="363" t="e">
        <f t="shared" si="29"/>
        <v>#DIV/0!</v>
      </c>
      <c r="AF19" s="363" t="e">
        <f>IF(X19="OK",IF($J19&gt;=$AE$1+COUNTIF($AE19:AE19,$J$8),$J$8,IF($K19&gt;=$AE$1+COUNTIF($AE19:AE19,$K$8),$K$8,IF($I19&gt;=$AE$1+COUNTIF($AE19:AE19,$I$8),$I$8,"NG"))),"NG")</f>
        <v>#DIV/0!</v>
      </c>
      <c r="AG19" s="363" t="e">
        <f>IF(Y19="OK",IF($J19&gt;=$AE$1+COUNTIF($AE19:AF19,$J$8),$J$8,IF($K19&gt;=$AE$1+COUNTIF($AE19:AF19,$K$8),$K$8,IF($I19&gt;=$AE$1+COUNTIF($AE19:AF19,$I$8),$I$8,"NG"))),"NG")</f>
        <v>#DIV/0!</v>
      </c>
      <c r="AH19" s="363" t="e">
        <f>IF($AB19&gt;=AH$8,IF($S19&gt;=$AE$1,IF($J19&gt;=$AE$1+COUNTIF($AE19:AG19,$J$8),$J$8,IF($D19&gt;=$AE$1+COUNTIF($AE19:AG19,$D$8),$D$8,IF($I19&gt;=$AE$1+COUNTIF($AE19:AG19,$I$8),$I$8,"NG"))),IF($J19&gt;=$AE$1+COUNTIF($AE19:AG19,$J$8),$J$8,IF($I19&gt;=$AE$1+COUNTIF($AE19:AG19,$I$8),$I$8,"NG"))),"NG")</f>
        <v>#DIV/0!</v>
      </c>
      <c r="AI19" s="363" t="e">
        <f>IF($AB19&gt;=AI$8,IF($S19&gt;=$AE$1,IF($J19&gt;=$AE$1+COUNTIF($AE19:AH19,$J$8),$J$8,IF($D19&gt;=$AE$1+COUNTIF($AE19:AH19,$D$8),$D$8,IF($I19&gt;=$AE$1+COUNTIF($AE19:AH19,$I$8),$I$8,"NG"))),IF($J19&gt;=$AE$1+COUNTIF($AE19:AH19,$J$8),$J$8,IF($I19&gt;=$AE$1+COUNTIF($AE19:AH19,$I$8),$I$8,"NG"))),"NG")</f>
        <v>#DIV/0!</v>
      </c>
      <c r="AJ19" s="363" t="e">
        <f>IF($AB19&gt;=AJ$8,IF($S19&gt;=$AE$1,IF($J19&gt;=$AE$1+COUNTIF($AE19:AI19,$J$8),$J$8,IF($D19&gt;=$AE$1+COUNTIF($AE19:AI19,$D$8),$D$8,IF($I19&gt;=$AE$1+COUNTIF($AE19:AI19,$I$8),$I$8,"NG"))),IF($J19&gt;=$AE$1+COUNTIF($AE19:AI19,$J$8),$J$8,IF($I19&gt;=$AE$1+COUNTIF($AE19:AI19,$I$8),$I$8,"NG"))),"NG")</f>
        <v>#DIV/0!</v>
      </c>
      <c r="AK19" s="363" t="e">
        <f>IF($AB19&gt;=AK$8,IF($S19&gt;=$AE$1,IF($J19&gt;=$AE$1+COUNTIF($AE19:AJ19,$J$8),$J$8,IF($D19&gt;=$AE$1+COUNTIF($AE19:AJ19,$D$8),$D$8,IF($I19&gt;=$AE$1+COUNTIF($AE19:AJ19,$I$8),$I$8,"NG"))),IF($J19&gt;=$AE$1+COUNTIF($AE19:AJ19,$J$8),$J$8,IF($I19&gt;=$AE$1+COUNTIF($AE19:AJ19,$I$8),$I$8,"NG"))),"NG")</f>
        <v>#DIV/0!</v>
      </c>
      <c r="AL19" s="363" t="e">
        <f>IF($AB19&gt;=AL$8,IF($S19&gt;=$AE$1,IF($J19&gt;=$AE$1+COUNTIF($AE19:AK19,$J$8),$J$8,IF($D19&gt;=$AE$1+COUNTIF($AE19:AK19,$D$8),$D$8,IF($I19&gt;=$AE$1+COUNTIF($AE19:AK19,$I$8),$I$8,"NG"))),IF($J19&gt;=$AE$1+COUNTIF($AE19:AK19,$J$8),$J$8,IF($I19&gt;=$AE$1+COUNTIF($AE19:AK19,$I$8),$I$8,"NG"))),"NG")</f>
        <v>#DIV/0!</v>
      </c>
      <c r="AM19" s="363" t="e">
        <f>IF($AB19&gt;=AM$8,IF($S19&gt;=$AE$1,IF($J19&gt;=$AE$1+COUNTIF($AE19:AL19,$J$8),$J$8,IF($D19&gt;=$AE$1+COUNTIF($AE19:AL19,$D$8),$D$8,IF($I19&gt;=$AE$1+COUNTIF($AE19:AL19,$I$8),$I$8,"NG"))),IF($J19&gt;=$AE$1+COUNTIF($AE19:AL19,$J$8),$J$8,IF($I19&gt;=$AE$1+COUNTIF($AE19:AL19,$I$8),$I$8,"NG"))),"NG")</f>
        <v>#DIV/0!</v>
      </c>
      <c r="AN19" s="363" t="e">
        <f>IF($AB19&gt;=AN$8,IF($S19&gt;=$AE$1,IF($J19&gt;=$AE$1+COUNTIF($AE19:AM19,$J$8),$J$8,IF($D19&gt;=$AE$1+COUNTIF($AE19:AM19,$D$8),$D$8,IF($I19&gt;=$AE$1+COUNTIF($AE19:AM19,$I$8),$I$8,"NG"))),IF($J19&gt;=$AE$1+COUNTIF($AE19:AM19,$J$8),$J$8,IF($I19&gt;=$AE$1+COUNTIF($AE19:AM19,$I$8),$I$8,"NG"))),"NG")</f>
        <v>#DIV/0!</v>
      </c>
      <c r="AO19" s="363" t="e">
        <f>IF($AB19&gt;=AO$8,IF($S19&gt;=$AE$1,IF($J19&gt;=$AE$1+COUNTIF($AE19:AN19,$J$8),$J$8,IF($D19&gt;=$AE$1+COUNTIF($AE19:AN19,$D$8),$D$8,IF($I19&gt;=$AE$1+COUNTIF($AE19:AN19,$I$8),$I$8,"NG"))),IF($J19&gt;=$AE$1+COUNTIF($AE19:AN19,$J$8),$J$8,IF($I19&gt;=$AE$1+COUNTIF($AE19:AN19,$I$8),$I$8,"NG"))),"NG")</f>
        <v>#DIV/0!</v>
      </c>
      <c r="AP19" s="363" t="e">
        <f>IF($AB19&gt;=AP$8,IF($S19&gt;=$AE$1,IF($J19&gt;=$AE$1+COUNTIF($AE19:AO19,$J$8),$J$8,IF($D19&gt;=$AE$1+COUNTIF($AE19:AO19,$D$8),$D$8,IF($I19&gt;=$AE$1+COUNTIF($AE19:AO19,$I$8),$I$8,"NG"))),IF($J19&gt;=$AE$1+COUNTIF($AE19:AO19,$J$8),$J$8,IF($I19&gt;=$AE$1+COUNTIF($AE19:AO19,$I$8),$I$8,"NG"))),"NG")</f>
        <v>#DIV/0!</v>
      </c>
      <c r="AQ19" s="363" t="e">
        <f>IF($AB19&gt;=AQ$8,IF($S19&gt;=$AE$1,IF($J19&gt;=$AE$1+COUNTIF($AE19:AP19,$J$8),$J$8,IF($D19&gt;=$AE$1+COUNTIF($AE19:AP19,$D$8),$D$8,IF($I19&gt;=$AE$1+COUNTIF($AE19:AP19,$I$8),$I$8,"NG"))),IF($J19&gt;=$AE$1+COUNTIF($AE19:AP19,$J$8),$J$8,IF($I19&gt;=$AE$1+COUNTIF($AE19:AP19,$I$8),$I$8,"NG"))),"NG")</f>
        <v>#DIV/0!</v>
      </c>
      <c r="AR19" s="363" t="str">
        <f>IF($AC19&gt;=AR$8,IF($J19&gt;=$AE$1+COUNTIF($AE19:AQ19,$J$8),$J$8,IF($I19&gt;=$AE$1+COUNTIF($AE19:AQ19,$I$8),$I$8,"NG")),"NG")</f>
        <v>NG</v>
      </c>
      <c r="AS19" s="363" t="str">
        <f>IF($AC19&gt;=AS$8,IF($J19&gt;=$AE$1+COUNTIF($AE19:AR19,$J$8),$J$8,IF($I19&gt;=$AE$1+COUNTIF($AE19:AR19,$I$8),$I$8,"NG")),"NG")</f>
        <v>NG</v>
      </c>
      <c r="AT19" s="363" t="e">
        <f>IF(AND(W19="OK",AE19="NG"),IF($N19&gt;=$AE$1+COUNTIF($AE19:AS19,$N$8),$N$8,IF($M19&gt;=$AE$1+COUNTIF($AE19:AS19,$M$8),$M$8,IF($L19&gt;=$AE$1+COUNTIF($AE19:AS19,$L$8),$L$8,"NG"))),"NG")</f>
        <v>#DIV/0!</v>
      </c>
      <c r="AU19" s="363" t="e">
        <f>IF(Z19="OK",IF($C19&gt;=$AE$1+COUNTIF($AE19:AT19,$C$8),$C$8,IF($D19&gt;=$AE$1+COUNTIF($AE19:AT19,$D$8),$D$8,IF($N19&gt;=$AE$1+COUNTIF($AE19:AT19,$N$8),$N$8,IF($I19&gt;=$AE$1+COUNTIF($AE19:AT19,$I$8),$I$8,IF($M19&gt;=$AE$1+COUNTIF($AE19:AT19,$M$8),$M$8,IF($L19&gt;=$AE$1+COUNTIF($AE19:AT19,$L$8),$L$8,"NG")))))),"NG")</f>
        <v>#DIV/0!</v>
      </c>
      <c r="AV19" s="363" t="e">
        <f>IF(AA19="OK",IF(COUNTIF($AE19:AU19,$L$8)+COUNTIF($AE19:AU19,$M$8)+COUNTIF($AE19:AU19,$N$8)&gt;=2,"NG",IF($C19&gt;=$AE$1+COUNTIF($AE19:AU19,$C$8),$C$8,IF($D19&gt;=$AE$1+COUNTIF($AE19:AU19,$D$8),$D$8,IF($N19&gt;=$AE$1+COUNTIF($AE19:AU19,$N$8),$N$8,IF($M19&gt;=$AE$1+COUNTIF($AE19:AU19,$M$8),$M$8,IF($I19&gt;=$AE$1+COUNTIF($AE19:AU19,$I$8),$I$8,IF($L19&gt;=$AE$1+COUNTIF($AE19:AU19,$L$8),$L$8,"NG"))))))),"NG")</f>
        <v>#DIV/0!</v>
      </c>
      <c r="AX19" s="363" t="e">
        <f t="shared" si="30"/>
        <v>#DIV/0!</v>
      </c>
      <c r="AY19" s="363">
        <f t="shared" si="20"/>
        <v>0</v>
      </c>
      <c r="AZ19" s="363">
        <f t="shared" si="21"/>
        <v>0</v>
      </c>
    </row>
    <row r="20" spans="1:52">
      <c r="A20" s="363" t="s">
        <v>133</v>
      </c>
      <c r="B20" s="363" t="e">
        <f>'④-1月別配置内訳書(2)-(2)-(A)'!AA20</f>
        <v>#DIV/0!</v>
      </c>
      <c r="C20" s="363" t="e">
        <f>'④-2月別配置内訳書(2)-(2)-(B)'!AF20</f>
        <v>#DIV/0!</v>
      </c>
      <c r="D20" s="363" t="e">
        <f>'④-3月別配置内訳書(2)-(2)-(C)・(D)'!V20</f>
        <v>#DIV/0!</v>
      </c>
      <c r="E20" s="364" t="e">
        <f>'④-3月別配置内訳書(2)-(2)-(C)・(D)'!AW20</f>
        <v>#DIV/0!</v>
      </c>
      <c r="F20" s="363" t="e">
        <f>'④-3月別配置内訳書(2)-(2)-(C)・(D)'!AX20</f>
        <v>#DIV/0!</v>
      </c>
      <c r="G20" s="363" t="e">
        <f>'④-４月別配置内訳書(2)-(2)-(E)'!V20</f>
        <v>#DIV/0!</v>
      </c>
      <c r="H20" s="363" t="e">
        <f t="shared" si="23"/>
        <v>#DIV/0!</v>
      </c>
      <c r="I20" s="363" t="e">
        <f>'④-1月別配置内訳書(2)-(2)-(A)'!AB20</f>
        <v>#DIV/0!</v>
      </c>
      <c r="J20" s="363" t="e">
        <f>'④-2月別配置内訳書(2)-(2)-(B)'!AG20</f>
        <v>#N/A</v>
      </c>
      <c r="K20" s="363" t="e">
        <f t="shared" si="7"/>
        <v>#N/A</v>
      </c>
      <c r="L20" s="363" t="e">
        <f>'④-3月別配置内訳書(2)-(2)-(C)・(D)'!AY20</f>
        <v>#N/A</v>
      </c>
      <c r="M20" s="363" t="e">
        <f>'④-3月別配置内訳書(2)-(2)-(C)・(D)'!AZ20</f>
        <v>#N/A</v>
      </c>
      <c r="N20" s="363" t="e">
        <f t="shared" si="24"/>
        <v>#DIV/0!</v>
      </c>
      <c r="O20" s="363" t="e">
        <f t="shared" si="25"/>
        <v>#DIV/0!</v>
      </c>
      <c r="P20" s="363" t="e">
        <f t="shared" si="26"/>
        <v>#DIV/0!</v>
      </c>
      <c r="R20" s="365" t="e">
        <f>①基本情報!Q29</f>
        <v>#N/A</v>
      </c>
      <c r="S20" s="365" t="e">
        <f>①基本情報!Q31</f>
        <v>#N/A</v>
      </c>
      <c r="T20" s="363">
        <f>SUM('③児童数及び職員定数 (2)-(1)'!C21:D21)</f>
        <v>0</v>
      </c>
      <c r="U20" s="363">
        <f t="shared" si="27"/>
        <v>0</v>
      </c>
      <c r="W20" s="363" t="e">
        <f t="shared" si="11"/>
        <v>#DIV/0!</v>
      </c>
      <c r="X20" s="363" t="e">
        <f t="shared" si="12"/>
        <v>#DIV/0!</v>
      </c>
      <c r="Y20" s="363" t="e">
        <f t="shared" si="12"/>
        <v>#DIV/0!</v>
      </c>
      <c r="Z20" s="363" t="e">
        <f t="shared" si="13"/>
        <v>#DIV/0!</v>
      </c>
      <c r="AA20" s="363" t="e">
        <f t="shared" si="14"/>
        <v>#DIV/0!</v>
      </c>
      <c r="AB20" s="363" t="e">
        <f t="shared" si="18"/>
        <v>#DIV/0!</v>
      </c>
      <c r="AC20" s="363">
        <f t="shared" si="28"/>
        <v>0</v>
      </c>
      <c r="AE20" s="363" t="e">
        <f t="shared" si="29"/>
        <v>#DIV/0!</v>
      </c>
      <c r="AF20" s="363" t="e">
        <f>IF(X20="OK",IF($J20&gt;=$AE$1+COUNTIF($AE20:AE20,$J$8),$J$8,IF($K20&gt;=$AE$1+COUNTIF($AE20:AE20,$K$8),$K$8,IF($I20&gt;=$AE$1+COUNTIF($AE20:AE20,$I$8),$I$8,"NG"))),"NG")</f>
        <v>#DIV/0!</v>
      </c>
      <c r="AG20" s="363" t="e">
        <f>IF(Y20="OK",IF($J20&gt;=$AE$1+COUNTIF($AE20:AF20,$J$8),$J$8,IF($K20&gt;=$AE$1+COUNTIF($AE20:AF20,$K$8),$K$8,IF($I20&gt;=$AE$1+COUNTIF($AE20:AF20,$I$8),$I$8,"NG"))),"NG")</f>
        <v>#DIV/0!</v>
      </c>
      <c r="AH20" s="363" t="e">
        <f>IF($AB20&gt;=AH$8,IF($S20&gt;=$AE$1,IF($J20&gt;=$AE$1+COUNTIF($AE20:AG20,$J$8),$J$8,IF($D20&gt;=$AE$1+COUNTIF($AE20:AG20,$D$8),$D$8,IF($I20&gt;=$AE$1+COUNTIF($AE20:AG20,$I$8),$I$8,"NG"))),IF($J20&gt;=$AE$1+COUNTIF($AE20:AG20,$J$8),$J$8,IF($I20&gt;=$AE$1+COUNTIF($AE20:AG20,$I$8),$I$8,"NG"))),"NG")</f>
        <v>#DIV/0!</v>
      </c>
      <c r="AI20" s="363" t="e">
        <f>IF($AB20&gt;=AI$8,IF($S20&gt;=$AE$1,IF($J20&gt;=$AE$1+COUNTIF($AE20:AH20,$J$8),$J$8,IF($D20&gt;=$AE$1+COUNTIF($AE20:AH20,$D$8),$D$8,IF($I20&gt;=$AE$1+COUNTIF($AE20:AH20,$I$8),$I$8,"NG"))),IF($J20&gt;=$AE$1+COUNTIF($AE20:AH20,$J$8),$J$8,IF($I20&gt;=$AE$1+COUNTIF($AE20:AH20,$I$8),$I$8,"NG"))),"NG")</f>
        <v>#DIV/0!</v>
      </c>
      <c r="AJ20" s="363" t="e">
        <f>IF($AB20&gt;=AJ$8,IF($S20&gt;=$AE$1,IF($J20&gt;=$AE$1+COUNTIF($AE20:AI20,$J$8),$J$8,IF($D20&gt;=$AE$1+COUNTIF($AE20:AI20,$D$8),$D$8,IF($I20&gt;=$AE$1+COUNTIF($AE20:AI20,$I$8),$I$8,"NG"))),IF($J20&gt;=$AE$1+COUNTIF($AE20:AI20,$J$8),$J$8,IF($I20&gt;=$AE$1+COUNTIF($AE20:AI20,$I$8),$I$8,"NG"))),"NG")</f>
        <v>#DIV/0!</v>
      </c>
      <c r="AK20" s="363" t="e">
        <f>IF($AB20&gt;=AK$8,IF($S20&gt;=$AE$1,IF($J20&gt;=$AE$1+COUNTIF($AE20:AJ20,$J$8),$J$8,IF($D20&gt;=$AE$1+COUNTIF($AE20:AJ20,$D$8),$D$8,IF($I20&gt;=$AE$1+COUNTIF($AE20:AJ20,$I$8),$I$8,"NG"))),IF($J20&gt;=$AE$1+COUNTIF($AE20:AJ20,$J$8),$J$8,IF($I20&gt;=$AE$1+COUNTIF($AE20:AJ20,$I$8),$I$8,"NG"))),"NG")</f>
        <v>#DIV/0!</v>
      </c>
      <c r="AL20" s="363" t="e">
        <f>IF($AB20&gt;=AL$8,IF($S20&gt;=$AE$1,IF($J20&gt;=$AE$1+COUNTIF($AE20:AK20,$J$8),$J$8,IF($D20&gt;=$AE$1+COUNTIF($AE20:AK20,$D$8),$D$8,IF($I20&gt;=$AE$1+COUNTIF($AE20:AK20,$I$8),$I$8,"NG"))),IF($J20&gt;=$AE$1+COUNTIF($AE20:AK20,$J$8),$J$8,IF($I20&gt;=$AE$1+COUNTIF($AE20:AK20,$I$8),$I$8,"NG"))),"NG")</f>
        <v>#DIV/0!</v>
      </c>
      <c r="AM20" s="363" t="e">
        <f>IF($AB20&gt;=AM$8,IF($S20&gt;=$AE$1,IF($J20&gt;=$AE$1+COUNTIF($AE20:AL20,$J$8),$J$8,IF($D20&gt;=$AE$1+COUNTIF($AE20:AL20,$D$8),$D$8,IF($I20&gt;=$AE$1+COUNTIF($AE20:AL20,$I$8),$I$8,"NG"))),IF($J20&gt;=$AE$1+COUNTIF($AE20:AL20,$J$8),$J$8,IF($I20&gt;=$AE$1+COUNTIF($AE20:AL20,$I$8),$I$8,"NG"))),"NG")</f>
        <v>#DIV/0!</v>
      </c>
      <c r="AN20" s="363" t="e">
        <f>IF($AB20&gt;=AN$8,IF($S20&gt;=$AE$1,IF($J20&gt;=$AE$1+COUNTIF($AE20:AM20,$J$8),$J$8,IF($D20&gt;=$AE$1+COUNTIF($AE20:AM20,$D$8),$D$8,IF($I20&gt;=$AE$1+COUNTIF($AE20:AM20,$I$8),$I$8,"NG"))),IF($J20&gt;=$AE$1+COUNTIF($AE20:AM20,$J$8),$J$8,IF($I20&gt;=$AE$1+COUNTIF($AE20:AM20,$I$8),$I$8,"NG"))),"NG")</f>
        <v>#DIV/0!</v>
      </c>
      <c r="AO20" s="363" t="e">
        <f>IF($AB20&gt;=AO$8,IF($S20&gt;=$AE$1,IF($J20&gt;=$AE$1+COUNTIF($AE20:AN20,$J$8),$J$8,IF($D20&gt;=$AE$1+COUNTIF($AE20:AN20,$D$8),$D$8,IF($I20&gt;=$AE$1+COUNTIF($AE20:AN20,$I$8),$I$8,"NG"))),IF($J20&gt;=$AE$1+COUNTIF($AE20:AN20,$J$8),$J$8,IF($I20&gt;=$AE$1+COUNTIF($AE20:AN20,$I$8),$I$8,"NG"))),"NG")</f>
        <v>#DIV/0!</v>
      </c>
      <c r="AP20" s="363" t="e">
        <f>IF($AB20&gt;=AP$8,IF($S20&gt;=$AE$1,IF($J20&gt;=$AE$1+COUNTIF($AE20:AO20,$J$8),$J$8,IF($D20&gt;=$AE$1+COUNTIF($AE20:AO20,$D$8),$D$8,IF($I20&gt;=$AE$1+COUNTIF($AE20:AO20,$I$8),$I$8,"NG"))),IF($J20&gt;=$AE$1+COUNTIF($AE20:AO20,$J$8),$J$8,IF($I20&gt;=$AE$1+COUNTIF($AE20:AO20,$I$8),$I$8,"NG"))),"NG")</f>
        <v>#DIV/0!</v>
      </c>
      <c r="AQ20" s="363" t="e">
        <f>IF($AB20&gt;=AQ$8,IF($S20&gt;=$AE$1,IF($J20&gt;=$AE$1+COUNTIF($AE20:AP20,$J$8),$J$8,IF($D20&gt;=$AE$1+COUNTIF($AE20:AP20,$D$8),$D$8,IF($I20&gt;=$AE$1+COUNTIF($AE20:AP20,$I$8),$I$8,"NG"))),IF($J20&gt;=$AE$1+COUNTIF($AE20:AP20,$J$8),$J$8,IF($I20&gt;=$AE$1+COUNTIF($AE20:AP20,$I$8),$I$8,"NG"))),"NG")</f>
        <v>#DIV/0!</v>
      </c>
      <c r="AR20" s="363" t="str">
        <f>IF($AC20&gt;=AR$8,IF($J20&gt;=$AE$1+COUNTIF($AE20:AQ20,$J$8),$J$8,IF($I20&gt;=$AE$1+COUNTIF($AE20:AQ20,$I$8),$I$8,"NG")),"NG")</f>
        <v>NG</v>
      </c>
      <c r="AS20" s="363" t="str">
        <f>IF($AC20&gt;=AS$8,IF($J20&gt;=$AE$1+COUNTIF($AE20:AR20,$J$8),$J$8,IF($I20&gt;=$AE$1+COUNTIF($AE20:AR20,$I$8),$I$8,"NG")),"NG")</f>
        <v>NG</v>
      </c>
      <c r="AT20" s="363" t="e">
        <f>IF(AND(W20="OK",AE20="NG"),IF($N20&gt;=$AE$1+COUNTIF($AE20:AS20,$N$8),$N$8,IF($M20&gt;=$AE$1+COUNTIF($AE20:AS20,$M$8),$M$8,IF($L20&gt;=$AE$1+COUNTIF($AE20:AS20,$L$8),$L$8,"NG"))),"NG")</f>
        <v>#DIV/0!</v>
      </c>
      <c r="AU20" s="363" t="e">
        <f>IF(Z20="OK",IF($C20&gt;=$AE$1+COUNTIF($AE20:AT20,$C$8),$C$8,IF($D20&gt;=$AE$1+COUNTIF($AE20:AT20,$D$8),$D$8,IF($N20&gt;=$AE$1+COUNTIF($AE20:AT20,$N$8),$N$8,IF($I20&gt;=$AE$1+COUNTIF($AE20:AT20,$I$8),$I$8,IF($M20&gt;=$AE$1+COUNTIF($AE20:AT20,$M$8),$M$8,IF($L20&gt;=$AE$1+COUNTIF($AE20:AT20,$L$8),$L$8,"NG")))))),"NG")</f>
        <v>#DIV/0!</v>
      </c>
      <c r="AV20" s="363" t="e">
        <f>IF(AA20="OK",IF(COUNTIF($AE20:AU20,$L$8)+COUNTIF($AE20:AU20,$M$8)+COUNTIF($AE20:AU20,$N$8)&gt;=2,"NG",IF($C20&gt;=$AE$1+COUNTIF($AE20:AU20,$C$8),$C$8,IF($D20&gt;=$AE$1+COUNTIF($AE20:AU20,$D$8),$D$8,IF($N20&gt;=$AE$1+COUNTIF($AE20:AU20,$N$8),$N$8,IF($M20&gt;=$AE$1+COUNTIF($AE20:AU20,$M$8),$M$8,IF($I20&gt;=$AE$1+COUNTIF($AE20:AU20,$I$8),$I$8,IF($L20&gt;=$AE$1+COUNTIF($AE20:AU20,$L$8),$L$8,"NG"))))))),"NG")</f>
        <v>#DIV/0!</v>
      </c>
      <c r="AX20" s="363" t="e">
        <f t="shared" si="30"/>
        <v>#DIV/0!</v>
      </c>
      <c r="AY20" s="363">
        <f t="shared" si="20"/>
        <v>0</v>
      </c>
      <c r="AZ20" s="363">
        <f t="shared" si="21"/>
        <v>0</v>
      </c>
    </row>
  </sheetData>
  <sheetProtection selectLockedCells="1" selectUnlockedCells="1"/>
  <phoneticPr fontId="1"/>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1360-83D8-4B8F-95B4-95F045E9176B}">
  <sheetPr>
    <tabColor rgb="FF00B050"/>
  </sheetPr>
  <dimension ref="A1:U42"/>
  <sheetViews>
    <sheetView view="pageBreakPreview" zoomScale="96" zoomScaleNormal="100" zoomScaleSheetLayoutView="96" workbookViewId="0">
      <selection activeCell="D6" sqref="D6"/>
    </sheetView>
  </sheetViews>
  <sheetFormatPr defaultRowHeight="18"/>
  <cols>
    <col min="2" max="2" width="4.75" bestFit="1" customWidth="1"/>
    <col min="3" max="3" width="8.25" customWidth="1"/>
    <col min="4" max="4" width="28.33203125" customWidth="1"/>
    <col min="5" max="5" width="22.83203125" hidden="1" customWidth="1"/>
    <col min="6" max="10" width="11.25" customWidth="1"/>
    <col min="11" max="11" width="15" customWidth="1"/>
    <col min="12" max="12" width="0" hidden="1" customWidth="1"/>
  </cols>
  <sheetData>
    <row r="1" spans="1:21" s="20" customFormat="1" ht="25" customHeight="1">
      <c r="A1" s="847" t="s">
        <v>252</v>
      </c>
      <c r="B1" s="847"/>
      <c r="C1" s="847"/>
      <c r="D1" s="847"/>
      <c r="E1" s="847"/>
      <c r="F1" s="847"/>
      <c r="G1" s="847"/>
      <c r="H1" s="847"/>
      <c r="I1" s="847"/>
      <c r="J1" s="847"/>
      <c r="K1" s="847"/>
      <c r="L1" s="197"/>
      <c r="M1" s="197"/>
      <c r="N1" s="197"/>
      <c r="O1" s="197"/>
      <c r="P1" s="197"/>
    </row>
    <row r="2" spans="1:21" s="20" customFormat="1" ht="25" customHeight="1">
      <c r="F2" s="848" t="s">
        <v>109</v>
      </c>
      <c r="G2" s="848"/>
      <c r="H2" s="828">
        <f>①基本情報!D6</f>
        <v>0</v>
      </c>
      <c r="I2" s="828"/>
      <c r="J2" s="828"/>
      <c r="K2" s="828"/>
      <c r="M2" s="20" t="s">
        <v>136</v>
      </c>
    </row>
    <row r="4" spans="1:21" ht="15" customHeight="1">
      <c r="A4" s="56" t="s">
        <v>253</v>
      </c>
      <c r="B4" t="s">
        <v>981</v>
      </c>
    </row>
    <row r="5" spans="1:21" ht="39.75" customHeight="1">
      <c r="B5" s="200" t="s">
        <v>806</v>
      </c>
      <c r="C5" s="200" t="s">
        <v>829</v>
      </c>
      <c r="D5" s="198" t="s">
        <v>254</v>
      </c>
      <c r="E5" s="200" t="s">
        <v>1057</v>
      </c>
      <c r="F5" s="198" t="s">
        <v>255</v>
      </c>
      <c r="G5" s="198" t="s">
        <v>256</v>
      </c>
      <c r="H5" s="198" t="s">
        <v>257</v>
      </c>
      <c r="I5" s="198" t="s">
        <v>258</v>
      </c>
      <c r="J5" s="198" t="s">
        <v>259</v>
      </c>
      <c r="K5" s="198" t="s">
        <v>260</v>
      </c>
      <c r="M5" s="57" t="s">
        <v>261</v>
      </c>
      <c r="N5" s="849" t="s">
        <v>204</v>
      </c>
      <c r="O5" s="850"/>
      <c r="P5" s="849" t="s">
        <v>205</v>
      </c>
      <c r="Q5" s="850"/>
      <c r="R5" s="849" t="s">
        <v>262</v>
      </c>
      <c r="S5" s="850"/>
      <c r="T5" s="849" t="s">
        <v>263</v>
      </c>
      <c r="U5" s="850"/>
    </row>
    <row r="6" spans="1:21" ht="15" customHeight="1">
      <c r="A6" s="843">
        <v>4</v>
      </c>
      <c r="B6" s="851" t="e">
        <f>IF(判定!W9="OK",1,"")</f>
        <v>#DIV/0!</v>
      </c>
      <c r="C6" s="845" t="str">
        <f>IFERROR(INDEX($I$37:$J$42,MATCH(判定!AX9,$I$37:$I$42,0),2),"-")</f>
        <v>-</v>
      </c>
      <c r="D6" s="138"/>
      <c r="E6" s="269"/>
      <c r="F6" s="60" t="str">
        <f>IF(D6="","",IF(O6="○",N$5,IF(Q6="○",P$5,IF(S6="○",R$5,IF(U6="○",T$5,"ERROR")))))</f>
        <v/>
      </c>
      <c r="G6" s="59" t="str">
        <f>IF(D6="","",IF(O6="○",N6,IF(Q6="○",P6,IF(S6="○",R6,IF(U6="○",T6,"ERROR")))))</f>
        <v/>
      </c>
      <c r="H6" s="139" t="str">
        <f>IF($C6="","",IF(D6="","",IF($F6="正規職員","-","賃金単価を記載")))</f>
        <v/>
      </c>
      <c r="I6" s="59" t="str">
        <f>IF($C6="","",IF(D6="","",IF($F6="正規職員","-",G6*H6)))</f>
        <v/>
      </c>
      <c r="J6" s="59">
        <v>215833.33333333401</v>
      </c>
      <c r="K6" s="59" t="str">
        <f>IFERROR(IF($C6="-","",IF(D6="",0,IF(F6="正規職員",J6,MIN(I6:J6)))),0)</f>
        <v/>
      </c>
      <c r="L6" s="61" t="str">
        <f>IF(D6="","",IF(COUNTIFS(D6,"*Ｃ6*")=1,"○","エラー"))</f>
        <v/>
      </c>
      <c r="M6" s="62">
        <v>3</v>
      </c>
      <c r="N6" s="62" t="e">
        <f>VLOOKUP($D6&amp;N$5,'②-2勤務時間数入力'!$D$7:$Q$106,$M6,FALSE)</f>
        <v>#N/A</v>
      </c>
      <c r="O6" s="62" t="str">
        <f>IF(ISERROR(N6),"×",IF(N6="-","×","○"))</f>
        <v>×</v>
      </c>
      <c r="P6" s="62" t="e">
        <f>VLOOKUP($D6&amp;P$5,'②-2勤務時間数入力'!$D$7:$Q$106,$M6,FALSE)</f>
        <v>#N/A</v>
      </c>
      <c r="Q6" s="62" t="str">
        <f t="shared" ref="Q6:Q29" si="0">IF(ISERROR(P6),"×",IF(P6="-","×","○"))</f>
        <v>×</v>
      </c>
      <c r="R6" s="62" t="e">
        <f>VLOOKUP($D6&amp;R$5,'②-2勤務時間数入力'!$D$7:$Q$106,$M6,FALSE)</f>
        <v>#N/A</v>
      </c>
      <c r="S6" s="62" t="str">
        <f t="shared" ref="S6:S29" si="1">IF(ISERROR(R6),"×",IF(R6="-","×","○"))</f>
        <v>×</v>
      </c>
      <c r="T6" s="62" t="e">
        <f>VLOOKUP($D6&amp;T$5,'②-2勤務時間数入力'!$D$7:$Q$106,$M6,FALSE)</f>
        <v>#N/A</v>
      </c>
      <c r="U6" s="62" t="str">
        <f t="shared" ref="U6:U29" si="2">IF(ISERROR(T6),"×",IF(T6="-","×","○"))</f>
        <v>×</v>
      </c>
    </row>
    <row r="7" spans="1:21" ht="15" customHeight="1">
      <c r="A7" s="844"/>
      <c r="B7" s="852"/>
      <c r="C7" s="846"/>
      <c r="D7" s="138"/>
      <c r="E7" s="269"/>
      <c r="F7" s="60" t="str">
        <f>IF(D7="","",IF(O7="○",N$5,IF(Q7="○",P$5,IF(S7="○",R$5,IF(U7="○",T$5,"ERROR")))))</f>
        <v/>
      </c>
      <c r="G7" s="59" t="str">
        <f t="shared" ref="G7:G29" si="3">IF(D7="","",IF(O7="○",N7,IF(Q7="○",P7,IF(S7="○",R7,IF(U7="○",T7,"ERROR")))))</f>
        <v/>
      </c>
      <c r="H7" s="139" t="str">
        <f>IF($C6="","",IF(D7="","",IF($F7="正規職員","-","賃金単価を記載")))</f>
        <v/>
      </c>
      <c r="I7" s="59" t="str">
        <f>IF($C6="","",IF(D7="","",IF($F7="正規職員","-",G7*H7)))</f>
        <v/>
      </c>
      <c r="J7" s="59">
        <f>$J$6</f>
        <v>215833.33333333401</v>
      </c>
      <c r="K7" s="59" t="str">
        <f>IFERROR(IF($C6="-","",IF(D7="","",IF(F7="正規職員",J7-K6,MIN(MIN(I7:J7),J6-K6)))),0)</f>
        <v/>
      </c>
      <c r="L7" s="61" t="str">
        <f>IF(D7="","",IF(COUNTIFS(D7,"*保育士*")=1,"○","エラー"))</f>
        <v/>
      </c>
      <c r="M7" s="62">
        <f>M6</f>
        <v>3</v>
      </c>
      <c r="N7" s="62" t="e">
        <f>VLOOKUP($D7&amp;N$5,'②-2勤務時間数入力'!$D$7:$Q$106,$M7,FALSE)</f>
        <v>#N/A</v>
      </c>
      <c r="O7" s="62" t="str">
        <f t="shared" ref="O7:O29" si="4">IF(ISERROR(N7),"×",IF(N7="-","×","○"))</f>
        <v>×</v>
      </c>
      <c r="P7" s="62" t="e">
        <f>VLOOKUP($D7&amp;P$5,'②-2勤務時間数入力'!$D$7:$Q$106,$M7,FALSE)</f>
        <v>#N/A</v>
      </c>
      <c r="Q7" s="62" t="str">
        <f t="shared" si="0"/>
        <v>×</v>
      </c>
      <c r="R7" s="62" t="e">
        <f>VLOOKUP($D7&amp;R$5,'②-2勤務時間数入力'!$D$7:$Q$106,$M7,FALSE)</f>
        <v>#N/A</v>
      </c>
      <c r="S7" s="62" t="str">
        <f t="shared" si="1"/>
        <v>×</v>
      </c>
      <c r="T7" s="62" t="e">
        <f>VLOOKUP($D7&amp;T$5,'②-2勤務時間数入力'!$D$7:$Q$106,$M7,FALSE)</f>
        <v>#N/A</v>
      </c>
      <c r="U7" s="62" t="str">
        <f t="shared" si="2"/>
        <v>×</v>
      </c>
    </row>
    <row r="8" spans="1:21" ht="15" hidden="1" customHeight="1">
      <c r="A8" s="843">
        <v>5</v>
      </c>
      <c r="B8" s="845" t="e">
        <f>IF(判定!W10="OK",1,"")</f>
        <v>#DIV/0!</v>
      </c>
      <c r="C8" s="845" t="str">
        <f>IFERROR(INDEX($I$37:$J$42,MATCH(判定!AX10,$I$37:$I$42,0),2),"-")</f>
        <v>-</v>
      </c>
      <c r="D8" s="138" t="str">
        <f>IF(D6="","",D6)</f>
        <v/>
      </c>
      <c r="E8" s="138" t="str">
        <f>IF(E6="","",E6)</f>
        <v/>
      </c>
      <c r="F8" s="60" t="str">
        <f t="shared" ref="F8:F29" si="5">IF(D8="","",IF(O8="○",N$5,IF(Q8="○",P$5,IF(S8="○",R$5,IF(U8="○",T$5,"ERROR")))))</f>
        <v/>
      </c>
      <c r="G8" s="59" t="str">
        <f t="shared" si="3"/>
        <v/>
      </c>
      <c r="H8" s="139" t="str">
        <f>IF($C8="","",IF($F8="正規職員","-",IF(AND(EXACT(C6,C8),EXACT(D6,D8),EXACT(F6,F8)),H6,"賃金単価を記載")))</f>
        <v/>
      </c>
      <c r="I8" s="59" t="e">
        <f>IF($C8="","",IF($F8="正規職員","-",G8*H8))</f>
        <v>#VALUE!</v>
      </c>
      <c r="J8" s="59">
        <f t="shared" ref="J8:J29" si="6">$J$6</f>
        <v>215833.33333333401</v>
      </c>
      <c r="K8" s="59" t="str">
        <f>IFERROR(IF($C8="-","",IF(D8="",0,IF(F8="正規職員",J8,MIN(I8:J8)))),0)</f>
        <v/>
      </c>
      <c r="L8" s="61" t="str">
        <f t="shared" ref="L8:L29" si="7">IF(D8="","",IF(COUNTIFS(D8,"*Ｃ6*")=1,"○","エラー"))</f>
        <v/>
      </c>
      <c r="M8" s="62">
        <f>M6+1</f>
        <v>4</v>
      </c>
      <c r="N8" s="62" t="e">
        <f>VLOOKUP($D8&amp;N$5,'②-2勤務時間数入力'!$D$7:$Q$106,$M8,FALSE)</f>
        <v>#N/A</v>
      </c>
      <c r="O8" s="62" t="str">
        <f t="shared" si="4"/>
        <v>×</v>
      </c>
      <c r="P8" s="62" t="e">
        <f>VLOOKUP($D8&amp;P$5,'②-2勤務時間数入力'!$D$7:$Q$106,$M8,FALSE)</f>
        <v>#N/A</v>
      </c>
      <c r="Q8" s="62" t="str">
        <f t="shared" si="0"/>
        <v>×</v>
      </c>
      <c r="R8" s="62" t="e">
        <f>VLOOKUP($D8&amp;R$5,'②-2勤務時間数入力'!$D$7:$Q$106,$M8,FALSE)</f>
        <v>#N/A</v>
      </c>
      <c r="S8" s="62" t="str">
        <f t="shared" si="1"/>
        <v>×</v>
      </c>
      <c r="T8" s="62" t="e">
        <f>VLOOKUP($D8&amp;T$5,'②-2勤務時間数入力'!$D$7:$Q$106,$M8,FALSE)</f>
        <v>#N/A</v>
      </c>
      <c r="U8" s="62" t="str">
        <f t="shared" si="2"/>
        <v>×</v>
      </c>
    </row>
    <row r="9" spans="1:21" ht="15" hidden="1" customHeight="1">
      <c r="A9" s="844"/>
      <c r="B9" s="846"/>
      <c r="C9" s="846"/>
      <c r="D9" s="138" t="str">
        <f t="shared" ref="D9:D29" si="8">IF(D7="","",D7)</f>
        <v/>
      </c>
      <c r="E9" s="138" t="str">
        <f t="shared" ref="E9" si="9">IF(E7="","",E7)</f>
        <v/>
      </c>
      <c r="F9" s="60" t="str">
        <f t="shared" si="5"/>
        <v/>
      </c>
      <c r="G9" s="59" t="str">
        <f t="shared" si="3"/>
        <v/>
      </c>
      <c r="H9" s="139" t="str">
        <f>IF($C8="","",IF(D9="","",IF($F9="正規職員","-",IF(AND(EXACT(C6,C8),EXACT(D7,D9),EXACT(F7,F9)),H7,"賃金単価を記載"))))</f>
        <v/>
      </c>
      <c r="I9" s="59" t="str">
        <f>IF($C8="","",IF(D9="","",IF($F9="正規職員","-",G9*H9)))</f>
        <v/>
      </c>
      <c r="J9" s="59">
        <f t="shared" si="6"/>
        <v>215833.33333333401</v>
      </c>
      <c r="K9" s="59" t="str">
        <f>IFERROR(IF($C8="-","",IF(D9="","",IF(F9="正規職員",J9-K8,MIN(MIN(I9:J9),J8-K8)))),0)</f>
        <v/>
      </c>
      <c r="L9" s="61" t="str">
        <f t="shared" si="7"/>
        <v/>
      </c>
      <c r="M9" s="62">
        <f>M8</f>
        <v>4</v>
      </c>
      <c r="N9" s="62" t="e">
        <f>VLOOKUP($D9&amp;N$5,'②-2勤務時間数入力'!$D$7:$Q$106,$M9,FALSE)</f>
        <v>#N/A</v>
      </c>
      <c r="O9" s="62" t="str">
        <f t="shared" si="4"/>
        <v>×</v>
      </c>
      <c r="P9" s="62" t="e">
        <f>VLOOKUP($D9&amp;P$5,'②-2勤務時間数入力'!$D$7:$Q$106,$M9,FALSE)</f>
        <v>#N/A</v>
      </c>
      <c r="Q9" s="62" t="str">
        <f t="shared" si="0"/>
        <v>×</v>
      </c>
      <c r="R9" s="62" t="e">
        <f>VLOOKUP($D9&amp;R$5,'②-2勤務時間数入力'!$D$7:$Q$106,$M9,FALSE)</f>
        <v>#N/A</v>
      </c>
      <c r="S9" s="62" t="str">
        <f t="shared" si="1"/>
        <v>×</v>
      </c>
      <c r="T9" s="62" t="e">
        <f>VLOOKUP($D9&amp;T$5,'②-2勤務時間数入力'!$D$7:$Q$106,$M9,FALSE)</f>
        <v>#N/A</v>
      </c>
      <c r="U9" s="62" t="str">
        <f t="shared" si="2"/>
        <v>×</v>
      </c>
    </row>
    <row r="10" spans="1:21" ht="15" hidden="1" customHeight="1">
      <c r="A10" s="843">
        <v>6</v>
      </c>
      <c r="B10" s="845" t="e">
        <f>IF(判定!W11="OK",1,"")</f>
        <v>#DIV/0!</v>
      </c>
      <c r="C10" s="845" t="str">
        <f>IFERROR(INDEX($I$37:$J$42,MATCH(判定!AX11,$I$37:$I$42,0),2),"-")</f>
        <v>-</v>
      </c>
      <c r="D10" s="138" t="str">
        <f t="shared" si="8"/>
        <v/>
      </c>
      <c r="E10" s="138" t="str">
        <f t="shared" ref="E10" si="10">IF(E8="","",E8)</f>
        <v/>
      </c>
      <c r="F10" s="60" t="str">
        <f t="shared" si="5"/>
        <v/>
      </c>
      <c r="G10" s="59" t="str">
        <f t="shared" si="3"/>
        <v/>
      </c>
      <c r="H10" s="139" t="str">
        <f>IF($C10="","",IF($F10="正規職員","-",IF(AND(EXACT(C8,C10),EXACT(D8,D10),EXACT(F8,F10)),H8,"賃金単価を記載")))</f>
        <v/>
      </c>
      <c r="I10" s="59" t="e">
        <f>IF($C10="","",IF($F10="正規職員","-",G10*H10))</f>
        <v>#VALUE!</v>
      </c>
      <c r="J10" s="59">
        <f t="shared" si="6"/>
        <v>215833.33333333401</v>
      </c>
      <c r="K10" s="59" t="str">
        <f t="shared" ref="K10" si="11">IFERROR(IF($C10="-","",IF(D10="",0,IF(F10="正規職員",J10,MIN(I10:J10)))),0)</f>
        <v/>
      </c>
      <c r="L10" s="61" t="str">
        <f t="shared" si="7"/>
        <v/>
      </c>
      <c r="M10" s="62">
        <f t="shared" ref="M10" si="12">M8+1</f>
        <v>5</v>
      </c>
      <c r="N10" s="62" t="e">
        <f>VLOOKUP($D10&amp;N$5,'②-2勤務時間数入力'!$D$7:$Q$106,$M10,FALSE)</f>
        <v>#N/A</v>
      </c>
      <c r="O10" s="62" t="str">
        <f t="shared" si="4"/>
        <v>×</v>
      </c>
      <c r="P10" s="62" t="e">
        <f>VLOOKUP($D10&amp;P$5,'②-2勤務時間数入力'!$D$7:$Q$106,$M10,FALSE)</f>
        <v>#N/A</v>
      </c>
      <c r="Q10" s="62" t="str">
        <f t="shared" si="0"/>
        <v>×</v>
      </c>
      <c r="R10" s="62" t="e">
        <f>VLOOKUP($D10&amp;R$5,'②-2勤務時間数入力'!$D$7:$Q$106,$M10,FALSE)</f>
        <v>#N/A</v>
      </c>
      <c r="S10" s="62" t="str">
        <f t="shared" si="1"/>
        <v>×</v>
      </c>
      <c r="T10" s="62" t="e">
        <f>VLOOKUP($D10&amp;T$5,'②-2勤務時間数入力'!$D$7:$Q$106,$M10,FALSE)</f>
        <v>#N/A</v>
      </c>
      <c r="U10" s="62" t="str">
        <f t="shared" si="2"/>
        <v>×</v>
      </c>
    </row>
    <row r="11" spans="1:21" ht="15" hidden="1" customHeight="1">
      <c r="A11" s="844"/>
      <c r="B11" s="846"/>
      <c r="C11" s="846"/>
      <c r="D11" s="138" t="str">
        <f t="shared" si="8"/>
        <v/>
      </c>
      <c r="E11" s="138" t="str">
        <f t="shared" ref="E11" si="13">IF(E9="","",E9)</f>
        <v/>
      </c>
      <c r="F11" s="60" t="str">
        <f t="shared" si="5"/>
        <v/>
      </c>
      <c r="G11" s="59" t="str">
        <f t="shared" si="3"/>
        <v/>
      </c>
      <c r="H11" s="139" t="str">
        <f>IF($C10="","",IF(D11="","",IF($F11="正規職員","-",IF(AND(EXACT(C8,C10),EXACT(D9,D11),EXACT(F9,F11)),H9,"賃金単価を記載"))))</f>
        <v/>
      </c>
      <c r="I11" s="59" t="str">
        <f>IF($C10="","",IF(D11="","",IF($F11="正規職員","-",G11*H11)))</f>
        <v/>
      </c>
      <c r="J11" s="59">
        <f t="shared" si="6"/>
        <v>215833.33333333401</v>
      </c>
      <c r="K11" s="59" t="str">
        <f t="shared" ref="K11" si="14">IFERROR(IF($C10="-","",IF(D11="","",IF(F11="正規職員",J11-K10,MIN(MIN(I11:J11),J10-K10)))),0)</f>
        <v/>
      </c>
      <c r="L11" s="61" t="str">
        <f t="shared" si="7"/>
        <v/>
      </c>
      <c r="M11" s="62">
        <f t="shared" ref="M11" si="15">M10</f>
        <v>5</v>
      </c>
      <c r="N11" s="62" t="e">
        <f>VLOOKUP($D11&amp;N$5,'②-2勤務時間数入力'!$D$7:$Q$106,$M11,FALSE)</f>
        <v>#N/A</v>
      </c>
      <c r="O11" s="62" t="str">
        <f t="shared" si="4"/>
        <v>×</v>
      </c>
      <c r="P11" s="62" t="e">
        <f>VLOOKUP($D11&amp;P$5,'②-2勤務時間数入力'!$D$7:$Q$106,$M11,FALSE)</f>
        <v>#N/A</v>
      </c>
      <c r="Q11" s="62" t="str">
        <f t="shared" si="0"/>
        <v>×</v>
      </c>
      <c r="R11" s="62" t="e">
        <f>VLOOKUP($D11&amp;R$5,'②-2勤務時間数入力'!$D$7:$Q$106,$M11,FALSE)</f>
        <v>#N/A</v>
      </c>
      <c r="S11" s="62" t="str">
        <f t="shared" si="1"/>
        <v>×</v>
      </c>
      <c r="T11" s="62" t="e">
        <f>VLOOKUP($D11&amp;T$5,'②-2勤務時間数入力'!$D$7:$Q$106,$M11,FALSE)</f>
        <v>#N/A</v>
      </c>
      <c r="U11" s="62" t="str">
        <f t="shared" si="2"/>
        <v>×</v>
      </c>
    </row>
    <row r="12" spans="1:21" ht="15" hidden="1" customHeight="1">
      <c r="A12" s="843">
        <v>7</v>
      </c>
      <c r="B12" s="845" t="e">
        <f>IF(判定!W12="OK",1,"")</f>
        <v>#DIV/0!</v>
      </c>
      <c r="C12" s="845" t="str">
        <f>IFERROR(INDEX($I$37:$J$42,MATCH(判定!AX12,$I$37:$I$42,0),2),"-")</f>
        <v>-</v>
      </c>
      <c r="D12" s="138" t="str">
        <f t="shared" si="8"/>
        <v/>
      </c>
      <c r="E12" s="138" t="str">
        <f t="shared" ref="E12" si="16">IF(E10="","",E10)</f>
        <v/>
      </c>
      <c r="F12" s="60" t="str">
        <f t="shared" si="5"/>
        <v/>
      </c>
      <c r="G12" s="59" t="str">
        <f t="shared" si="3"/>
        <v/>
      </c>
      <c r="H12" s="139" t="str">
        <f>IF($C12="","",IF($F12="正規職員","-",IF(AND(EXACT(C10,C12),EXACT(D10,D12),EXACT(F10,F12)),H10,"賃金単価を記載")))</f>
        <v/>
      </c>
      <c r="I12" s="59" t="e">
        <f>IF($C12="","",IF($F12="正規職員","-",G12*H12))</f>
        <v>#VALUE!</v>
      </c>
      <c r="J12" s="59">
        <f t="shared" si="6"/>
        <v>215833.33333333401</v>
      </c>
      <c r="K12" s="59" t="str">
        <f t="shared" ref="K12" si="17">IFERROR(IF($C12="-","",IF(D12="",0,IF(F12="正規職員",J12,MIN(I12:J12)))),0)</f>
        <v/>
      </c>
      <c r="L12" s="61" t="str">
        <f t="shared" si="7"/>
        <v/>
      </c>
      <c r="M12" s="62">
        <f t="shared" ref="M12" si="18">M10+1</f>
        <v>6</v>
      </c>
      <c r="N12" s="62" t="e">
        <f>VLOOKUP($D12&amp;N$5,'②-2勤務時間数入力'!$D$7:$Q$106,$M12,FALSE)</f>
        <v>#N/A</v>
      </c>
      <c r="O12" s="62" t="str">
        <f t="shared" si="4"/>
        <v>×</v>
      </c>
      <c r="P12" s="62" t="e">
        <f>VLOOKUP($D12&amp;P$5,'②-2勤務時間数入力'!$D$7:$Q$106,$M12,FALSE)</f>
        <v>#N/A</v>
      </c>
      <c r="Q12" s="62" t="str">
        <f t="shared" si="0"/>
        <v>×</v>
      </c>
      <c r="R12" s="62" t="e">
        <f>VLOOKUP($D12&amp;R$5,'②-2勤務時間数入力'!$D$7:$Q$106,$M12,FALSE)</f>
        <v>#N/A</v>
      </c>
      <c r="S12" s="62" t="str">
        <f t="shared" si="1"/>
        <v>×</v>
      </c>
      <c r="T12" s="62" t="e">
        <f>VLOOKUP($D12&amp;T$5,'②-2勤務時間数入力'!$D$7:$Q$106,$M12,FALSE)</f>
        <v>#N/A</v>
      </c>
      <c r="U12" s="62" t="str">
        <f t="shared" si="2"/>
        <v>×</v>
      </c>
    </row>
    <row r="13" spans="1:21" ht="15" hidden="1" customHeight="1">
      <c r="A13" s="844"/>
      <c r="B13" s="846"/>
      <c r="C13" s="846"/>
      <c r="D13" s="138" t="str">
        <f t="shared" si="8"/>
        <v/>
      </c>
      <c r="E13" s="138" t="str">
        <f t="shared" ref="E13" si="19">IF(E11="","",E11)</f>
        <v/>
      </c>
      <c r="F13" s="60" t="str">
        <f t="shared" si="5"/>
        <v/>
      </c>
      <c r="G13" s="59" t="str">
        <f t="shared" si="3"/>
        <v/>
      </c>
      <c r="H13" s="139" t="str">
        <f>IF($C12="","",IF(D13="","",IF($F13="正規職員","-",IF(AND(EXACT(C10,C12),EXACT(D11,D13),EXACT(F11,F13)),H11,"賃金単価を記載"))))</f>
        <v/>
      </c>
      <c r="I13" s="59" t="str">
        <f>IF($C12="","",IF(D13="","",IF($F13="正規職員","-",G13*H13)))</f>
        <v/>
      </c>
      <c r="J13" s="59">
        <f t="shared" si="6"/>
        <v>215833.33333333401</v>
      </c>
      <c r="K13" s="59" t="str">
        <f t="shared" ref="K13" si="20">IFERROR(IF($C12="-","",IF(D13="","",IF(F13="正規職員",J13-K12,MIN(MIN(I13:J13),J12-K12)))),0)</f>
        <v/>
      </c>
      <c r="L13" s="61" t="str">
        <f t="shared" si="7"/>
        <v/>
      </c>
      <c r="M13" s="62">
        <f t="shared" ref="M13" si="21">M12</f>
        <v>6</v>
      </c>
      <c r="N13" s="62" t="e">
        <f>VLOOKUP($D13&amp;N$5,'②-2勤務時間数入力'!$D$7:$Q$106,$M13,FALSE)</f>
        <v>#N/A</v>
      </c>
      <c r="O13" s="62" t="str">
        <f t="shared" si="4"/>
        <v>×</v>
      </c>
      <c r="P13" s="62" t="e">
        <f>VLOOKUP($D13&amp;P$5,'②-2勤務時間数入力'!$D$7:$Q$106,$M13,FALSE)</f>
        <v>#N/A</v>
      </c>
      <c r="Q13" s="62" t="str">
        <f t="shared" si="0"/>
        <v>×</v>
      </c>
      <c r="R13" s="62" t="e">
        <f>VLOOKUP($D13&amp;R$5,'②-2勤務時間数入力'!$D$7:$Q$106,$M13,FALSE)</f>
        <v>#N/A</v>
      </c>
      <c r="S13" s="62" t="str">
        <f t="shared" si="1"/>
        <v>×</v>
      </c>
      <c r="T13" s="62" t="e">
        <f>VLOOKUP($D13&amp;T$5,'②-2勤務時間数入力'!$D$7:$Q$106,$M13,FALSE)</f>
        <v>#N/A</v>
      </c>
      <c r="U13" s="62" t="str">
        <f t="shared" si="2"/>
        <v>×</v>
      </c>
    </row>
    <row r="14" spans="1:21" ht="15" hidden="1" customHeight="1">
      <c r="A14" s="843">
        <v>8</v>
      </c>
      <c r="B14" s="845" t="e">
        <f>IF(判定!W13="OK",1,"")</f>
        <v>#DIV/0!</v>
      </c>
      <c r="C14" s="845" t="str">
        <f>IFERROR(INDEX($I$37:$J$42,MATCH(判定!AX13,$I$37:$I$42,0),2),"-")</f>
        <v>-</v>
      </c>
      <c r="D14" s="138" t="str">
        <f t="shared" si="8"/>
        <v/>
      </c>
      <c r="E14" s="138" t="str">
        <f t="shared" ref="E14" si="22">IF(E12="","",E12)</f>
        <v/>
      </c>
      <c r="F14" s="60" t="str">
        <f t="shared" si="5"/>
        <v/>
      </c>
      <c r="G14" s="59" t="str">
        <f t="shared" si="3"/>
        <v/>
      </c>
      <c r="H14" s="139" t="str">
        <f>IF($C14="","",IF($F14="正規職員","-",IF(AND(EXACT(C12,C14),EXACT(D12,D14),EXACT(F12,F14)),H12,"賃金単価を記載")))</f>
        <v/>
      </c>
      <c r="I14" s="59" t="e">
        <f>IF($C14="","",IF($F14="正規職員","-",G14*H14))</f>
        <v>#VALUE!</v>
      </c>
      <c r="J14" s="59">
        <f t="shared" si="6"/>
        <v>215833.33333333401</v>
      </c>
      <c r="K14" s="59" t="str">
        <f t="shared" ref="K14" si="23">IFERROR(IF($C14="-","",IF(D14="",0,IF(F14="正規職員",J14,MIN(I14:J14)))),0)</f>
        <v/>
      </c>
      <c r="L14" s="61" t="str">
        <f t="shared" si="7"/>
        <v/>
      </c>
      <c r="M14" s="62">
        <f t="shared" ref="M14" si="24">M12+1</f>
        <v>7</v>
      </c>
      <c r="N14" s="62" t="e">
        <f>VLOOKUP($D14&amp;N$5,'②-2勤務時間数入力'!$D$7:$Q$106,$M14,FALSE)</f>
        <v>#N/A</v>
      </c>
      <c r="O14" s="62" t="str">
        <f t="shared" si="4"/>
        <v>×</v>
      </c>
      <c r="P14" s="62" t="e">
        <f>VLOOKUP($D14&amp;P$5,'②-2勤務時間数入力'!$D$7:$Q$106,$M14,FALSE)</f>
        <v>#N/A</v>
      </c>
      <c r="Q14" s="62" t="str">
        <f t="shared" si="0"/>
        <v>×</v>
      </c>
      <c r="R14" s="62" t="e">
        <f>VLOOKUP($D14&amp;R$5,'②-2勤務時間数入力'!$D$7:$Q$106,$M14,FALSE)</f>
        <v>#N/A</v>
      </c>
      <c r="S14" s="62" t="str">
        <f t="shared" si="1"/>
        <v>×</v>
      </c>
      <c r="T14" s="62" t="e">
        <f>VLOOKUP($D14&amp;T$5,'②-2勤務時間数入力'!$D$7:$Q$106,$M14,FALSE)</f>
        <v>#N/A</v>
      </c>
      <c r="U14" s="62" t="str">
        <f t="shared" si="2"/>
        <v>×</v>
      </c>
    </row>
    <row r="15" spans="1:21" ht="15" hidden="1" customHeight="1">
      <c r="A15" s="844"/>
      <c r="B15" s="846"/>
      <c r="C15" s="846"/>
      <c r="D15" s="138" t="str">
        <f t="shared" si="8"/>
        <v/>
      </c>
      <c r="E15" s="138" t="str">
        <f t="shared" ref="E15" si="25">IF(E13="","",E13)</f>
        <v/>
      </c>
      <c r="F15" s="60" t="str">
        <f t="shared" si="5"/>
        <v/>
      </c>
      <c r="G15" s="59" t="str">
        <f t="shared" si="3"/>
        <v/>
      </c>
      <c r="H15" s="139" t="str">
        <f>IF($C14="","",IF(D15="","",IF($F15="正規職員","-",IF(AND(EXACT(C12,C14),EXACT(D13,D15),EXACT(F13,F15)),H13,"賃金単価を記載"))))</f>
        <v/>
      </c>
      <c r="I15" s="59" t="str">
        <f>IF($C14="","",IF(D15="","",IF($F15="正規職員","-",G15*H15)))</f>
        <v/>
      </c>
      <c r="J15" s="59">
        <f t="shared" si="6"/>
        <v>215833.33333333401</v>
      </c>
      <c r="K15" s="59" t="str">
        <f t="shared" ref="K15" si="26">IFERROR(IF($C14="-","",IF(D15="","",IF(F15="正規職員",J15-K14,MIN(MIN(I15:J15),J14-K14)))),0)</f>
        <v/>
      </c>
      <c r="L15" s="61" t="str">
        <f t="shared" si="7"/>
        <v/>
      </c>
      <c r="M15" s="62">
        <f t="shared" ref="M15" si="27">M14</f>
        <v>7</v>
      </c>
      <c r="N15" s="62" t="e">
        <f>VLOOKUP($D15&amp;N$5,'②-2勤務時間数入力'!$D$7:$Q$106,$M15,FALSE)</f>
        <v>#N/A</v>
      </c>
      <c r="O15" s="62" t="str">
        <f t="shared" si="4"/>
        <v>×</v>
      </c>
      <c r="P15" s="62" t="e">
        <f>VLOOKUP($D15&amp;P$5,'②-2勤務時間数入力'!$D$7:$Q$106,$M15,FALSE)</f>
        <v>#N/A</v>
      </c>
      <c r="Q15" s="62" t="str">
        <f t="shared" si="0"/>
        <v>×</v>
      </c>
      <c r="R15" s="62" t="e">
        <f>VLOOKUP($D15&amp;R$5,'②-2勤務時間数入力'!$D$7:$Q$106,$M15,FALSE)</f>
        <v>#N/A</v>
      </c>
      <c r="S15" s="62" t="str">
        <f t="shared" si="1"/>
        <v>×</v>
      </c>
      <c r="T15" s="62" t="e">
        <f>VLOOKUP($D15&amp;T$5,'②-2勤務時間数入力'!$D$7:$Q$106,$M15,FALSE)</f>
        <v>#N/A</v>
      </c>
      <c r="U15" s="62" t="str">
        <f t="shared" si="2"/>
        <v>×</v>
      </c>
    </row>
    <row r="16" spans="1:21" ht="15" hidden="1" customHeight="1">
      <c r="A16" s="843">
        <v>9</v>
      </c>
      <c r="B16" s="845" t="e">
        <f>IF(判定!W14="OK",1,"")</f>
        <v>#DIV/0!</v>
      </c>
      <c r="C16" s="845" t="str">
        <f>IFERROR(INDEX($I$37:$J$42,MATCH(判定!AX14,$I$37:$I$42,0),2),"-")</f>
        <v>-</v>
      </c>
      <c r="D16" s="138" t="str">
        <f t="shared" si="8"/>
        <v/>
      </c>
      <c r="E16" s="138" t="str">
        <f t="shared" ref="E16" si="28">IF(E14="","",E14)</f>
        <v/>
      </c>
      <c r="F16" s="60" t="str">
        <f t="shared" si="5"/>
        <v/>
      </c>
      <c r="G16" s="59" t="str">
        <f t="shared" si="3"/>
        <v/>
      </c>
      <c r="H16" s="139" t="str">
        <f>IF($C16="","",IF($F16="正規職員","-",IF(AND(EXACT(C14,C16),EXACT(D14,D16),EXACT(F14,F16)),H14,"賃金単価を記載")))</f>
        <v/>
      </c>
      <c r="I16" s="59" t="e">
        <f>IF($C16="","",IF($F16="正規職員","-",G16*H16))</f>
        <v>#VALUE!</v>
      </c>
      <c r="J16" s="59">
        <f t="shared" si="6"/>
        <v>215833.33333333401</v>
      </c>
      <c r="K16" s="59" t="str">
        <f t="shared" ref="K16" si="29">IFERROR(IF($C16="-","",IF(D16="",0,IF(F16="正規職員",J16,MIN(I16:J16)))),0)</f>
        <v/>
      </c>
      <c r="L16" s="61" t="str">
        <f t="shared" si="7"/>
        <v/>
      </c>
      <c r="M16" s="62">
        <f t="shared" ref="M16" si="30">M14+1</f>
        <v>8</v>
      </c>
      <c r="N16" s="62" t="e">
        <f>VLOOKUP($D16&amp;N$5,'②-2勤務時間数入力'!$D$7:$Q$106,$M16,FALSE)</f>
        <v>#N/A</v>
      </c>
      <c r="O16" s="62" t="str">
        <f t="shared" si="4"/>
        <v>×</v>
      </c>
      <c r="P16" s="62" t="e">
        <f>VLOOKUP($D16&amp;P$5,'②-2勤務時間数入力'!$D$7:$Q$106,$M16,FALSE)</f>
        <v>#N/A</v>
      </c>
      <c r="Q16" s="62" t="str">
        <f t="shared" si="0"/>
        <v>×</v>
      </c>
      <c r="R16" s="62" t="e">
        <f>VLOOKUP($D16&amp;R$5,'②-2勤務時間数入力'!$D$7:$Q$106,$M16,FALSE)</f>
        <v>#N/A</v>
      </c>
      <c r="S16" s="62" t="str">
        <f t="shared" si="1"/>
        <v>×</v>
      </c>
      <c r="T16" s="62" t="e">
        <f>VLOOKUP($D16&amp;T$5,'②-2勤務時間数入力'!$D$7:$Q$106,$M16,FALSE)</f>
        <v>#N/A</v>
      </c>
      <c r="U16" s="62" t="str">
        <f t="shared" si="2"/>
        <v>×</v>
      </c>
    </row>
    <row r="17" spans="1:21" ht="15" hidden="1" customHeight="1">
      <c r="A17" s="844"/>
      <c r="B17" s="846"/>
      <c r="C17" s="846"/>
      <c r="D17" s="138" t="str">
        <f t="shared" si="8"/>
        <v/>
      </c>
      <c r="E17" s="138" t="str">
        <f t="shared" ref="E17" si="31">IF(E15="","",E15)</f>
        <v/>
      </c>
      <c r="F17" s="60" t="str">
        <f t="shared" si="5"/>
        <v/>
      </c>
      <c r="G17" s="59" t="str">
        <f t="shared" si="3"/>
        <v/>
      </c>
      <c r="H17" s="139" t="str">
        <f>IF($C16="","",IF(D17="","",IF($F17="正規職員","-",IF(AND(EXACT(C14,C16),EXACT(D15,D17),EXACT(F15,F17)),H15,"賃金単価を記載"))))</f>
        <v/>
      </c>
      <c r="I17" s="59" t="str">
        <f>IF($C16="","",IF(D17="","",IF($F17="正規職員","-",G17*H17)))</f>
        <v/>
      </c>
      <c r="J17" s="59">
        <f t="shared" si="6"/>
        <v>215833.33333333401</v>
      </c>
      <c r="K17" s="59" t="str">
        <f t="shared" ref="K17" si="32">IFERROR(IF($C16="-","",IF(D17="","",IF(F17="正規職員",J17-K16,MIN(MIN(I17:J17),J16-K16)))),0)</f>
        <v/>
      </c>
      <c r="L17" s="61" t="str">
        <f t="shared" si="7"/>
        <v/>
      </c>
      <c r="M17" s="62">
        <f t="shared" ref="M17" si="33">M16</f>
        <v>8</v>
      </c>
      <c r="N17" s="62" t="e">
        <f>VLOOKUP($D17&amp;N$5,'②-2勤務時間数入力'!$D$7:$Q$106,$M17,FALSE)</f>
        <v>#N/A</v>
      </c>
      <c r="O17" s="62" t="str">
        <f t="shared" si="4"/>
        <v>×</v>
      </c>
      <c r="P17" s="62" t="e">
        <f>VLOOKUP($D17&amp;P$5,'②-2勤務時間数入力'!$D$7:$Q$106,$M17,FALSE)</f>
        <v>#N/A</v>
      </c>
      <c r="Q17" s="62" t="str">
        <f t="shared" si="0"/>
        <v>×</v>
      </c>
      <c r="R17" s="62" t="e">
        <f>VLOOKUP($D17&amp;R$5,'②-2勤務時間数入力'!$D$7:$Q$106,$M17,FALSE)</f>
        <v>#N/A</v>
      </c>
      <c r="S17" s="62" t="str">
        <f t="shared" si="1"/>
        <v>×</v>
      </c>
      <c r="T17" s="62" t="e">
        <f>VLOOKUP($D17&amp;T$5,'②-2勤務時間数入力'!$D$7:$Q$106,$M17,FALSE)</f>
        <v>#N/A</v>
      </c>
      <c r="U17" s="62" t="str">
        <f t="shared" si="2"/>
        <v>×</v>
      </c>
    </row>
    <row r="18" spans="1:21" ht="15" hidden="1" customHeight="1">
      <c r="A18" s="843">
        <v>10</v>
      </c>
      <c r="B18" s="845" t="e">
        <f>IF(判定!W15="OK",1,"")</f>
        <v>#DIV/0!</v>
      </c>
      <c r="C18" s="845" t="str">
        <f>IFERROR(INDEX($I$37:$J$42,MATCH(判定!AX15,$I$37:$I$42,0),2),"-")</f>
        <v>-</v>
      </c>
      <c r="D18" s="138" t="str">
        <f t="shared" si="8"/>
        <v/>
      </c>
      <c r="E18" s="138" t="str">
        <f t="shared" ref="E18" si="34">IF(E16="","",E16)</f>
        <v/>
      </c>
      <c r="F18" s="60" t="str">
        <f t="shared" si="5"/>
        <v/>
      </c>
      <c r="G18" s="59" t="str">
        <f t="shared" si="3"/>
        <v/>
      </c>
      <c r="H18" s="139" t="str">
        <f>IF($C18="","",IF($F18="正規職員","-",IF(AND(EXACT(C16,C18),EXACT(D16,D18),EXACT(F16,F18)),H16,"賃金単価を記載")))</f>
        <v/>
      </c>
      <c r="I18" s="59" t="e">
        <f>IF($C18="","",IF($F18="正規職員","-",G18*H18))</f>
        <v>#VALUE!</v>
      </c>
      <c r="J18" s="59">
        <f t="shared" si="6"/>
        <v>215833.33333333401</v>
      </c>
      <c r="K18" s="59" t="str">
        <f t="shared" ref="K18" si="35">IFERROR(IF($C18="-","",IF(D18="",0,IF(F18="正規職員",J18,MIN(I18:J18)))),0)</f>
        <v/>
      </c>
      <c r="L18" s="61" t="str">
        <f t="shared" si="7"/>
        <v/>
      </c>
      <c r="M18" s="62">
        <f t="shared" ref="M18" si="36">M16+1</f>
        <v>9</v>
      </c>
      <c r="N18" s="62" t="e">
        <f>VLOOKUP($D18&amp;N$5,'②-2勤務時間数入力'!$D$7:$Q$106,$M18,FALSE)</f>
        <v>#N/A</v>
      </c>
      <c r="O18" s="62" t="str">
        <f t="shared" si="4"/>
        <v>×</v>
      </c>
      <c r="P18" s="62" t="e">
        <f>VLOOKUP($D18&amp;P$5,'②-2勤務時間数入力'!$D$7:$Q$106,$M18,FALSE)</f>
        <v>#N/A</v>
      </c>
      <c r="Q18" s="62" t="str">
        <f t="shared" si="0"/>
        <v>×</v>
      </c>
      <c r="R18" s="62" t="e">
        <f>VLOOKUP($D18&amp;R$5,'②-2勤務時間数入力'!$D$7:$Q$106,$M18,FALSE)</f>
        <v>#N/A</v>
      </c>
      <c r="S18" s="62" t="str">
        <f t="shared" si="1"/>
        <v>×</v>
      </c>
      <c r="T18" s="62" t="e">
        <f>VLOOKUP($D18&amp;T$5,'②-2勤務時間数入力'!$D$7:$Q$106,$M18,FALSE)</f>
        <v>#N/A</v>
      </c>
      <c r="U18" s="62" t="str">
        <f t="shared" si="2"/>
        <v>×</v>
      </c>
    </row>
    <row r="19" spans="1:21" ht="15" hidden="1" customHeight="1">
      <c r="A19" s="844"/>
      <c r="B19" s="846"/>
      <c r="C19" s="846"/>
      <c r="D19" s="138" t="str">
        <f t="shared" si="8"/>
        <v/>
      </c>
      <c r="E19" s="138" t="str">
        <f t="shared" ref="E19" si="37">IF(E17="","",E17)</f>
        <v/>
      </c>
      <c r="F19" s="60" t="str">
        <f t="shared" si="5"/>
        <v/>
      </c>
      <c r="G19" s="59" t="str">
        <f t="shared" si="3"/>
        <v/>
      </c>
      <c r="H19" s="139" t="str">
        <f>IF($C18="","",IF(D19="","",IF($F19="正規職員","-",IF(AND(EXACT(C16,C18),EXACT(D17,D19),EXACT(F17,F19)),H17,"賃金単価を記載"))))</f>
        <v/>
      </c>
      <c r="I19" s="59" t="str">
        <f>IF($C18="","",IF(D19="","",IF($F19="正規職員","-",G19*H19)))</f>
        <v/>
      </c>
      <c r="J19" s="59">
        <f t="shared" si="6"/>
        <v>215833.33333333401</v>
      </c>
      <c r="K19" s="59" t="str">
        <f t="shared" ref="K19" si="38">IFERROR(IF($C18="-","",IF(D19="","",IF(F19="正規職員",J19-K18,MIN(MIN(I19:J19),J18-K18)))),0)</f>
        <v/>
      </c>
      <c r="L19" s="61" t="str">
        <f t="shared" si="7"/>
        <v/>
      </c>
      <c r="M19" s="62">
        <f t="shared" ref="M19" si="39">M18</f>
        <v>9</v>
      </c>
      <c r="N19" s="62" t="e">
        <f>VLOOKUP($D19&amp;N$5,'②-2勤務時間数入力'!$D$7:$Q$106,$M19,FALSE)</f>
        <v>#N/A</v>
      </c>
      <c r="O19" s="62" t="str">
        <f t="shared" si="4"/>
        <v>×</v>
      </c>
      <c r="P19" s="62" t="e">
        <f>VLOOKUP($D19&amp;P$5,'②-2勤務時間数入力'!$D$7:$Q$106,$M19,FALSE)</f>
        <v>#N/A</v>
      </c>
      <c r="Q19" s="62" t="str">
        <f t="shared" si="0"/>
        <v>×</v>
      </c>
      <c r="R19" s="62" t="e">
        <f>VLOOKUP($D19&amp;R$5,'②-2勤務時間数入力'!$D$7:$Q$106,$M19,FALSE)</f>
        <v>#N/A</v>
      </c>
      <c r="S19" s="62" t="str">
        <f t="shared" si="1"/>
        <v>×</v>
      </c>
      <c r="T19" s="62" t="e">
        <f>VLOOKUP($D19&amp;T$5,'②-2勤務時間数入力'!$D$7:$Q$106,$M19,FALSE)</f>
        <v>#N/A</v>
      </c>
      <c r="U19" s="62" t="str">
        <f t="shared" si="2"/>
        <v>×</v>
      </c>
    </row>
    <row r="20" spans="1:21" ht="15" hidden="1" customHeight="1">
      <c r="A20" s="843">
        <v>11</v>
      </c>
      <c r="B20" s="845" t="e">
        <f>IF(判定!W16="OK",1,"")</f>
        <v>#DIV/0!</v>
      </c>
      <c r="C20" s="845" t="str">
        <f>IFERROR(INDEX($I$37:$J$42,MATCH(判定!AX16,$I$37:$I$42,0),2),"-")</f>
        <v>-</v>
      </c>
      <c r="D20" s="138" t="str">
        <f t="shared" si="8"/>
        <v/>
      </c>
      <c r="E20" s="138" t="str">
        <f t="shared" ref="E20" si="40">IF(E18="","",E18)</f>
        <v/>
      </c>
      <c r="F20" s="60" t="str">
        <f t="shared" si="5"/>
        <v/>
      </c>
      <c r="G20" s="59" t="str">
        <f t="shared" si="3"/>
        <v/>
      </c>
      <c r="H20" s="139" t="str">
        <f>IF($C20="","",IF($F20="正規職員","-",IF(AND(EXACT(C18,C20),EXACT(D18,D20),EXACT(F18,F20)),H18,"賃金単価を記載")))</f>
        <v/>
      </c>
      <c r="I20" s="59" t="e">
        <f>IF($C20="","",IF($F20="正規職員","-",G20*H20))</f>
        <v>#VALUE!</v>
      </c>
      <c r="J20" s="59">
        <f t="shared" si="6"/>
        <v>215833.33333333401</v>
      </c>
      <c r="K20" s="59" t="str">
        <f t="shared" ref="K20" si="41">IFERROR(IF($C20="-","",IF(D20="",0,IF(F20="正規職員",J20,MIN(I20:J20)))),0)</f>
        <v/>
      </c>
      <c r="L20" s="61" t="str">
        <f t="shared" si="7"/>
        <v/>
      </c>
      <c r="M20" s="62">
        <f t="shared" ref="M20" si="42">M18+1</f>
        <v>10</v>
      </c>
      <c r="N20" s="62" t="e">
        <f>VLOOKUP($D20&amp;N$5,'②-2勤務時間数入力'!$D$7:$Q$106,$M20,FALSE)</f>
        <v>#N/A</v>
      </c>
      <c r="O20" s="62" t="str">
        <f t="shared" si="4"/>
        <v>×</v>
      </c>
      <c r="P20" s="62" t="e">
        <f>VLOOKUP($D20&amp;P$5,'②-2勤務時間数入力'!$D$7:$Q$106,$M20,FALSE)</f>
        <v>#N/A</v>
      </c>
      <c r="Q20" s="62" t="str">
        <f t="shared" si="0"/>
        <v>×</v>
      </c>
      <c r="R20" s="62" t="e">
        <f>VLOOKUP($D20&amp;R$5,'②-2勤務時間数入力'!$D$7:$Q$106,$M20,FALSE)</f>
        <v>#N/A</v>
      </c>
      <c r="S20" s="62" t="str">
        <f t="shared" si="1"/>
        <v>×</v>
      </c>
      <c r="T20" s="62" t="e">
        <f>VLOOKUP($D20&amp;T$5,'②-2勤務時間数入力'!$D$7:$Q$106,$M20,FALSE)</f>
        <v>#N/A</v>
      </c>
      <c r="U20" s="62" t="str">
        <f t="shared" si="2"/>
        <v>×</v>
      </c>
    </row>
    <row r="21" spans="1:21" ht="15" hidden="1" customHeight="1">
      <c r="A21" s="844"/>
      <c r="B21" s="846"/>
      <c r="C21" s="846"/>
      <c r="D21" s="138" t="str">
        <f t="shared" si="8"/>
        <v/>
      </c>
      <c r="E21" s="138" t="str">
        <f t="shared" ref="E21" si="43">IF(E19="","",E19)</f>
        <v/>
      </c>
      <c r="F21" s="60" t="str">
        <f t="shared" si="5"/>
        <v/>
      </c>
      <c r="G21" s="59" t="str">
        <f t="shared" si="3"/>
        <v/>
      </c>
      <c r="H21" s="139" t="str">
        <f>IF($C20="","",IF(D21="","",IF($F21="正規職員","-",IF(AND(EXACT(C18,C20),EXACT(D19,D21),EXACT(F19,F21)),H19,"賃金単価を記載"))))</f>
        <v/>
      </c>
      <c r="I21" s="59" t="str">
        <f>IF($C20="","",IF(D21="","",IF($F21="正規職員","-",G21*H21)))</f>
        <v/>
      </c>
      <c r="J21" s="59">
        <f t="shared" si="6"/>
        <v>215833.33333333401</v>
      </c>
      <c r="K21" s="59" t="str">
        <f t="shared" ref="K21" si="44">IFERROR(IF($C20="-","",IF(D21="","",IF(F21="正規職員",J21-K20,MIN(MIN(I21:J21),J20-K20)))),0)</f>
        <v/>
      </c>
      <c r="L21" s="61" t="str">
        <f t="shared" si="7"/>
        <v/>
      </c>
      <c r="M21" s="62">
        <f t="shared" ref="M21" si="45">M20</f>
        <v>10</v>
      </c>
      <c r="N21" s="62" t="e">
        <f>VLOOKUP($D21&amp;N$5,'②-2勤務時間数入力'!$D$7:$Q$106,$M21,FALSE)</f>
        <v>#N/A</v>
      </c>
      <c r="O21" s="62" t="str">
        <f t="shared" si="4"/>
        <v>×</v>
      </c>
      <c r="P21" s="62" t="e">
        <f>VLOOKUP($D21&amp;P$5,'②-2勤務時間数入力'!$D$7:$Q$106,$M21,FALSE)</f>
        <v>#N/A</v>
      </c>
      <c r="Q21" s="62" t="str">
        <f t="shared" si="0"/>
        <v>×</v>
      </c>
      <c r="R21" s="62" t="e">
        <f>VLOOKUP($D21&amp;R$5,'②-2勤務時間数入力'!$D$7:$Q$106,$M21,FALSE)</f>
        <v>#N/A</v>
      </c>
      <c r="S21" s="62" t="str">
        <f t="shared" si="1"/>
        <v>×</v>
      </c>
      <c r="T21" s="62" t="e">
        <f>VLOOKUP($D21&amp;T$5,'②-2勤務時間数入力'!$D$7:$Q$106,$M21,FALSE)</f>
        <v>#N/A</v>
      </c>
      <c r="U21" s="62" t="str">
        <f t="shared" si="2"/>
        <v>×</v>
      </c>
    </row>
    <row r="22" spans="1:21" ht="15" hidden="1" customHeight="1">
      <c r="A22" s="843">
        <v>12</v>
      </c>
      <c r="B22" s="845" t="e">
        <f>IF(判定!W17="OK",1,"")</f>
        <v>#DIV/0!</v>
      </c>
      <c r="C22" s="845" t="str">
        <f>IFERROR(INDEX($I$37:$J$42,MATCH(判定!AX17,$I$37:$I$42,0),2),"-")</f>
        <v>-</v>
      </c>
      <c r="D22" s="138" t="str">
        <f t="shared" si="8"/>
        <v/>
      </c>
      <c r="E22" s="138" t="str">
        <f t="shared" ref="E22" si="46">IF(E20="","",E20)</f>
        <v/>
      </c>
      <c r="F22" s="60" t="str">
        <f t="shared" si="5"/>
        <v/>
      </c>
      <c r="G22" s="59" t="str">
        <f t="shared" si="3"/>
        <v/>
      </c>
      <c r="H22" s="139" t="str">
        <f>IF($C22="","",IF($F22="正規職員","-",IF(AND(EXACT(C20,C22),EXACT(D20,D22),EXACT(F20,F22)),H20,"賃金単価を記載")))</f>
        <v/>
      </c>
      <c r="I22" s="59" t="e">
        <f>IF($C22="","",IF($F22="正規職員","-",G22*H22))</f>
        <v>#VALUE!</v>
      </c>
      <c r="J22" s="59">
        <f t="shared" si="6"/>
        <v>215833.33333333401</v>
      </c>
      <c r="K22" s="59" t="str">
        <f t="shared" ref="K22" si="47">IFERROR(IF($C22="-","",IF(D22="",0,IF(F22="正規職員",J22,MIN(I22:J22)))),0)</f>
        <v/>
      </c>
      <c r="L22" s="61" t="str">
        <f t="shared" si="7"/>
        <v/>
      </c>
      <c r="M22" s="62">
        <f t="shared" ref="M22" si="48">M20+1</f>
        <v>11</v>
      </c>
      <c r="N22" s="62" t="e">
        <f>VLOOKUP($D22&amp;N$5,'②-2勤務時間数入力'!$D$7:$Q$106,$M22,FALSE)</f>
        <v>#N/A</v>
      </c>
      <c r="O22" s="62" t="str">
        <f t="shared" si="4"/>
        <v>×</v>
      </c>
      <c r="P22" s="62" t="e">
        <f>VLOOKUP($D22&amp;P$5,'②-2勤務時間数入力'!$D$7:$Q$106,$M22,FALSE)</f>
        <v>#N/A</v>
      </c>
      <c r="Q22" s="62" t="str">
        <f t="shared" si="0"/>
        <v>×</v>
      </c>
      <c r="R22" s="62" t="e">
        <f>VLOOKUP($D22&amp;R$5,'②-2勤務時間数入力'!$D$7:$Q$106,$M22,FALSE)</f>
        <v>#N/A</v>
      </c>
      <c r="S22" s="62" t="str">
        <f t="shared" si="1"/>
        <v>×</v>
      </c>
      <c r="T22" s="62" t="e">
        <f>VLOOKUP($D22&amp;T$5,'②-2勤務時間数入力'!$D$7:$Q$106,$M22,FALSE)</f>
        <v>#N/A</v>
      </c>
      <c r="U22" s="62" t="str">
        <f t="shared" si="2"/>
        <v>×</v>
      </c>
    </row>
    <row r="23" spans="1:21" ht="15" hidden="1" customHeight="1">
      <c r="A23" s="844"/>
      <c r="B23" s="846"/>
      <c r="C23" s="846"/>
      <c r="D23" s="138" t="str">
        <f t="shared" si="8"/>
        <v/>
      </c>
      <c r="E23" s="138" t="str">
        <f t="shared" ref="E23" si="49">IF(E21="","",E21)</f>
        <v/>
      </c>
      <c r="F23" s="60" t="str">
        <f t="shared" si="5"/>
        <v/>
      </c>
      <c r="G23" s="59" t="str">
        <f t="shared" si="3"/>
        <v/>
      </c>
      <c r="H23" s="139" t="str">
        <f>IF($C22="","",IF(D23="","",IF($F23="正規職員","-",IF(AND(EXACT(C20,C22),EXACT(D21,D23),EXACT(F21,F23)),H21,"賃金単価を記載"))))</f>
        <v/>
      </c>
      <c r="I23" s="59" t="str">
        <f>IF($C22="","",IF(D23="","",IF($F23="正規職員","-",G23*H23)))</f>
        <v/>
      </c>
      <c r="J23" s="59">
        <f t="shared" si="6"/>
        <v>215833.33333333401</v>
      </c>
      <c r="K23" s="59" t="str">
        <f t="shared" ref="K23" si="50">IFERROR(IF($C22="-","",IF(D23="","",IF(F23="正規職員",J23-K22,MIN(MIN(I23:J23),J22-K22)))),0)</f>
        <v/>
      </c>
      <c r="L23" s="61" t="str">
        <f t="shared" si="7"/>
        <v/>
      </c>
      <c r="M23" s="62">
        <f t="shared" ref="M23" si="51">M22</f>
        <v>11</v>
      </c>
      <c r="N23" s="62" t="e">
        <f>VLOOKUP($D23&amp;N$5,'②-2勤務時間数入力'!$D$7:$Q$106,$M23,FALSE)</f>
        <v>#N/A</v>
      </c>
      <c r="O23" s="62" t="str">
        <f t="shared" si="4"/>
        <v>×</v>
      </c>
      <c r="P23" s="62" t="e">
        <f>VLOOKUP($D23&amp;P$5,'②-2勤務時間数入力'!$D$7:$Q$106,$M23,FALSE)</f>
        <v>#N/A</v>
      </c>
      <c r="Q23" s="62" t="str">
        <f t="shared" si="0"/>
        <v>×</v>
      </c>
      <c r="R23" s="62" t="e">
        <f>VLOOKUP($D23&amp;R$5,'②-2勤務時間数入力'!$D$7:$Q$106,$M23,FALSE)</f>
        <v>#N/A</v>
      </c>
      <c r="S23" s="62" t="str">
        <f t="shared" si="1"/>
        <v>×</v>
      </c>
      <c r="T23" s="62" t="e">
        <f>VLOOKUP($D23&amp;T$5,'②-2勤務時間数入力'!$D$7:$Q$106,$M23,FALSE)</f>
        <v>#N/A</v>
      </c>
      <c r="U23" s="62" t="str">
        <f t="shared" si="2"/>
        <v>×</v>
      </c>
    </row>
    <row r="24" spans="1:21" ht="15" hidden="1" customHeight="1">
      <c r="A24" s="843">
        <v>1</v>
      </c>
      <c r="B24" s="845" t="e">
        <f>IF(判定!W18="OK",1,"")</f>
        <v>#DIV/0!</v>
      </c>
      <c r="C24" s="845" t="str">
        <f>IFERROR(INDEX($I$37:$J$42,MATCH(判定!AX18,$I$37:$I$42,0),2),"-")</f>
        <v>-</v>
      </c>
      <c r="D24" s="138" t="str">
        <f t="shared" si="8"/>
        <v/>
      </c>
      <c r="E24" s="138" t="str">
        <f t="shared" ref="E24" si="52">IF(E22="","",E22)</f>
        <v/>
      </c>
      <c r="F24" s="60" t="str">
        <f t="shared" si="5"/>
        <v/>
      </c>
      <c r="G24" s="59" t="str">
        <f t="shared" si="3"/>
        <v/>
      </c>
      <c r="H24" s="139" t="str">
        <f>IF($C24="","",IF($F24="正規職員","-",IF(AND(EXACT(C22,C24),EXACT(D22,D24),EXACT(F22,F24)),H22,"賃金単価を記載")))</f>
        <v/>
      </c>
      <c r="I24" s="59" t="e">
        <f>IF($C24="","",IF($F24="正規職員","-",G24*H24))</f>
        <v>#VALUE!</v>
      </c>
      <c r="J24" s="59">
        <f t="shared" si="6"/>
        <v>215833.33333333401</v>
      </c>
      <c r="K24" s="59" t="str">
        <f t="shared" ref="K24" si="53">IFERROR(IF($C24="-","",IF(D24="",0,IF(F24="正規職員",J24,MIN(I24:J24)))),0)</f>
        <v/>
      </c>
      <c r="L24" s="61" t="str">
        <f t="shared" si="7"/>
        <v/>
      </c>
      <c r="M24" s="62">
        <f t="shared" ref="M24" si="54">M22+1</f>
        <v>12</v>
      </c>
      <c r="N24" s="62" t="e">
        <f>VLOOKUP($D24&amp;N$5,'②-2勤務時間数入力'!$D$7:$Q$106,$M24,FALSE)</f>
        <v>#N/A</v>
      </c>
      <c r="O24" s="62" t="str">
        <f t="shared" si="4"/>
        <v>×</v>
      </c>
      <c r="P24" s="62" t="e">
        <f>VLOOKUP($D24&amp;P$5,'②-2勤務時間数入力'!$D$7:$Q$106,$M24,FALSE)</f>
        <v>#N/A</v>
      </c>
      <c r="Q24" s="62" t="str">
        <f t="shared" si="0"/>
        <v>×</v>
      </c>
      <c r="R24" s="62" t="e">
        <f>VLOOKUP($D24&amp;R$5,'②-2勤務時間数入力'!$D$7:$Q$106,$M24,FALSE)</f>
        <v>#N/A</v>
      </c>
      <c r="S24" s="62" t="str">
        <f t="shared" si="1"/>
        <v>×</v>
      </c>
      <c r="T24" s="62" t="e">
        <f>VLOOKUP($D24&amp;T$5,'②-2勤務時間数入力'!$D$7:$Q$106,$M24,FALSE)</f>
        <v>#N/A</v>
      </c>
      <c r="U24" s="62" t="str">
        <f t="shared" si="2"/>
        <v>×</v>
      </c>
    </row>
    <row r="25" spans="1:21" ht="15" hidden="1" customHeight="1">
      <c r="A25" s="844"/>
      <c r="B25" s="846"/>
      <c r="C25" s="846"/>
      <c r="D25" s="138" t="str">
        <f t="shared" si="8"/>
        <v/>
      </c>
      <c r="E25" s="138" t="str">
        <f t="shared" ref="E25" si="55">IF(E23="","",E23)</f>
        <v/>
      </c>
      <c r="F25" s="60" t="str">
        <f t="shared" si="5"/>
        <v/>
      </c>
      <c r="G25" s="59" t="str">
        <f t="shared" si="3"/>
        <v/>
      </c>
      <c r="H25" s="139" t="str">
        <f>IF($C24="","",IF(D25="","",IF($F25="正規職員","-",IF(AND(EXACT(C22,C24),EXACT(D23,D25),EXACT(F23,F25)),H23,"賃金単価を記載"))))</f>
        <v/>
      </c>
      <c r="I25" s="59" t="str">
        <f>IF($C24="","",IF(D25="","",IF($F25="正規職員","-",G25*H25)))</f>
        <v/>
      </c>
      <c r="J25" s="59">
        <f t="shared" si="6"/>
        <v>215833.33333333401</v>
      </c>
      <c r="K25" s="59" t="str">
        <f t="shared" ref="K25" si="56">IFERROR(IF($C24="-","",IF(D25="","",IF(F25="正規職員",J25-K24,MIN(MIN(I25:J25),J24-K24)))),0)</f>
        <v/>
      </c>
      <c r="L25" s="61" t="str">
        <f t="shared" si="7"/>
        <v/>
      </c>
      <c r="M25" s="62">
        <f t="shared" ref="M25" si="57">M24</f>
        <v>12</v>
      </c>
      <c r="N25" s="62" t="e">
        <f>VLOOKUP($D25&amp;N$5,'②-2勤務時間数入力'!$D$7:$Q$106,$M25,FALSE)</f>
        <v>#N/A</v>
      </c>
      <c r="O25" s="62" t="str">
        <f t="shared" si="4"/>
        <v>×</v>
      </c>
      <c r="P25" s="62" t="e">
        <f>VLOOKUP($D25&amp;P$5,'②-2勤務時間数入力'!$D$7:$Q$106,$M25,FALSE)</f>
        <v>#N/A</v>
      </c>
      <c r="Q25" s="62" t="str">
        <f t="shared" si="0"/>
        <v>×</v>
      </c>
      <c r="R25" s="62" t="e">
        <f>VLOOKUP($D25&amp;R$5,'②-2勤務時間数入力'!$D$7:$Q$106,$M25,FALSE)</f>
        <v>#N/A</v>
      </c>
      <c r="S25" s="62" t="str">
        <f t="shared" si="1"/>
        <v>×</v>
      </c>
      <c r="T25" s="62" t="e">
        <f>VLOOKUP($D25&amp;T$5,'②-2勤務時間数入力'!$D$7:$Q$106,$M25,FALSE)</f>
        <v>#N/A</v>
      </c>
      <c r="U25" s="62" t="str">
        <f t="shared" si="2"/>
        <v>×</v>
      </c>
    </row>
    <row r="26" spans="1:21" ht="15" hidden="1" customHeight="1">
      <c r="A26" s="843">
        <v>2</v>
      </c>
      <c r="B26" s="845" t="e">
        <f>IF(判定!W19="OK",1,"")</f>
        <v>#DIV/0!</v>
      </c>
      <c r="C26" s="845" t="str">
        <f>IFERROR(INDEX($I$37:$J$42,MATCH(判定!AX19,$I$37:$I$42,0),2),"-")</f>
        <v>-</v>
      </c>
      <c r="D26" s="138" t="str">
        <f t="shared" si="8"/>
        <v/>
      </c>
      <c r="E26" s="138" t="str">
        <f t="shared" ref="E26" si="58">IF(E24="","",E24)</f>
        <v/>
      </c>
      <c r="F26" s="60" t="str">
        <f t="shared" si="5"/>
        <v/>
      </c>
      <c r="G26" s="59" t="str">
        <f t="shared" si="3"/>
        <v/>
      </c>
      <c r="H26" s="139" t="str">
        <f>IF($C26="","",IF($F26="正規職員","-",IF(AND(EXACT(C24,C26),EXACT(D24,D26),EXACT(F24,F26)),H24,"賃金単価を記載")))</f>
        <v/>
      </c>
      <c r="I26" s="59" t="e">
        <f>IF($C26="","",IF($F26="正規職員","-",G26*H26))</f>
        <v>#VALUE!</v>
      </c>
      <c r="J26" s="59">
        <f t="shared" si="6"/>
        <v>215833.33333333401</v>
      </c>
      <c r="K26" s="59" t="str">
        <f t="shared" ref="K26" si="59">IFERROR(IF($C26="-","",IF(D26="",0,IF(F26="正規職員",J26,MIN(I26:J26)))),0)</f>
        <v/>
      </c>
      <c r="L26" s="61" t="str">
        <f t="shared" si="7"/>
        <v/>
      </c>
      <c r="M26" s="62">
        <f t="shared" ref="M26" si="60">M24+1</f>
        <v>13</v>
      </c>
      <c r="N26" s="62" t="e">
        <f>VLOOKUP($D26&amp;N$5,'②-2勤務時間数入力'!$D$7:$Q$106,$M26,FALSE)</f>
        <v>#N/A</v>
      </c>
      <c r="O26" s="62" t="str">
        <f t="shared" si="4"/>
        <v>×</v>
      </c>
      <c r="P26" s="62" t="e">
        <f>VLOOKUP($D26&amp;P$5,'②-2勤務時間数入力'!$D$7:$Q$106,$M26,FALSE)</f>
        <v>#N/A</v>
      </c>
      <c r="Q26" s="62" t="str">
        <f t="shared" si="0"/>
        <v>×</v>
      </c>
      <c r="R26" s="62" t="e">
        <f>VLOOKUP($D26&amp;R$5,'②-2勤務時間数入力'!$D$7:$Q$106,$M26,FALSE)</f>
        <v>#N/A</v>
      </c>
      <c r="S26" s="62" t="str">
        <f t="shared" si="1"/>
        <v>×</v>
      </c>
      <c r="T26" s="62" t="e">
        <f>VLOOKUP($D26&amp;T$5,'②-2勤務時間数入力'!$D$7:$Q$106,$M26,FALSE)</f>
        <v>#N/A</v>
      </c>
      <c r="U26" s="62" t="str">
        <f t="shared" si="2"/>
        <v>×</v>
      </c>
    </row>
    <row r="27" spans="1:21" ht="15" hidden="1" customHeight="1">
      <c r="A27" s="844"/>
      <c r="B27" s="846"/>
      <c r="C27" s="846"/>
      <c r="D27" s="138" t="str">
        <f t="shared" si="8"/>
        <v/>
      </c>
      <c r="E27" s="138" t="str">
        <f t="shared" ref="E27" si="61">IF(E25="","",E25)</f>
        <v/>
      </c>
      <c r="F27" s="60" t="str">
        <f t="shared" si="5"/>
        <v/>
      </c>
      <c r="G27" s="59" t="str">
        <f t="shared" si="3"/>
        <v/>
      </c>
      <c r="H27" s="139" t="str">
        <f>IF($C26="","",IF(D27="","",IF($F27="正規職員","-",IF(AND(EXACT(C24,C26),EXACT(D25,D27),EXACT(F25,F27)),H25,"賃金単価を記載"))))</f>
        <v/>
      </c>
      <c r="I27" s="59" t="str">
        <f>IF($C26="","",IF(D27="","",IF($F27="正規職員","-",G27*H27)))</f>
        <v/>
      </c>
      <c r="J27" s="59">
        <f t="shared" si="6"/>
        <v>215833.33333333401</v>
      </c>
      <c r="K27" s="59" t="str">
        <f t="shared" ref="K27" si="62">IFERROR(IF($C26="-","",IF(D27="","",IF(F27="正規職員",J27-K26,MIN(MIN(I27:J27),J26-K26)))),0)</f>
        <v/>
      </c>
      <c r="L27" s="61" t="str">
        <f t="shared" si="7"/>
        <v/>
      </c>
      <c r="M27" s="62">
        <f t="shared" ref="M27" si="63">M26</f>
        <v>13</v>
      </c>
      <c r="N27" s="62" t="e">
        <f>VLOOKUP($D27&amp;N$5,'②-2勤務時間数入力'!$D$7:$Q$106,$M27,FALSE)</f>
        <v>#N/A</v>
      </c>
      <c r="O27" s="62" t="str">
        <f t="shared" si="4"/>
        <v>×</v>
      </c>
      <c r="P27" s="62" t="e">
        <f>VLOOKUP($D27&amp;P$5,'②-2勤務時間数入力'!$D$7:$Q$106,$M27,FALSE)</f>
        <v>#N/A</v>
      </c>
      <c r="Q27" s="62" t="str">
        <f t="shared" si="0"/>
        <v>×</v>
      </c>
      <c r="R27" s="62" t="e">
        <f>VLOOKUP($D27&amp;R$5,'②-2勤務時間数入力'!$D$7:$Q$106,$M27,FALSE)</f>
        <v>#N/A</v>
      </c>
      <c r="S27" s="62" t="str">
        <f t="shared" si="1"/>
        <v>×</v>
      </c>
      <c r="T27" s="62" t="e">
        <f>VLOOKUP($D27&amp;T$5,'②-2勤務時間数入力'!$D$7:$Q$106,$M27,FALSE)</f>
        <v>#N/A</v>
      </c>
      <c r="U27" s="62" t="str">
        <f t="shared" si="2"/>
        <v>×</v>
      </c>
    </row>
    <row r="28" spans="1:21" ht="15" hidden="1" customHeight="1">
      <c r="A28" s="843">
        <v>3</v>
      </c>
      <c r="B28" s="845" t="e">
        <f>IF(判定!W20="OK",1,"")</f>
        <v>#DIV/0!</v>
      </c>
      <c r="C28" s="845" t="str">
        <f>IFERROR(INDEX($I$37:$J$42,MATCH(判定!AX20,$I$37:$I$42,0),2),"-")</f>
        <v>-</v>
      </c>
      <c r="D28" s="138" t="str">
        <f t="shared" si="8"/>
        <v/>
      </c>
      <c r="E28" s="138" t="str">
        <f t="shared" ref="E28" si="64">IF(E26="","",E26)</f>
        <v/>
      </c>
      <c r="F28" s="60" t="str">
        <f t="shared" si="5"/>
        <v/>
      </c>
      <c r="G28" s="59" t="str">
        <f t="shared" si="3"/>
        <v/>
      </c>
      <c r="H28" s="139" t="str">
        <f>IF($C28="","",IF($F28="正規職員","-",IF(AND(EXACT(C26,C28),EXACT(D26,D28),EXACT(F26,F28)),H26,"賃金単価を記載")))</f>
        <v/>
      </c>
      <c r="I28" s="59" t="e">
        <f>IF($C28="","",IF($F28="正規職員","-",G28*H28))</f>
        <v>#VALUE!</v>
      </c>
      <c r="J28" s="59">
        <f t="shared" si="6"/>
        <v>215833.33333333401</v>
      </c>
      <c r="K28" s="59" t="str">
        <f t="shared" ref="K28" si="65">IFERROR(IF($C28="-","",IF(D28="",0,IF(F28="正規職員",J28,MIN(I28:J28)))),0)</f>
        <v/>
      </c>
      <c r="L28" s="61" t="str">
        <f t="shared" si="7"/>
        <v/>
      </c>
      <c r="M28" s="62">
        <f t="shared" ref="M28" si="66">M26+1</f>
        <v>14</v>
      </c>
      <c r="N28" s="62" t="e">
        <f>VLOOKUP($D28&amp;N$5,'②-2勤務時間数入力'!$D$7:$Q$106,$M28,FALSE)</f>
        <v>#N/A</v>
      </c>
      <c r="O28" s="62" t="str">
        <f t="shared" si="4"/>
        <v>×</v>
      </c>
      <c r="P28" s="62" t="e">
        <f>VLOOKUP($D28&amp;P$5,'②-2勤務時間数入力'!$D$7:$Q$106,$M28,FALSE)</f>
        <v>#N/A</v>
      </c>
      <c r="Q28" s="62" t="str">
        <f t="shared" si="0"/>
        <v>×</v>
      </c>
      <c r="R28" s="62" t="e">
        <f>VLOOKUP($D28&amp;R$5,'②-2勤務時間数入力'!$D$7:$Q$106,$M28,FALSE)</f>
        <v>#N/A</v>
      </c>
      <c r="S28" s="62" t="str">
        <f t="shared" si="1"/>
        <v>×</v>
      </c>
      <c r="T28" s="62" t="e">
        <f>VLOOKUP($D28&amp;T$5,'②-2勤務時間数入力'!$D$7:$Q$106,$M28,FALSE)</f>
        <v>#N/A</v>
      </c>
      <c r="U28" s="62" t="str">
        <f t="shared" si="2"/>
        <v>×</v>
      </c>
    </row>
    <row r="29" spans="1:21" ht="15" hidden="1" customHeight="1">
      <c r="A29" s="844"/>
      <c r="B29" s="846"/>
      <c r="C29" s="846"/>
      <c r="D29" s="138" t="str">
        <f t="shared" si="8"/>
        <v/>
      </c>
      <c r="E29" s="138" t="str">
        <f t="shared" ref="E29" si="67">IF(E27="","",E27)</f>
        <v/>
      </c>
      <c r="F29" s="60" t="str">
        <f t="shared" si="5"/>
        <v/>
      </c>
      <c r="G29" s="59" t="str">
        <f t="shared" si="3"/>
        <v/>
      </c>
      <c r="H29" s="139" t="str">
        <f>IF($C28="","",IF(D29="","",IF($F29="正規職員","-",IF(AND(EXACT(C26,C28),EXACT(D27,D29),EXACT(F27,F29)),H27,"賃金単価を記載"))))</f>
        <v/>
      </c>
      <c r="I29" s="59" t="str">
        <f>IF($C28="","",IF(D29="","",IF($F29="正規職員","-",G29*H29)))</f>
        <v/>
      </c>
      <c r="J29" s="59">
        <f t="shared" si="6"/>
        <v>215833.33333333401</v>
      </c>
      <c r="K29" s="59" t="str">
        <f t="shared" ref="K29" si="68">IFERROR(IF($C28="-","",IF(D29="","",IF(F29="正規職員",J29-K28,MIN(MIN(I29:J29),J28-K28)))),0)</f>
        <v/>
      </c>
      <c r="L29" s="61" t="str">
        <f t="shared" si="7"/>
        <v/>
      </c>
      <c r="M29" s="62">
        <f t="shared" ref="M29" si="69">M28</f>
        <v>14</v>
      </c>
      <c r="N29" s="62" t="e">
        <f>VLOOKUP($D29&amp;N$5,'②-2勤務時間数入力'!$D$7:$Q$106,$M29,FALSE)</f>
        <v>#N/A</v>
      </c>
      <c r="O29" s="62" t="str">
        <f t="shared" si="4"/>
        <v>×</v>
      </c>
      <c r="P29" s="62" t="e">
        <f>VLOOKUP($D29&amp;P$5,'②-2勤務時間数入力'!$D$7:$Q$106,$M29,FALSE)</f>
        <v>#N/A</v>
      </c>
      <c r="Q29" s="62" t="str">
        <f t="shared" si="0"/>
        <v>×</v>
      </c>
      <c r="R29" s="62" t="e">
        <f>VLOOKUP($D29&amp;R$5,'②-2勤務時間数入力'!$D$7:$Q$106,$M29,FALSE)</f>
        <v>#N/A</v>
      </c>
      <c r="S29" s="62" t="str">
        <f t="shared" si="1"/>
        <v>×</v>
      </c>
      <c r="T29" s="62" t="e">
        <f>VLOOKUP($D29&amp;T$5,'②-2勤務時間数入力'!$D$7:$Q$106,$M29,FALSE)</f>
        <v>#N/A</v>
      </c>
      <c r="U29" s="62" t="str">
        <f t="shared" si="2"/>
        <v>×</v>
      </c>
    </row>
    <row r="30" spans="1:21" ht="15" hidden="1" customHeight="1">
      <c r="A30" s="58" t="s">
        <v>264</v>
      </c>
      <c r="B30" s="59"/>
      <c r="C30" s="59"/>
      <c r="D30" s="1"/>
      <c r="E30" s="1"/>
      <c r="F30" s="59"/>
      <c r="G30" s="59"/>
      <c r="H30" s="59"/>
      <c r="I30" s="59"/>
      <c r="J30" s="59"/>
      <c r="K30" s="63">
        <f>ROUNDDOWN(SUM(K6,K8,K10,K12,K14,K16,K18,K20,K22,K24,K26,K28),-3)+ROUNDDOWN(SUM(K7,K9,K11,K13,K15,K17,K19,K21,K23,K25,K27,K29),-3)</f>
        <v>0</v>
      </c>
    </row>
    <row r="31" spans="1:21" ht="15" customHeight="1">
      <c r="B31" s="61"/>
      <c r="C31" s="61"/>
      <c r="D31" s="61"/>
      <c r="E31" s="61"/>
      <c r="F31" s="61"/>
      <c r="G31" s="61"/>
      <c r="H31" s="61"/>
      <c r="I31" s="61"/>
      <c r="J31" s="61"/>
      <c r="K31" s="61"/>
    </row>
    <row r="33" spans="2:10">
      <c r="B33" s="82"/>
      <c r="D33" s="82"/>
      <c r="E33" s="82"/>
      <c r="F33" s="82"/>
      <c r="G33" s="82"/>
      <c r="H33" s="82"/>
    </row>
    <row r="36" spans="2:10" hidden="1">
      <c r="J36" t="s">
        <v>799</v>
      </c>
    </row>
    <row r="37" spans="2:10" hidden="1">
      <c r="I37" t="s">
        <v>795</v>
      </c>
      <c r="J37" t="str">
        <f>'②-1職員名簿'!C144</f>
        <v>保育教諭等</v>
      </c>
    </row>
    <row r="38" spans="2:10" hidden="1">
      <c r="I38" t="s">
        <v>796</v>
      </c>
      <c r="J38" t="str">
        <f>'②-1職員名簿'!C145</f>
        <v>要件緩和</v>
      </c>
    </row>
    <row r="39" spans="2:10" hidden="1">
      <c r="I39" t="s">
        <v>797</v>
      </c>
      <c r="J39" t="str">
        <f>'②-1職員名簿'!C146</f>
        <v>看護師等</v>
      </c>
    </row>
    <row r="40" spans="2:10" hidden="1">
      <c r="I40" t="s">
        <v>798</v>
      </c>
      <c r="J40" t="str">
        <f>'②-1職員名簿'!C147</f>
        <v>栄養士</v>
      </c>
    </row>
    <row r="41" spans="2:10" hidden="1">
      <c r="I41" t="s">
        <v>802</v>
      </c>
      <c r="J41" t="str">
        <f>'②-1職員名簿'!C148</f>
        <v>調理師等</v>
      </c>
    </row>
    <row r="42" spans="2:10" hidden="1">
      <c r="I42" t="s">
        <v>803</v>
      </c>
      <c r="J42" t="str">
        <f>'②-1職員名簿'!C149</f>
        <v>教育・保育支援者</v>
      </c>
    </row>
  </sheetData>
  <sheetProtection algorithmName="SHA-512" hashValue="uZVN8gFgSFMAZdUAm+3CWyIB3fe/1X49fT4/Xr3Vv4PB9PHGh5I3qPjdtwRoVcjQjmqKLKn5MXMFWSAFBJYcRQ==" saltValue="AW0wRytEIBUcEMTyA+/9jg==" spinCount="100000" sheet="1" selectLockedCells="1"/>
  <mergeCells count="43">
    <mergeCell ref="A28:A29"/>
    <mergeCell ref="B24:B25"/>
    <mergeCell ref="B26:B27"/>
    <mergeCell ref="A18:A19"/>
    <mergeCell ref="C18:C19"/>
    <mergeCell ref="A20:A21"/>
    <mergeCell ref="C20:C21"/>
    <mergeCell ref="A22:A23"/>
    <mergeCell ref="C22:C23"/>
    <mergeCell ref="B18:B19"/>
    <mergeCell ref="B20:B21"/>
    <mergeCell ref="B22:B23"/>
    <mergeCell ref="A24:A25"/>
    <mergeCell ref="C24:C25"/>
    <mergeCell ref="A26:A27"/>
    <mergeCell ref="C26:C27"/>
    <mergeCell ref="C28:C29"/>
    <mergeCell ref="B28:B29"/>
    <mergeCell ref="T5:U5"/>
    <mergeCell ref="A6:A7"/>
    <mergeCell ref="C6:C7"/>
    <mergeCell ref="A8:A9"/>
    <mergeCell ref="C8:C9"/>
    <mergeCell ref="N5:O5"/>
    <mergeCell ref="P5:Q5"/>
    <mergeCell ref="R5:S5"/>
    <mergeCell ref="B6:B7"/>
    <mergeCell ref="B8:B9"/>
    <mergeCell ref="A10:A11"/>
    <mergeCell ref="C10:C11"/>
    <mergeCell ref="A14:A15"/>
    <mergeCell ref="C14:C15"/>
    <mergeCell ref="A1:K1"/>
    <mergeCell ref="F2:G2"/>
    <mergeCell ref="H2:K2"/>
    <mergeCell ref="B10:B11"/>
    <mergeCell ref="A12:A13"/>
    <mergeCell ref="C12:C13"/>
    <mergeCell ref="A16:A17"/>
    <mergeCell ref="C16:C17"/>
    <mergeCell ref="B12:B13"/>
    <mergeCell ref="B14:B15"/>
    <mergeCell ref="B16:B17"/>
  </mergeCells>
  <phoneticPr fontId="1"/>
  <conditionalFormatting sqref="D6:E29">
    <cfRule type="containsBlanks" dxfId="68" priority="1">
      <formula>LEN(TRIM(D6))=0</formula>
    </cfRule>
  </conditionalFormatting>
  <conditionalFormatting sqref="H6:H29">
    <cfRule type="containsText" dxfId="67" priority="2" operator="containsText" text="賃金単価を記載">
      <formula>NOT(ISERROR(SEARCH("賃金単価を記載",H6)))</formula>
    </cfRule>
  </conditionalFormatting>
  <dataValidations count="2">
    <dataValidation type="list" allowBlank="1" showInputMessage="1" showErrorMessage="1" sqref="E6:E7" xr:uid="{2373ABBC-9BA5-4336-8399-DA96BA06C745}">
      <formula1>"○"</formula1>
    </dataValidation>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E8:E29" xr:uid="{9CFC705C-FB5E-40CD-99DF-53ED029B25B6}"/>
  </dataValidations>
  <pageMargins left="0.70866141732283472" right="0.70866141732283472" top="0.74803149606299213" bottom="0.74803149606299213" header="0.31496062992125984" footer="0.31496062992125984"/>
  <pageSetup paperSize="9" scale="8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586D304C-714F-4CB0-BAD4-051EA77509B3}">
          <x14:formula1>
            <xm:f>'②-1職員名簿'!Y$7:Y$107</xm:f>
          </x14:formula1>
          <xm:sqref>D6:D29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A585-BAE8-4414-A6C7-57D3A625958E}">
  <sheetPr>
    <tabColor rgb="FF00B050"/>
  </sheetPr>
  <dimension ref="A1:T43"/>
  <sheetViews>
    <sheetView view="pageBreakPreview" zoomScaleNormal="100" zoomScaleSheetLayoutView="100" workbookViewId="0">
      <selection activeCell="D6" sqref="D6"/>
    </sheetView>
  </sheetViews>
  <sheetFormatPr defaultRowHeight="18"/>
  <cols>
    <col min="2" max="2" width="4.75" bestFit="1" customWidth="1"/>
    <col min="3" max="3" width="8.25" customWidth="1"/>
    <col min="4" max="4" width="28.33203125" customWidth="1"/>
    <col min="5" max="9" width="11.25" customWidth="1"/>
    <col min="10" max="10" width="15" customWidth="1"/>
    <col min="11" max="11" width="0" hidden="1" customWidth="1"/>
  </cols>
  <sheetData>
    <row r="1" spans="1:20" s="20" customFormat="1" ht="25" customHeight="1">
      <c r="A1" s="847" t="s">
        <v>266</v>
      </c>
      <c r="B1" s="847"/>
      <c r="C1" s="847"/>
      <c r="D1" s="847"/>
      <c r="E1" s="847"/>
      <c r="F1" s="847"/>
      <c r="G1" s="847"/>
      <c r="H1" s="847"/>
      <c r="I1" s="847"/>
      <c r="J1" s="847"/>
      <c r="K1" s="197"/>
      <c r="L1" s="197"/>
      <c r="M1" s="197"/>
      <c r="N1" s="197"/>
      <c r="O1" s="197"/>
    </row>
    <row r="2" spans="1:20" s="20" customFormat="1" ht="25" customHeight="1">
      <c r="E2" s="848" t="s">
        <v>109</v>
      </c>
      <c r="F2" s="848"/>
      <c r="G2" s="828">
        <f>①基本情報!D6</f>
        <v>0</v>
      </c>
      <c r="H2" s="828"/>
      <c r="I2" s="828"/>
      <c r="J2" s="828"/>
      <c r="L2" s="20" t="s">
        <v>136</v>
      </c>
    </row>
    <row r="4" spans="1:20" ht="15" customHeight="1">
      <c r="A4" s="56" t="s">
        <v>265</v>
      </c>
      <c r="B4" t="s">
        <v>982</v>
      </c>
    </row>
    <row r="5" spans="1:20" ht="32.25" customHeight="1">
      <c r="B5" s="200" t="s">
        <v>806</v>
      </c>
      <c r="C5" s="200" t="s">
        <v>829</v>
      </c>
      <c r="D5" s="198" t="s">
        <v>254</v>
      </c>
      <c r="E5" s="198" t="s">
        <v>255</v>
      </c>
      <c r="F5" s="198" t="s">
        <v>256</v>
      </c>
      <c r="G5" s="198" t="s">
        <v>257</v>
      </c>
      <c r="H5" s="198" t="s">
        <v>258</v>
      </c>
      <c r="I5" s="198" t="s">
        <v>259</v>
      </c>
      <c r="J5" s="198" t="s">
        <v>260</v>
      </c>
      <c r="L5" s="57" t="s">
        <v>261</v>
      </c>
      <c r="M5" s="849" t="s">
        <v>204</v>
      </c>
      <c r="N5" s="850"/>
      <c r="O5" s="849" t="s">
        <v>205</v>
      </c>
      <c r="P5" s="850"/>
      <c r="Q5" s="849" t="s">
        <v>262</v>
      </c>
      <c r="R5" s="850"/>
      <c r="S5" s="849" t="s">
        <v>263</v>
      </c>
      <c r="T5" s="850"/>
    </row>
    <row r="6" spans="1:20" ht="15" customHeight="1">
      <c r="A6" s="843">
        <v>4</v>
      </c>
      <c r="B6" s="851" t="e">
        <f>IF(判定!X9="OK",1,"")</f>
        <v>#DIV/0!</v>
      </c>
      <c r="C6" s="845" t="str">
        <f>IFERROR(INDEX($H$38:$I$43,MATCH(判定!AF9,$H$38:$H$43,0),2),"-")</f>
        <v>-</v>
      </c>
      <c r="D6" s="138"/>
      <c r="E6" s="60" t="str">
        <f>IF(D6="","",IF(N6="○",M$5,IF(P6="○",O$5,IF(R6="○",Q$5,IF(T6="○",S$5,"ERROR")))))</f>
        <v/>
      </c>
      <c r="F6" s="59" t="str">
        <f>IF(D6="","",IF(N6="○",M6,IF(P6="○",O6,IF(R6="○",Q6,IF(T6="○",S6,"ERROR")))))</f>
        <v/>
      </c>
      <c r="G6" s="139" t="str">
        <f>IF($C6="","",IF(D6="","",IF($E6="正規職員","-","賃金単価を記載")))</f>
        <v/>
      </c>
      <c r="H6" s="59" t="str">
        <f>IF($C6="","",IF(D6="","",IF($E6="正規職員","-",F6*G6)))</f>
        <v/>
      </c>
      <c r="I6" s="59">
        <v>327916.66666666698</v>
      </c>
      <c r="J6" s="59" t="str">
        <f>IFERROR(IF($C6="-","",IF(D6="",0,IF(E6="正規職員",I6,MIN(H6:I6)))),0)</f>
        <v/>
      </c>
      <c r="K6" s="61" t="str">
        <f>IF(D6="","",IF(COUNTIFS(D6,"*Ｃ6*")=1,"○","エラー"))</f>
        <v/>
      </c>
      <c r="L6" s="62">
        <v>3</v>
      </c>
      <c r="M6" s="62" t="e">
        <f>VLOOKUP($D6&amp;M$5,'②-2勤務時間数入力'!$D$7:$Q$106,$L6,FALSE)</f>
        <v>#N/A</v>
      </c>
      <c r="N6" s="62" t="str">
        <f>IF(ISERROR(M6),"×",IF(M6="-","×","○"))</f>
        <v>×</v>
      </c>
      <c r="O6" s="62" t="e">
        <f>VLOOKUP($D6&amp;O$5,'②-2勤務時間数入力'!$D$7:$Q$106,$L6,FALSE)</f>
        <v>#N/A</v>
      </c>
      <c r="P6" s="62" t="str">
        <f t="shared" ref="P6:P29" si="0">IF(ISERROR(O6),"×",IF(O6="-","×","○"))</f>
        <v>×</v>
      </c>
      <c r="Q6" s="62" t="e">
        <f>VLOOKUP($D6&amp;Q$5,'②-2勤務時間数入力'!$D$7:$Q$106,$L6,FALSE)</f>
        <v>#N/A</v>
      </c>
      <c r="R6" s="62" t="str">
        <f t="shared" ref="R6:R29" si="1">IF(ISERROR(Q6),"×",IF(Q6="-","×","○"))</f>
        <v>×</v>
      </c>
      <c r="S6" s="62" t="e">
        <f>VLOOKUP($D6&amp;S$5,'②-2勤務時間数入力'!$D$7:$Q$106,$L6,FALSE)</f>
        <v>#N/A</v>
      </c>
      <c r="T6" s="62" t="str">
        <f t="shared" ref="T6:T29" si="2">IF(ISERROR(S6),"×",IF(S6="-","×","○"))</f>
        <v>×</v>
      </c>
    </row>
    <row r="7" spans="1:20" ht="15" customHeight="1">
      <c r="A7" s="844"/>
      <c r="B7" s="852"/>
      <c r="C7" s="846"/>
      <c r="D7" s="138"/>
      <c r="E7" s="60" t="str">
        <f>IF(D7="","",IF(N7="○",M$5,IF(P7="○",O$5,IF(R7="○",Q$5,IF(T7="○",S$5,"ERROR")))))</f>
        <v/>
      </c>
      <c r="F7" s="59" t="str">
        <f t="shared" ref="F7:F29" si="3">IF(D7="","",IF(N7="○",M7,IF(P7="○",O7,IF(R7="○",Q7,IF(T7="○",S7,"ERROR")))))</f>
        <v/>
      </c>
      <c r="G7" s="139" t="str">
        <f>IF($C6="","",IF(D7="","",IF($E7="正規職員","-","賃金単価を記載")))</f>
        <v/>
      </c>
      <c r="H7" s="59" t="str">
        <f>IF($C6="","",IF(D7="","",IF($E7="正規職員","-",F7*G7)))</f>
        <v/>
      </c>
      <c r="I7" s="59">
        <f>$I$6</f>
        <v>327916.66666666698</v>
      </c>
      <c r="J7" s="59" t="str">
        <f>IFERROR(IF($C6="-","",IF(D7="","",IF(E7="正規職員",I7-J6,MIN(MIN(H7:I7),I6-J6)))),0)</f>
        <v/>
      </c>
      <c r="K7" s="61" t="str">
        <f>IF(D7="","",IF(COUNTIFS(D7,"*保育士*")=1,"○","エラー"))</f>
        <v/>
      </c>
      <c r="L7" s="62">
        <f>L6</f>
        <v>3</v>
      </c>
      <c r="M7" s="62" t="e">
        <f>VLOOKUP($D7&amp;M$5,'②-2勤務時間数入力'!$D$7:$Q$106,$L7,FALSE)</f>
        <v>#N/A</v>
      </c>
      <c r="N7" s="62" t="str">
        <f t="shared" ref="N7:N29" si="4">IF(ISERROR(M7),"×",IF(M7="-","×","○"))</f>
        <v>×</v>
      </c>
      <c r="O7" s="62" t="e">
        <f>VLOOKUP($D7&amp;O$5,'②-2勤務時間数入力'!$D$7:$Q$106,$L7,FALSE)</f>
        <v>#N/A</v>
      </c>
      <c r="P7" s="62" t="str">
        <f t="shared" si="0"/>
        <v>×</v>
      </c>
      <c r="Q7" s="62" t="e">
        <f>VLOOKUP($D7&amp;Q$5,'②-2勤務時間数入力'!$D$7:$Q$106,$L7,FALSE)</f>
        <v>#N/A</v>
      </c>
      <c r="R7" s="62" t="str">
        <f t="shared" si="1"/>
        <v>×</v>
      </c>
      <c r="S7" s="62" t="e">
        <f>VLOOKUP($D7&amp;S$5,'②-2勤務時間数入力'!$D$7:$Q$106,$L7,FALSE)</f>
        <v>#N/A</v>
      </c>
      <c r="T7" s="62" t="str">
        <f t="shared" si="2"/>
        <v>×</v>
      </c>
    </row>
    <row r="8" spans="1:20" ht="15" hidden="1" customHeight="1">
      <c r="A8" s="843">
        <v>5</v>
      </c>
      <c r="B8" s="851" t="e">
        <f>IF(判定!X10="OK",1,"")</f>
        <v>#DIV/0!</v>
      </c>
      <c r="C8" s="845" t="str">
        <f>IFERROR(INDEX($H$38:$I$43,MATCH(判定!AF10,$H$38:$H$43,0),2),"-")</f>
        <v>-</v>
      </c>
      <c r="D8" s="138" t="str">
        <f>IF(D6="","",D6)</f>
        <v/>
      </c>
      <c r="E8" s="60" t="str">
        <f t="shared" ref="E8:E29" si="5">IF(D8="","",IF(N8="○",M$5,IF(P8="○",O$5,IF(R8="○",Q$5,IF(T8="○",S$5,"ERROR")))))</f>
        <v/>
      </c>
      <c r="F8" s="59" t="str">
        <f t="shared" si="3"/>
        <v/>
      </c>
      <c r="G8" s="139" t="str">
        <f>IF($C8="","",IF($E8="正規職員","-",IF(AND(EXACT(C6,C8),EXACT(D6,D8),EXACT(E6,E8)),G6,"賃金単価を記載")))</f>
        <v/>
      </c>
      <c r="H8" s="59" t="e">
        <f>IF($C8="","",IF($E8="正規職員","-",F8*G8))</f>
        <v>#VALUE!</v>
      </c>
      <c r="I8" s="59">
        <f t="shared" ref="I8:I29" si="6">$I$6</f>
        <v>327916.66666666698</v>
      </c>
      <c r="J8" s="59" t="str">
        <f t="shared" ref="J8" si="7">IFERROR(IF($C8="-","",IF(D8="",0,IF(E8="正規職員",I8,MIN(H8:I8)))),0)</f>
        <v/>
      </c>
      <c r="K8" s="61" t="str">
        <f t="shared" ref="K8:K29" si="8">IF(D8="","",IF(COUNTIFS(D8,"*Ｃ6*")=1,"○","エラー"))</f>
        <v/>
      </c>
      <c r="L8" s="62">
        <f>L6+1</f>
        <v>4</v>
      </c>
      <c r="M8" s="62" t="e">
        <f>VLOOKUP($D8&amp;M$5,'②-2勤務時間数入力'!$D$7:$Q$106,$L8,FALSE)</f>
        <v>#N/A</v>
      </c>
      <c r="N8" s="62" t="str">
        <f t="shared" si="4"/>
        <v>×</v>
      </c>
      <c r="O8" s="62" t="e">
        <f>VLOOKUP($D8&amp;O$5,'②-2勤務時間数入力'!$D$7:$Q$106,$L8,FALSE)</f>
        <v>#N/A</v>
      </c>
      <c r="P8" s="62" t="str">
        <f t="shared" si="0"/>
        <v>×</v>
      </c>
      <c r="Q8" s="62" t="e">
        <f>VLOOKUP($D8&amp;Q$5,'②-2勤務時間数入力'!$D$7:$Q$106,$L8,FALSE)</f>
        <v>#N/A</v>
      </c>
      <c r="R8" s="62" t="str">
        <f t="shared" si="1"/>
        <v>×</v>
      </c>
      <c r="S8" s="62" t="e">
        <f>VLOOKUP($D8&amp;S$5,'②-2勤務時間数入力'!$D$7:$Q$106,$L8,FALSE)</f>
        <v>#N/A</v>
      </c>
      <c r="T8" s="62" t="str">
        <f t="shared" si="2"/>
        <v>×</v>
      </c>
    </row>
    <row r="9" spans="1:20" ht="15" hidden="1" customHeight="1">
      <c r="A9" s="844"/>
      <c r="B9" s="852"/>
      <c r="C9" s="846"/>
      <c r="D9" s="138" t="str">
        <f>IF(D7="","",D7)</f>
        <v/>
      </c>
      <c r="E9" s="60" t="str">
        <f t="shared" si="5"/>
        <v/>
      </c>
      <c r="F9" s="59" t="str">
        <f t="shared" si="3"/>
        <v/>
      </c>
      <c r="G9" s="139" t="str">
        <f>IF($C8="","",IF(D9="","",IF($E9="正規職員","-",IF(AND(EXACT(C6,C8),EXACT(D7,D9),EXACT(E7,E9)),G7,"賃金単価を記載"))))</f>
        <v/>
      </c>
      <c r="H9" s="59" t="str">
        <f>IF($C8="","",IF(D9="","",IF($E9="正規職員","-",F9*G9)))</f>
        <v/>
      </c>
      <c r="I9" s="59">
        <f t="shared" si="6"/>
        <v>327916.66666666698</v>
      </c>
      <c r="J9" s="59" t="str">
        <f t="shared" ref="J9" si="9">IFERROR(IF($C8="-","",IF(D9="","",IF(E9="正規職員",I9-J8,MIN(MIN(H9:I9),I8-J8)))),0)</f>
        <v/>
      </c>
      <c r="K9" s="61" t="str">
        <f t="shared" si="8"/>
        <v/>
      </c>
      <c r="L9" s="62">
        <f>L8</f>
        <v>4</v>
      </c>
      <c r="M9" s="62" t="e">
        <f>VLOOKUP($D9&amp;M$5,'②-2勤務時間数入力'!$D$7:$Q$106,$L9,FALSE)</f>
        <v>#N/A</v>
      </c>
      <c r="N9" s="62" t="str">
        <f t="shared" si="4"/>
        <v>×</v>
      </c>
      <c r="O9" s="62" t="e">
        <f>VLOOKUP($D9&amp;O$5,'②-2勤務時間数入力'!$D$7:$Q$106,$L9,FALSE)</f>
        <v>#N/A</v>
      </c>
      <c r="P9" s="62" t="str">
        <f t="shared" si="0"/>
        <v>×</v>
      </c>
      <c r="Q9" s="62" t="e">
        <f>VLOOKUP($D9&amp;Q$5,'②-2勤務時間数入力'!$D$7:$Q$106,$L9,FALSE)</f>
        <v>#N/A</v>
      </c>
      <c r="R9" s="62" t="str">
        <f t="shared" si="1"/>
        <v>×</v>
      </c>
      <c r="S9" s="62" t="e">
        <f>VLOOKUP($D9&amp;S$5,'②-2勤務時間数入力'!$D$7:$Q$106,$L9,FALSE)</f>
        <v>#N/A</v>
      </c>
      <c r="T9" s="62" t="str">
        <f t="shared" si="2"/>
        <v>×</v>
      </c>
    </row>
    <row r="10" spans="1:20" ht="15" hidden="1" customHeight="1">
      <c r="A10" s="843">
        <v>6</v>
      </c>
      <c r="B10" s="851" t="e">
        <f>IF(判定!X11="OK",1,"")</f>
        <v>#DIV/0!</v>
      </c>
      <c r="C10" s="845" t="str">
        <f>IFERROR(INDEX($H$38:$I$43,MATCH(判定!AF11,$H$38:$H$43,0),2),"-")</f>
        <v>-</v>
      </c>
      <c r="D10" s="138" t="str">
        <f t="shared" ref="D10:D28" si="10">IF(D8="","",D8)</f>
        <v/>
      </c>
      <c r="E10" s="60" t="str">
        <f t="shared" si="5"/>
        <v/>
      </c>
      <c r="F10" s="59" t="str">
        <f t="shared" si="3"/>
        <v/>
      </c>
      <c r="G10" s="139" t="str">
        <f>IF($C10="","",IF($E10="正規職員","-",IF(AND(EXACT(C8,C10),EXACT(D8,D10),EXACT(E8,E10)),G8,"賃金単価を記載")))</f>
        <v/>
      </c>
      <c r="H10" s="59" t="e">
        <f>IF($C10="","",IF($E10="正規職員","-",F10*G10))</f>
        <v>#VALUE!</v>
      </c>
      <c r="I10" s="59">
        <f t="shared" si="6"/>
        <v>327916.66666666698</v>
      </c>
      <c r="J10" s="59" t="str">
        <f t="shared" ref="J10" si="11">IFERROR(IF($C10="-","",IF(D10="",0,IF(E10="正規職員",I10,MIN(H10:I10)))),0)</f>
        <v/>
      </c>
      <c r="K10" s="61" t="str">
        <f t="shared" si="8"/>
        <v/>
      </c>
      <c r="L10" s="62">
        <f t="shared" ref="L10" si="12">L8+1</f>
        <v>5</v>
      </c>
      <c r="M10" s="62" t="e">
        <f>VLOOKUP($D10&amp;M$5,'②-2勤務時間数入力'!$D$7:$Q$106,$L10,FALSE)</f>
        <v>#N/A</v>
      </c>
      <c r="N10" s="62" t="str">
        <f t="shared" si="4"/>
        <v>×</v>
      </c>
      <c r="O10" s="62" t="e">
        <f>VLOOKUP($D10&amp;O$5,'②-2勤務時間数入力'!$D$7:$Q$106,$L10,FALSE)</f>
        <v>#N/A</v>
      </c>
      <c r="P10" s="62" t="str">
        <f t="shared" si="0"/>
        <v>×</v>
      </c>
      <c r="Q10" s="62" t="e">
        <f>VLOOKUP($D10&amp;Q$5,'②-2勤務時間数入力'!$D$7:$Q$106,$L10,FALSE)</f>
        <v>#N/A</v>
      </c>
      <c r="R10" s="62" t="str">
        <f t="shared" si="1"/>
        <v>×</v>
      </c>
      <c r="S10" s="62" t="e">
        <f>VLOOKUP($D10&amp;S$5,'②-2勤務時間数入力'!$D$7:$Q$106,$L10,FALSE)</f>
        <v>#N/A</v>
      </c>
      <c r="T10" s="62" t="str">
        <f t="shared" si="2"/>
        <v>×</v>
      </c>
    </row>
    <row r="11" spans="1:20" ht="15" hidden="1" customHeight="1">
      <c r="A11" s="844"/>
      <c r="B11" s="852"/>
      <c r="C11" s="846"/>
      <c r="D11" s="138" t="str">
        <f t="shared" si="10"/>
        <v/>
      </c>
      <c r="E11" s="60" t="str">
        <f t="shared" si="5"/>
        <v/>
      </c>
      <c r="F11" s="59" t="str">
        <f t="shared" si="3"/>
        <v/>
      </c>
      <c r="G11" s="139" t="str">
        <f>IF($C10="","",IF(D11="","",IF($E11="正規職員","-",IF(AND(EXACT(C8,C10),EXACT(D9,D11),EXACT(E9,E11)),G9,"賃金単価を記載"))))</f>
        <v/>
      </c>
      <c r="H11" s="59" t="str">
        <f>IF($C10="","",IF(D11="","",IF($E11="正規職員","-",F11*G11)))</f>
        <v/>
      </c>
      <c r="I11" s="59">
        <f t="shared" si="6"/>
        <v>327916.66666666698</v>
      </c>
      <c r="J11" s="59" t="str">
        <f t="shared" ref="J11" si="13">IFERROR(IF($C10="-","",IF(D11="","",IF(E11="正規職員",I11-J10,MIN(MIN(H11:I11),I10-J10)))),0)</f>
        <v/>
      </c>
      <c r="K11" s="61" t="str">
        <f t="shared" si="8"/>
        <v/>
      </c>
      <c r="L11" s="62">
        <f t="shared" ref="L11" si="14">L10</f>
        <v>5</v>
      </c>
      <c r="M11" s="62" t="e">
        <f>VLOOKUP($D11&amp;M$5,'②-2勤務時間数入力'!$D$7:$Q$106,$L11,FALSE)</f>
        <v>#N/A</v>
      </c>
      <c r="N11" s="62" t="str">
        <f t="shared" si="4"/>
        <v>×</v>
      </c>
      <c r="O11" s="62" t="e">
        <f>VLOOKUP($D11&amp;O$5,'②-2勤務時間数入力'!$D$7:$Q$106,$L11,FALSE)</f>
        <v>#N/A</v>
      </c>
      <c r="P11" s="62" t="str">
        <f t="shared" si="0"/>
        <v>×</v>
      </c>
      <c r="Q11" s="62" t="e">
        <f>VLOOKUP($D11&amp;Q$5,'②-2勤務時間数入力'!$D$7:$Q$106,$L11,FALSE)</f>
        <v>#N/A</v>
      </c>
      <c r="R11" s="62" t="str">
        <f t="shared" si="1"/>
        <v>×</v>
      </c>
      <c r="S11" s="62" t="e">
        <f>VLOOKUP($D11&amp;S$5,'②-2勤務時間数入力'!$D$7:$Q$106,$L11,FALSE)</f>
        <v>#N/A</v>
      </c>
      <c r="T11" s="62" t="str">
        <f t="shared" si="2"/>
        <v>×</v>
      </c>
    </row>
    <row r="12" spans="1:20" ht="15" hidden="1" customHeight="1">
      <c r="A12" s="843">
        <v>7</v>
      </c>
      <c r="B12" s="851" t="e">
        <f>IF(判定!X12="OK",1,"")</f>
        <v>#DIV/0!</v>
      </c>
      <c r="C12" s="845" t="str">
        <f>IFERROR(INDEX($H$38:$I$43,MATCH(判定!AF12,$H$38:$H$43,0),2),"-")</f>
        <v>-</v>
      </c>
      <c r="D12" s="138" t="str">
        <f t="shared" si="10"/>
        <v/>
      </c>
      <c r="E12" s="60" t="str">
        <f t="shared" si="5"/>
        <v/>
      </c>
      <c r="F12" s="59" t="str">
        <f t="shared" si="3"/>
        <v/>
      </c>
      <c r="G12" s="139" t="str">
        <f>IF($C12="","",IF($E12="正規職員","-",IF(AND(EXACT(C10,C12),EXACT(D10,D12),EXACT(E10,E12)),G10,"賃金単価を記載")))</f>
        <v/>
      </c>
      <c r="H12" s="59" t="e">
        <f>IF($C12="","",IF($E12="正規職員","-",F12*G12))</f>
        <v>#VALUE!</v>
      </c>
      <c r="I12" s="59">
        <f t="shared" si="6"/>
        <v>327916.66666666698</v>
      </c>
      <c r="J12" s="59" t="str">
        <f t="shared" ref="J12" si="15">IFERROR(IF($C12="-","",IF(D12="",0,IF(E12="正規職員",I12,MIN(H12:I12)))),0)</f>
        <v/>
      </c>
      <c r="K12" s="61" t="str">
        <f t="shared" si="8"/>
        <v/>
      </c>
      <c r="L12" s="62">
        <f t="shared" ref="L12" si="16">L10+1</f>
        <v>6</v>
      </c>
      <c r="M12" s="62" t="e">
        <f>VLOOKUP($D12&amp;M$5,'②-2勤務時間数入力'!$D$7:$Q$106,$L12,FALSE)</f>
        <v>#N/A</v>
      </c>
      <c r="N12" s="62" t="str">
        <f t="shared" si="4"/>
        <v>×</v>
      </c>
      <c r="O12" s="62" t="e">
        <f>VLOOKUP($D12&amp;O$5,'②-2勤務時間数入力'!$D$7:$Q$106,$L12,FALSE)</f>
        <v>#N/A</v>
      </c>
      <c r="P12" s="62" t="str">
        <f t="shared" si="0"/>
        <v>×</v>
      </c>
      <c r="Q12" s="62" t="e">
        <f>VLOOKUP($D12&amp;Q$5,'②-2勤務時間数入力'!$D$7:$Q$106,$L12,FALSE)</f>
        <v>#N/A</v>
      </c>
      <c r="R12" s="62" t="str">
        <f t="shared" si="1"/>
        <v>×</v>
      </c>
      <c r="S12" s="62" t="e">
        <f>VLOOKUP($D12&amp;S$5,'②-2勤務時間数入力'!$D$7:$Q$106,$L12,FALSE)</f>
        <v>#N/A</v>
      </c>
      <c r="T12" s="62" t="str">
        <f t="shared" si="2"/>
        <v>×</v>
      </c>
    </row>
    <row r="13" spans="1:20" ht="15" hidden="1" customHeight="1">
      <c r="A13" s="844"/>
      <c r="B13" s="852"/>
      <c r="C13" s="846"/>
      <c r="D13" s="138" t="str">
        <f t="shared" si="10"/>
        <v/>
      </c>
      <c r="E13" s="60" t="str">
        <f t="shared" si="5"/>
        <v/>
      </c>
      <c r="F13" s="59" t="str">
        <f t="shared" si="3"/>
        <v/>
      </c>
      <c r="G13" s="139" t="str">
        <f>IF($C12="","",IF(D13="","",IF($E13="正規職員","-",IF(AND(EXACT(C10,C12),EXACT(D11,D13),EXACT(E11,E13)),G11,"賃金単価を記載"))))</f>
        <v/>
      </c>
      <c r="H13" s="59" t="str">
        <f>IF($C12="","",IF(D13="","",IF($E13="正規職員","-",F13*G13)))</f>
        <v/>
      </c>
      <c r="I13" s="59">
        <f t="shared" si="6"/>
        <v>327916.66666666698</v>
      </c>
      <c r="J13" s="59" t="str">
        <f t="shared" ref="J13" si="17">IFERROR(IF($C12="-","",IF(D13="","",IF(E13="正規職員",I13-J12,MIN(MIN(H13:I13),I12-J12)))),0)</f>
        <v/>
      </c>
      <c r="K13" s="61" t="str">
        <f t="shared" si="8"/>
        <v/>
      </c>
      <c r="L13" s="62">
        <f t="shared" ref="L13" si="18">L12</f>
        <v>6</v>
      </c>
      <c r="M13" s="62" t="e">
        <f>VLOOKUP($D13&amp;M$5,'②-2勤務時間数入力'!$D$7:$Q$106,$L13,FALSE)</f>
        <v>#N/A</v>
      </c>
      <c r="N13" s="62" t="str">
        <f t="shared" si="4"/>
        <v>×</v>
      </c>
      <c r="O13" s="62" t="e">
        <f>VLOOKUP($D13&amp;O$5,'②-2勤務時間数入力'!$D$7:$Q$106,$L13,FALSE)</f>
        <v>#N/A</v>
      </c>
      <c r="P13" s="62" t="str">
        <f t="shared" si="0"/>
        <v>×</v>
      </c>
      <c r="Q13" s="62" t="e">
        <f>VLOOKUP($D13&amp;Q$5,'②-2勤務時間数入力'!$D$7:$Q$106,$L13,FALSE)</f>
        <v>#N/A</v>
      </c>
      <c r="R13" s="62" t="str">
        <f t="shared" si="1"/>
        <v>×</v>
      </c>
      <c r="S13" s="62" t="e">
        <f>VLOOKUP($D13&amp;S$5,'②-2勤務時間数入力'!$D$7:$Q$106,$L13,FALSE)</f>
        <v>#N/A</v>
      </c>
      <c r="T13" s="62" t="str">
        <f t="shared" si="2"/>
        <v>×</v>
      </c>
    </row>
    <row r="14" spans="1:20" ht="15" hidden="1" customHeight="1">
      <c r="A14" s="843">
        <v>8</v>
      </c>
      <c r="B14" s="851" t="e">
        <f>IF(判定!X13="OK",1,"")</f>
        <v>#DIV/0!</v>
      </c>
      <c r="C14" s="845" t="str">
        <f>IFERROR(INDEX($H$38:$I$43,MATCH(判定!AF13,$H$38:$H$43,0),2),"-")</f>
        <v>-</v>
      </c>
      <c r="D14" s="138" t="str">
        <f t="shared" si="10"/>
        <v/>
      </c>
      <c r="E14" s="60" t="str">
        <f t="shared" si="5"/>
        <v/>
      </c>
      <c r="F14" s="59" t="str">
        <f t="shared" si="3"/>
        <v/>
      </c>
      <c r="G14" s="139" t="str">
        <f>IF($C14="","",IF($E14="正規職員","-",IF(AND(EXACT(C12,C14),EXACT(D12,D14),EXACT(E12,E14)),G12,"賃金単価を記載")))</f>
        <v/>
      </c>
      <c r="H14" s="59" t="e">
        <f>IF($C14="","",IF($E14="正規職員","-",F14*G14))</f>
        <v>#VALUE!</v>
      </c>
      <c r="I14" s="59">
        <f t="shared" si="6"/>
        <v>327916.66666666698</v>
      </c>
      <c r="J14" s="59" t="str">
        <f t="shared" ref="J14" si="19">IFERROR(IF($C14="-","",IF(D14="",0,IF(E14="正規職員",I14,MIN(H14:I14)))),0)</f>
        <v/>
      </c>
      <c r="K14" s="61" t="str">
        <f t="shared" si="8"/>
        <v/>
      </c>
      <c r="L14" s="62">
        <f t="shared" ref="L14" si="20">L12+1</f>
        <v>7</v>
      </c>
      <c r="M14" s="62" t="e">
        <f>VLOOKUP($D14&amp;M$5,'②-2勤務時間数入力'!$D$7:$Q$106,$L14,FALSE)</f>
        <v>#N/A</v>
      </c>
      <c r="N14" s="62" t="str">
        <f t="shared" si="4"/>
        <v>×</v>
      </c>
      <c r="O14" s="62" t="e">
        <f>VLOOKUP($D14&amp;O$5,'②-2勤務時間数入力'!$D$7:$Q$106,$L14,FALSE)</f>
        <v>#N/A</v>
      </c>
      <c r="P14" s="62" t="str">
        <f t="shared" si="0"/>
        <v>×</v>
      </c>
      <c r="Q14" s="62" t="e">
        <f>VLOOKUP($D14&amp;Q$5,'②-2勤務時間数入力'!$D$7:$Q$106,$L14,FALSE)</f>
        <v>#N/A</v>
      </c>
      <c r="R14" s="62" t="str">
        <f t="shared" si="1"/>
        <v>×</v>
      </c>
      <c r="S14" s="62" t="e">
        <f>VLOOKUP($D14&amp;S$5,'②-2勤務時間数入力'!$D$7:$Q$106,$L14,FALSE)</f>
        <v>#N/A</v>
      </c>
      <c r="T14" s="62" t="str">
        <f t="shared" si="2"/>
        <v>×</v>
      </c>
    </row>
    <row r="15" spans="1:20" ht="15" hidden="1" customHeight="1">
      <c r="A15" s="844"/>
      <c r="B15" s="852"/>
      <c r="C15" s="846"/>
      <c r="D15" s="138" t="str">
        <f t="shared" si="10"/>
        <v/>
      </c>
      <c r="E15" s="60" t="str">
        <f t="shared" si="5"/>
        <v/>
      </c>
      <c r="F15" s="59" t="str">
        <f t="shared" si="3"/>
        <v/>
      </c>
      <c r="G15" s="139" t="str">
        <f>IF($C14="","",IF(D15="","",IF($E15="正規職員","-",IF(AND(EXACT(C12,C14),EXACT(D13,D15),EXACT(E13,E15)),G13,"賃金単価を記載"))))</f>
        <v/>
      </c>
      <c r="H15" s="59" t="str">
        <f>IF($C14="","",IF(D15="","",IF($E15="正規職員","-",F15*G15)))</f>
        <v/>
      </c>
      <c r="I15" s="59">
        <f t="shared" si="6"/>
        <v>327916.66666666698</v>
      </c>
      <c r="J15" s="59" t="str">
        <f t="shared" ref="J15" si="21">IFERROR(IF($C14="-","",IF(D15="","",IF(E15="正規職員",I15-J14,MIN(MIN(H15:I15),I14-J14)))),0)</f>
        <v/>
      </c>
      <c r="K15" s="61" t="str">
        <f t="shared" si="8"/>
        <v/>
      </c>
      <c r="L15" s="62">
        <f t="shared" ref="L15" si="22">L14</f>
        <v>7</v>
      </c>
      <c r="M15" s="62" t="e">
        <f>VLOOKUP($D15&amp;M$5,'②-2勤務時間数入力'!$D$7:$Q$106,$L15,FALSE)</f>
        <v>#N/A</v>
      </c>
      <c r="N15" s="62" t="str">
        <f t="shared" si="4"/>
        <v>×</v>
      </c>
      <c r="O15" s="62" t="e">
        <f>VLOOKUP($D15&amp;O$5,'②-2勤務時間数入力'!$D$7:$Q$106,$L15,FALSE)</f>
        <v>#N/A</v>
      </c>
      <c r="P15" s="62" t="str">
        <f t="shared" si="0"/>
        <v>×</v>
      </c>
      <c r="Q15" s="62" t="e">
        <f>VLOOKUP($D15&amp;Q$5,'②-2勤務時間数入力'!$D$7:$Q$106,$L15,FALSE)</f>
        <v>#N/A</v>
      </c>
      <c r="R15" s="62" t="str">
        <f t="shared" si="1"/>
        <v>×</v>
      </c>
      <c r="S15" s="62" t="e">
        <f>VLOOKUP($D15&amp;S$5,'②-2勤務時間数入力'!$D$7:$Q$106,$L15,FALSE)</f>
        <v>#N/A</v>
      </c>
      <c r="T15" s="62" t="str">
        <f t="shared" si="2"/>
        <v>×</v>
      </c>
    </row>
    <row r="16" spans="1:20" ht="15" hidden="1" customHeight="1">
      <c r="A16" s="843">
        <v>9</v>
      </c>
      <c r="B16" s="851" t="e">
        <f>IF(判定!X14="OK",1,"")</f>
        <v>#DIV/0!</v>
      </c>
      <c r="C16" s="845" t="str">
        <f>IFERROR(INDEX($H$38:$I$43,MATCH(判定!AF14,$H$38:$H$43,0),2),"-")</f>
        <v>-</v>
      </c>
      <c r="D16" s="138" t="str">
        <f t="shared" si="10"/>
        <v/>
      </c>
      <c r="E16" s="60" t="str">
        <f t="shared" si="5"/>
        <v/>
      </c>
      <c r="F16" s="59" t="str">
        <f t="shared" si="3"/>
        <v/>
      </c>
      <c r="G16" s="139" t="str">
        <f>IF($C16="","",IF($E16="正規職員","-",IF(AND(EXACT(C14,C16),EXACT(D14,D16),EXACT(E14,E16)),G14,"賃金単価を記載")))</f>
        <v/>
      </c>
      <c r="H16" s="59" t="e">
        <f>IF($C16="","",IF($E16="正規職員","-",F16*G16))</f>
        <v>#VALUE!</v>
      </c>
      <c r="I16" s="59">
        <f t="shared" si="6"/>
        <v>327916.66666666698</v>
      </c>
      <c r="J16" s="59" t="str">
        <f t="shared" ref="J16" si="23">IFERROR(IF($C16="-","",IF(D16="",0,IF(E16="正規職員",I16,MIN(H16:I16)))),0)</f>
        <v/>
      </c>
      <c r="K16" s="61" t="str">
        <f t="shared" si="8"/>
        <v/>
      </c>
      <c r="L16" s="62">
        <f t="shared" ref="L16" si="24">L14+1</f>
        <v>8</v>
      </c>
      <c r="M16" s="62" t="e">
        <f>VLOOKUP($D16&amp;M$5,'②-2勤務時間数入力'!$D$7:$Q$106,$L16,FALSE)</f>
        <v>#N/A</v>
      </c>
      <c r="N16" s="62" t="str">
        <f t="shared" si="4"/>
        <v>×</v>
      </c>
      <c r="O16" s="62" t="e">
        <f>VLOOKUP($D16&amp;O$5,'②-2勤務時間数入力'!$D$7:$Q$106,$L16,FALSE)</f>
        <v>#N/A</v>
      </c>
      <c r="P16" s="62" t="str">
        <f t="shared" si="0"/>
        <v>×</v>
      </c>
      <c r="Q16" s="62" t="e">
        <f>VLOOKUP($D16&amp;Q$5,'②-2勤務時間数入力'!$D$7:$Q$106,$L16,FALSE)</f>
        <v>#N/A</v>
      </c>
      <c r="R16" s="62" t="str">
        <f t="shared" si="1"/>
        <v>×</v>
      </c>
      <c r="S16" s="62" t="e">
        <f>VLOOKUP($D16&amp;S$5,'②-2勤務時間数入力'!$D$7:$Q$106,$L16,FALSE)</f>
        <v>#N/A</v>
      </c>
      <c r="T16" s="62" t="str">
        <f t="shared" si="2"/>
        <v>×</v>
      </c>
    </row>
    <row r="17" spans="1:20" ht="15" hidden="1" customHeight="1">
      <c r="A17" s="844"/>
      <c r="B17" s="852"/>
      <c r="C17" s="846"/>
      <c r="D17" s="138" t="str">
        <f t="shared" si="10"/>
        <v/>
      </c>
      <c r="E17" s="60" t="str">
        <f t="shared" si="5"/>
        <v/>
      </c>
      <c r="F17" s="59" t="str">
        <f t="shared" si="3"/>
        <v/>
      </c>
      <c r="G17" s="139" t="str">
        <f>IF($C16="","",IF(D17="","",IF($E17="正規職員","-",IF(AND(EXACT(C14,C16),EXACT(D15,D17),EXACT(E15,E17)),G15,"賃金単価を記載"))))</f>
        <v/>
      </c>
      <c r="H17" s="59" t="str">
        <f>IF($C16="","",IF(D17="","",IF($E17="正規職員","-",F17*G17)))</f>
        <v/>
      </c>
      <c r="I17" s="59">
        <f t="shared" si="6"/>
        <v>327916.66666666698</v>
      </c>
      <c r="J17" s="59" t="str">
        <f t="shared" ref="J17" si="25">IFERROR(IF($C16="-","",IF(D17="","",IF(E17="正規職員",I17-J16,MIN(MIN(H17:I17),I16-J16)))),0)</f>
        <v/>
      </c>
      <c r="K17" s="61" t="str">
        <f t="shared" si="8"/>
        <v/>
      </c>
      <c r="L17" s="62">
        <f t="shared" ref="L17" si="26">L16</f>
        <v>8</v>
      </c>
      <c r="M17" s="62" t="e">
        <f>VLOOKUP($D17&amp;M$5,'②-2勤務時間数入力'!$D$7:$Q$106,$L17,FALSE)</f>
        <v>#N/A</v>
      </c>
      <c r="N17" s="62" t="str">
        <f t="shared" si="4"/>
        <v>×</v>
      </c>
      <c r="O17" s="62" t="e">
        <f>VLOOKUP($D17&amp;O$5,'②-2勤務時間数入力'!$D$7:$Q$106,$L17,FALSE)</f>
        <v>#N/A</v>
      </c>
      <c r="P17" s="62" t="str">
        <f t="shared" si="0"/>
        <v>×</v>
      </c>
      <c r="Q17" s="62" t="e">
        <f>VLOOKUP($D17&amp;Q$5,'②-2勤務時間数入力'!$D$7:$Q$106,$L17,FALSE)</f>
        <v>#N/A</v>
      </c>
      <c r="R17" s="62" t="str">
        <f t="shared" si="1"/>
        <v>×</v>
      </c>
      <c r="S17" s="62" t="e">
        <f>VLOOKUP($D17&amp;S$5,'②-2勤務時間数入力'!$D$7:$Q$106,$L17,FALSE)</f>
        <v>#N/A</v>
      </c>
      <c r="T17" s="62" t="str">
        <f t="shared" si="2"/>
        <v>×</v>
      </c>
    </row>
    <row r="18" spans="1:20" ht="15" hidden="1" customHeight="1">
      <c r="A18" s="843">
        <v>10</v>
      </c>
      <c r="B18" s="851" t="e">
        <f>IF(判定!X15="OK",1,"")</f>
        <v>#DIV/0!</v>
      </c>
      <c r="C18" s="845" t="str">
        <f>IFERROR(INDEX($H$38:$I$43,MATCH(判定!AF15,$H$38:$H$43,0),2),"-")</f>
        <v>-</v>
      </c>
      <c r="D18" s="138" t="str">
        <f t="shared" si="10"/>
        <v/>
      </c>
      <c r="E18" s="60" t="str">
        <f t="shared" si="5"/>
        <v/>
      </c>
      <c r="F18" s="59" t="str">
        <f t="shared" si="3"/>
        <v/>
      </c>
      <c r="G18" s="139" t="str">
        <f>IF($C18="","",IF($E18="正規職員","-",IF(AND(EXACT(C16,C18),EXACT(D16,D18),EXACT(E16,E18)),G16,"賃金単価を記載")))</f>
        <v/>
      </c>
      <c r="H18" s="59" t="e">
        <f>IF($C18="","",IF($E18="正規職員","-",F18*G18))</f>
        <v>#VALUE!</v>
      </c>
      <c r="I18" s="59">
        <f t="shared" si="6"/>
        <v>327916.66666666698</v>
      </c>
      <c r="J18" s="59" t="str">
        <f t="shared" ref="J18" si="27">IFERROR(IF($C18="-","",IF(D18="",0,IF(E18="正規職員",I18,MIN(H18:I18)))),0)</f>
        <v/>
      </c>
      <c r="K18" s="61" t="str">
        <f t="shared" si="8"/>
        <v/>
      </c>
      <c r="L18" s="62">
        <f t="shared" ref="L18" si="28">L16+1</f>
        <v>9</v>
      </c>
      <c r="M18" s="62" t="e">
        <f>VLOOKUP($D18&amp;M$5,'②-2勤務時間数入力'!$D$7:$Q$106,$L18,FALSE)</f>
        <v>#N/A</v>
      </c>
      <c r="N18" s="62" t="str">
        <f t="shared" si="4"/>
        <v>×</v>
      </c>
      <c r="O18" s="62" t="e">
        <f>VLOOKUP($D18&amp;O$5,'②-2勤務時間数入力'!$D$7:$Q$106,$L18,FALSE)</f>
        <v>#N/A</v>
      </c>
      <c r="P18" s="62" t="str">
        <f t="shared" si="0"/>
        <v>×</v>
      </c>
      <c r="Q18" s="62" t="e">
        <f>VLOOKUP($D18&amp;Q$5,'②-2勤務時間数入力'!$D$7:$Q$106,$L18,FALSE)</f>
        <v>#N/A</v>
      </c>
      <c r="R18" s="62" t="str">
        <f t="shared" si="1"/>
        <v>×</v>
      </c>
      <c r="S18" s="62" t="e">
        <f>VLOOKUP($D18&amp;S$5,'②-2勤務時間数入力'!$D$7:$Q$106,$L18,FALSE)</f>
        <v>#N/A</v>
      </c>
      <c r="T18" s="62" t="str">
        <f t="shared" si="2"/>
        <v>×</v>
      </c>
    </row>
    <row r="19" spans="1:20" ht="15" hidden="1" customHeight="1">
      <c r="A19" s="844"/>
      <c r="B19" s="852"/>
      <c r="C19" s="846"/>
      <c r="D19" s="138" t="str">
        <f t="shared" si="10"/>
        <v/>
      </c>
      <c r="E19" s="60" t="str">
        <f t="shared" si="5"/>
        <v/>
      </c>
      <c r="F19" s="59" t="str">
        <f t="shared" si="3"/>
        <v/>
      </c>
      <c r="G19" s="139" t="str">
        <f>IF($C18="","",IF(D19="","",IF($E19="正規職員","-",IF(AND(EXACT(C16,C18),EXACT(D17,D19),EXACT(E17,E19)),G17,"賃金単価を記載"))))</f>
        <v/>
      </c>
      <c r="H19" s="59" t="str">
        <f>IF($C18="","",IF(D19="","",IF($E19="正規職員","-",F19*G19)))</f>
        <v/>
      </c>
      <c r="I19" s="59">
        <f t="shared" si="6"/>
        <v>327916.66666666698</v>
      </c>
      <c r="J19" s="59" t="str">
        <f t="shared" ref="J19" si="29">IFERROR(IF($C18="-","",IF(D19="","",IF(E19="正規職員",I19-J18,MIN(MIN(H19:I19),I18-J18)))),0)</f>
        <v/>
      </c>
      <c r="K19" s="61" t="str">
        <f t="shared" si="8"/>
        <v/>
      </c>
      <c r="L19" s="62">
        <f t="shared" ref="L19" si="30">L18</f>
        <v>9</v>
      </c>
      <c r="M19" s="62" t="e">
        <f>VLOOKUP($D19&amp;M$5,'②-2勤務時間数入力'!$D$7:$Q$106,$L19,FALSE)</f>
        <v>#N/A</v>
      </c>
      <c r="N19" s="62" t="str">
        <f t="shared" si="4"/>
        <v>×</v>
      </c>
      <c r="O19" s="62" t="e">
        <f>VLOOKUP($D19&amp;O$5,'②-2勤務時間数入力'!$D$7:$Q$106,$L19,FALSE)</f>
        <v>#N/A</v>
      </c>
      <c r="P19" s="62" t="str">
        <f t="shared" si="0"/>
        <v>×</v>
      </c>
      <c r="Q19" s="62" t="e">
        <f>VLOOKUP($D19&amp;Q$5,'②-2勤務時間数入力'!$D$7:$Q$106,$L19,FALSE)</f>
        <v>#N/A</v>
      </c>
      <c r="R19" s="62" t="str">
        <f t="shared" si="1"/>
        <v>×</v>
      </c>
      <c r="S19" s="62" t="e">
        <f>VLOOKUP($D19&amp;S$5,'②-2勤務時間数入力'!$D$7:$Q$106,$L19,FALSE)</f>
        <v>#N/A</v>
      </c>
      <c r="T19" s="62" t="str">
        <f t="shared" si="2"/>
        <v>×</v>
      </c>
    </row>
    <row r="20" spans="1:20" ht="15" hidden="1" customHeight="1">
      <c r="A20" s="843">
        <v>11</v>
      </c>
      <c r="B20" s="851" t="e">
        <f>IF(判定!X16="OK",1,"")</f>
        <v>#DIV/0!</v>
      </c>
      <c r="C20" s="845" t="str">
        <f>IFERROR(INDEX($H$38:$I$43,MATCH(判定!AF16,$H$38:$H$43,0),2),"-")</f>
        <v>-</v>
      </c>
      <c r="D20" s="138" t="str">
        <f t="shared" si="10"/>
        <v/>
      </c>
      <c r="E20" s="60" t="str">
        <f t="shared" si="5"/>
        <v/>
      </c>
      <c r="F20" s="59" t="str">
        <f t="shared" si="3"/>
        <v/>
      </c>
      <c r="G20" s="139" t="str">
        <f>IF($C20="","",IF($E20="正規職員","-",IF(AND(EXACT(C18,C20),EXACT(D18,D20),EXACT(E18,E20)),G18,"賃金単価を記載")))</f>
        <v/>
      </c>
      <c r="H20" s="59" t="e">
        <f>IF($C20="","",IF($E20="正規職員","-",F20*G20))</f>
        <v>#VALUE!</v>
      </c>
      <c r="I20" s="59">
        <f t="shared" si="6"/>
        <v>327916.66666666698</v>
      </c>
      <c r="J20" s="59" t="str">
        <f t="shared" ref="J20" si="31">IFERROR(IF($C20="-","",IF(D20="",0,IF(E20="正規職員",I20,MIN(H20:I20)))),0)</f>
        <v/>
      </c>
      <c r="K20" s="61" t="str">
        <f t="shared" si="8"/>
        <v/>
      </c>
      <c r="L20" s="62">
        <f t="shared" ref="L20" si="32">L18+1</f>
        <v>10</v>
      </c>
      <c r="M20" s="62" t="e">
        <f>VLOOKUP($D20&amp;M$5,'②-2勤務時間数入力'!$D$7:$Q$106,$L20,FALSE)</f>
        <v>#N/A</v>
      </c>
      <c r="N20" s="62" t="str">
        <f t="shared" si="4"/>
        <v>×</v>
      </c>
      <c r="O20" s="62" t="e">
        <f>VLOOKUP($D20&amp;O$5,'②-2勤務時間数入力'!$D$7:$Q$106,$L20,FALSE)</f>
        <v>#N/A</v>
      </c>
      <c r="P20" s="62" t="str">
        <f t="shared" si="0"/>
        <v>×</v>
      </c>
      <c r="Q20" s="62" t="e">
        <f>VLOOKUP($D20&amp;Q$5,'②-2勤務時間数入力'!$D$7:$Q$106,$L20,FALSE)</f>
        <v>#N/A</v>
      </c>
      <c r="R20" s="62" t="str">
        <f t="shared" si="1"/>
        <v>×</v>
      </c>
      <c r="S20" s="62" t="e">
        <f>VLOOKUP($D20&amp;S$5,'②-2勤務時間数入力'!$D$7:$Q$106,$L20,FALSE)</f>
        <v>#N/A</v>
      </c>
      <c r="T20" s="62" t="str">
        <f t="shared" si="2"/>
        <v>×</v>
      </c>
    </row>
    <row r="21" spans="1:20" ht="15" hidden="1" customHeight="1">
      <c r="A21" s="844"/>
      <c r="B21" s="852"/>
      <c r="C21" s="846"/>
      <c r="D21" s="138" t="str">
        <f t="shared" si="10"/>
        <v/>
      </c>
      <c r="E21" s="60" t="str">
        <f t="shared" si="5"/>
        <v/>
      </c>
      <c r="F21" s="59" t="str">
        <f t="shared" si="3"/>
        <v/>
      </c>
      <c r="G21" s="139" t="str">
        <f>IF($C20="","",IF(D21="","",IF($E21="正規職員","-",IF(AND(EXACT(C18,C20),EXACT(D19,D21),EXACT(E19,E21)),G19,"賃金単価を記載"))))</f>
        <v/>
      </c>
      <c r="H21" s="59" t="str">
        <f>IF($C20="","",IF(D21="","",IF($E21="正規職員","-",F21*G21)))</f>
        <v/>
      </c>
      <c r="I21" s="59">
        <f t="shared" si="6"/>
        <v>327916.66666666698</v>
      </c>
      <c r="J21" s="59" t="str">
        <f t="shared" ref="J21" si="33">IFERROR(IF($C20="-","",IF(D21="","",IF(E21="正規職員",I21-J20,MIN(MIN(H21:I21),I20-J20)))),0)</f>
        <v/>
      </c>
      <c r="K21" s="61" t="str">
        <f t="shared" si="8"/>
        <v/>
      </c>
      <c r="L21" s="62">
        <f t="shared" ref="L21" si="34">L20</f>
        <v>10</v>
      </c>
      <c r="M21" s="62" t="e">
        <f>VLOOKUP($D21&amp;M$5,'②-2勤務時間数入力'!$D$7:$Q$106,$L21,FALSE)</f>
        <v>#N/A</v>
      </c>
      <c r="N21" s="62" t="str">
        <f t="shared" si="4"/>
        <v>×</v>
      </c>
      <c r="O21" s="62" t="e">
        <f>VLOOKUP($D21&amp;O$5,'②-2勤務時間数入力'!$D$7:$Q$106,$L21,FALSE)</f>
        <v>#N/A</v>
      </c>
      <c r="P21" s="62" t="str">
        <f t="shared" si="0"/>
        <v>×</v>
      </c>
      <c r="Q21" s="62" t="e">
        <f>VLOOKUP($D21&amp;Q$5,'②-2勤務時間数入力'!$D$7:$Q$106,$L21,FALSE)</f>
        <v>#N/A</v>
      </c>
      <c r="R21" s="62" t="str">
        <f t="shared" si="1"/>
        <v>×</v>
      </c>
      <c r="S21" s="62" t="e">
        <f>VLOOKUP($D21&amp;S$5,'②-2勤務時間数入力'!$D$7:$Q$106,$L21,FALSE)</f>
        <v>#N/A</v>
      </c>
      <c r="T21" s="62" t="str">
        <f t="shared" si="2"/>
        <v>×</v>
      </c>
    </row>
    <row r="22" spans="1:20" ht="15" hidden="1" customHeight="1">
      <c r="A22" s="843">
        <v>12</v>
      </c>
      <c r="B22" s="851" t="e">
        <f>IF(判定!X17="OK",1,"")</f>
        <v>#DIV/0!</v>
      </c>
      <c r="C22" s="845" t="str">
        <f>IFERROR(INDEX($H$38:$I$43,MATCH(判定!AF17,$H$38:$H$43,0),2),"-")</f>
        <v>-</v>
      </c>
      <c r="D22" s="138" t="str">
        <f t="shared" si="10"/>
        <v/>
      </c>
      <c r="E22" s="60" t="str">
        <f t="shared" si="5"/>
        <v/>
      </c>
      <c r="F22" s="59" t="str">
        <f t="shared" si="3"/>
        <v/>
      </c>
      <c r="G22" s="139" t="str">
        <f>IF($C22="","",IF($E22="正規職員","-",IF(AND(EXACT(C20,C22),EXACT(D20,D22),EXACT(E20,E22)),G20,"賃金単価を記載")))</f>
        <v/>
      </c>
      <c r="H22" s="59" t="e">
        <f>IF($C22="","",IF($E22="正規職員","-",F22*G22))</f>
        <v>#VALUE!</v>
      </c>
      <c r="I22" s="59">
        <f t="shared" si="6"/>
        <v>327916.66666666698</v>
      </c>
      <c r="J22" s="59" t="str">
        <f t="shared" ref="J22" si="35">IFERROR(IF($C22="-","",IF(D22="",0,IF(E22="正規職員",I22,MIN(H22:I22)))),0)</f>
        <v/>
      </c>
      <c r="K22" s="61" t="str">
        <f t="shared" si="8"/>
        <v/>
      </c>
      <c r="L22" s="62">
        <f t="shared" ref="L22" si="36">L20+1</f>
        <v>11</v>
      </c>
      <c r="M22" s="62" t="e">
        <f>VLOOKUP($D22&amp;M$5,'②-2勤務時間数入力'!$D$7:$Q$106,$L22,FALSE)</f>
        <v>#N/A</v>
      </c>
      <c r="N22" s="62" t="str">
        <f t="shared" si="4"/>
        <v>×</v>
      </c>
      <c r="O22" s="62" t="e">
        <f>VLOOKUP($D22&amp;O$5,'②-2勤務時間数入力'!$D$7:$Q$106,$L22,FALSE)</f>
        <v>#N/A</v>
      </c>
      <c r="P22" s="62" t="str">
        <f t="shared" si="0"/>
        <v>×</v>
      </c>
      <c r="Q22" s="62" t="e">
        <f>VLOOKUP($D22&amp;Q$5,'②-2勤務時間数入力'!$D$7:$Q$106,$L22,FALSE)</f>
        <v>#N/A</v>
      </c>
      <c r="R22" s="62" t="str">
        <f t="shared" si="1"/>
        <v>×</v>
      </c>
      <c r="S22" s="62" t="e">
        <f>VLOOKUP($D22&amp;S$5,'②-2勤務時間数入力'!$D$7:$Q$106,$L22,FALSE)</f>
        <v>#N/A</v>
      </c>
      <c r="T22" s="62" t="str">
        <f t="shared" si="2"/>
        <v>×</v>
      </c>
    </row>
    <row r="23" spans="1:20" ht="15" hidden="1" customHeight="1">
      <c r="A23" s="844"/>
      <c r="B23" s="852"/>
      <c r="C23" s="846"/>
      <c r="D23" s="138" t="str">
        <f t="shared" si="10"/>
        <v/>
      </c>
      <c r="E23" s="60" t="str">
        <f t="shared" si="5"/>
        <v/>
      </c>
      <c r="F23" s="59" t="str">
        <f t="shared" si="3"/>
        <v/>
      </c>
      <c r="G23" s="139" t="str">
        <f>IF($C22="","",IF(D23="","",IF($E23="正規職員","-",IF(AND(EXACT(C20,C22),EXACT(D21,D23),EXACT(E21,E23)),G21,"賃金単価を記載"))))</f>
        <v/>
      </c>
      <c r="H23" s="59" t="str">
        <f>IF($C22="","",IF(D23="","",IF($E23="正規職員","-",F23*G23)))</f>
        <v/>
      </c>
      <c r="I23" s="59">
        <f t="shared" si="6"/>
        <v>327916.66666666698</v>
      </c>
      <c r="J23" s="59" t="str">
        <f t="shared" ref="J23" si="37">IFERROR(IF($C22="-","",IF(D23="","",IF(E23="正規職員",I23-J22,MIN(MIN(H23:I23),I22-J22)))),0)</f>
        <v/>
      </c>
      <c r="K23" s="61" t="str">
        <f t="shared" si="8"/>
        <v/>
      </c>
      <c r="L23" s="62">
        <f t="shared" ref="L23" si="38">L22</f>
        <v>11</v>
      </c>
      <c r="M23" s="62" t="e">
        <f>VLOOKUP($D23&amp;M$5,'②-2勤務時間数入力'!$D$7:$Q$106,$L23,FALSE)</f>
        <v>#N/A</v>
      </c>
      <c r="N23" s="62" t="str">
        <f t="shared" si="4"/>
        <v>×</v>
      </c>
      <c r="O23" s="62" t="e">
        <f>VLOOKUP($D23&amp;O$5,'②-2勤務時間数入力'!$D$7:$Q$106,$L23,FALSE)</f>
        <v>#N/A</v>
      </c>
      <c r="P23" s="62" t="str">
        <f t="shared" si="0"/>
        <v>×</v>
      </c>
      <c r="Q23" s="62" t="e">
        <f>VLOOKUP($D23&amp;Q$5,'②-2勤務時間数入力'!$D$7:$Q$106,$L23,FALSE)</f>
        <v>#N/A</v>
      </c>
      <c r="R23" s="62" t="str">
        <f t="shared" si="1"/>
        <v>×</v>
      </c>
      <c r="S23" s="62" t="e">
        <f>VLOOKUP($D23&amp;S$5,'②-2勤務時間数入力'!$D$7:$Q$106,$L23,FALSE)</f>
        <v>#N/A</v>
      </c>
      <c r="T23" s="62" t="str">
        <f t="shared" si="2"/>
        <v>×</v>
      </c>
    </row>
    <row r="24" spans="1:20" ht="15" hidden="1" customHeight="1">
      <c r="A24" s="843">
        <v>1</v>
      </c>
      <c r="B24" s="851" t="e">
        <f>IF(判定!X18="OK",1,"")</f>
        <v>#DIV/0!</v>
      </c>
      <c r="C24" s="845" t="str">
        <f>IFERROR(INDEX($H$38:$I$43,MATCH(判定!AF18,$H$38:$H$43,0),2),"-")</f>
        <v>-</v>
      </c>
      <c r="D24" s="138" t="str">
        <f t="shared" si="10"/>
        <v/>
      </c>
      <c r="E24" s="60" t="str">
        <f t="shared" si="5"/>
        <v/>
      </c>
      <c r="F24" s="59" t="str">
        <f t="shared" si="3"/>
        <v/>
      </c>
      <c r="G24" s="139" t="str">
        <f>IF($C24="","",IF($E24="正規職員","-",IF(AND(EXACT(C22,C24),EXACT(D22,D24),EXACT(E22,E24)),G22,"賃金単価を記載")))</f>
        <v/>
      </c>
      <c r="H24" s="59" t="e">
        <f>IF($C24="","",IF($E24="正規職員","-",F24*G24))</f>
        <v>#VALUE!</v>
      </c>
      <c r="I24" s="59">
        <f t="shared" si="6"/>
        <v>327916.66666666698</v>
      </c>
      <c r="J24" s="59" t="str">
        <f t="shared" ref="J24" si="39">IFERROR(IF($C24="-","",IF(D24="",0,IF(E24="正規職員",I24,MIN(H24:I24)))),0)</f>
        <v/>
      </c>
      <c r="K24" s="61" t="str">
        <f t="shared" si="8"/>
        <v/>
      </c>
      <c r="L24" s="62">
        <f t="shared" ref="L24" si="40">L22+1</f>
        <v>12</v>
      </c>
      <c r="M24" s="62" t="e">
        <f>VLOOKUP($D24&amp;M$5,'②-2勤務時間数入力'!$D$7:$Q$106,$L24,FALSE)</f>
        <v>#N/A</v>
      </c>
      <c r="N24" s="62" t="str">
        <f t="shared" si="4"/>
        <v>×</v>
      </c>
      <c r="O24" s="62" t="e">
        <f>VLOOKUP($D24&amp;O$5,'②-2勤務時間数入力'!$D$7:$Q$106,$L24,FALSE)</f>
        <v>#N/A</v>
      </c>
      <c r="P24" s="62" t="str">
        <f t="shared" si="0"/>
        <v>×</v>
      </c>
      <c r="Q24" s="62" t="e">
        <f>VLOOKUP($D24&amp;Q$5,'②-2勤務時間数入力'!$D$7:$Q$106,$L24,FALSE)</f>
        <v>#N/A</v>
      </c>
      <c r="R24" s="62" t="str">
        <f t="shared" si="1"/>
        <v>×</v>
      </c>
      <c r="S24" s="62" t="e">
        <f>VLOOKUP($D24&amp;S$5,'②-2勤務時間数入力'!$D$7:$Q$106,$L24,FALSE)</f>
        <v>#N/A</v>
      </c>
      <c r="T24" s="62" t="str">
        <f t="shared" si="2"/>
        <v>×</v>
      </c>
    </row>
    <row r="25" spans="1:20" ht="15" hidden="1" customHeight="1">
      <c r="A25" s="844"/>
      <c r="B25" s="852"/>
      <c r="C25" s="846"/>
      <c r="D25" s="138" t="str">
        <f t="shared" si="10"/>
        <v/>
      </c>
      <c r="E25" s="60" t="str">
        <f t="shared" si="5"/>
        <v/>
      </c>
      <c r="F25" s="59" t="str">
        <f t="shared" si="3"/>
        <v/>
      </c>
      <c r="G25" s="139" t="str">
        <f>IF($C24="","",IF(D25="","",IF($E25="正規職員","-",IF(AND(EXACT(C22,C24),EXACT(D23,D25),EXACT(E23,E25)),G23,"賃金単価を記載"))))</f>
        <v/>
      </c>
      <c r="H25" s="59" t="str">
        <f>IF($C24="","",IF(D25="","",IF($E25="正規職員","-",F25*G25)))</f>
        <v/>
      </c>
      <c r="I25" s="59">
        <f t="shared" si="6"/>
        <v>327916.66666666698</v>
      </c>
      <c r="J25" s="59" t="str">
        <f t="shared" ref="J25" si="41">IFERROR(IF($C24="-","",IF(D25="","",IF(E25="正規職員",I25-J24,MIN(MIN(H25:I25),I24-J24)))),0)</f>
        <v/>
      </c>
      <c r="K25" s="61" t="str">
        <f t="shared" si="8"/>
        <v/>
      </c>
      <c r="L25" s="62">
        <f t="shared" ref="L25" si="42">L24</f>
        <v>12</v>
      </c>
      <c r="M25" s="62" t="e">
        <f>VLOOKUP($D25&amp;M$5,'②-2勤務時間数入力'!$D$7:$Q$106,$L25,FALSE)</f>
        <v>#N/A</v>
      </c>
      <c r="N25" s="62" t="str">
        <f t="shared" si="4"/>
        <v>×</v>
      </c>
      <c r="O25" s="62" t="e">
        <f>VLOOKUP($D25&amp;O$5,'②-2勤務時間数入力'!$D$7:$Q$106,$L25,FALSE)</f>
        <v>#N/A</v>
      </c>
      <c r="P25" s="62" t="str">
        <f t="shared" si="0"/>
        <v>×</v>
      </c>
      <c r="Q25" s="62" t="e">
        <f>VLOOKUP($D25&amp;Q$5,'②-2勤務時間数入力'!$D$7:$Q$106,$L25,FALSE)</f>
        <v>#N/A</v>
      </c>
      <c r="R25" s="62" t="str">
        <f t="shared" si="1"/>
        <v>×</v>
      </c>
      <c r="S25" s="62" t="e">
        <f>VLOOKUP($D25&amp;S$5,'②-2勤務時間数入力'!$D$7:$Q$106,$L25,FALSE)</f>
        <v>#N/A</v>
      </c>
      <c r="T25" s="62" t="str">
        <f t="shared" si="2"/>
        <v>×</v>
      </c>
    </row>
    <row r="26" spans="1:20" ht="15" hidden="1" customHeight="1">
      <c r="A26" s="843">
        <v>2</v>
      </c>
      <c r="B26" s="851" t="e">
        <f>IF(判定!X19="OK",1,"")</f>
        <v>#DIV/0!</v>
      </c>
      <c r="C26" s="845" t="str">
        <f>IFERROR(INDEX($H$38:$I$43,MATCH(判定!AF19,$H$38:$H$43,0),2),"-")</f>
        <v>-</v>
      </c>
      <c r="D26" s="138" t="str">
        <f t="shared" si="10"/>
        <v/>
      </c>
      <c r="E26" s="60" t="str">
        <f t="shared" si="5"/>
        <v/>
      </c>
      <c r="F26" s="59" t="str">
        <f t="shared" si="3"/>
        <v/>
      </c>
      <c r="G26" s="139" t="str">
        <f>IF($C26="","",IF($E26="正規職員","-",IF(AND(EXACT(C24,C26),EXACT(D24,D26),EXACT(E24,E26)),G24,"賃金単価を記載")))</f>
        <v/>
      </c>
      <c r="H26" s="59" t="e">
        <f>IF($C26="","",IF($E26="正規職員","-",F26*G26))</f>
        <v>#VALUE!</v>
      </c>
      <c r="I26" s="59">
        <f t="shared" si="6"/>
        <v>327916.66666666698</v>
      </c>
      <c r="J26" s="59" t="str">
        <f t="shared" ref="J26" si="43">IFERROR(IF($C26="-","",IF(D26="",0,IF(E26="正規職員",I26,MIN(H26:I26)))),0)</f>
        <v/>
      </c>
      <c r="K26" s="61" t="str">
        <f t="shared" si="8"/>
        <v/>
      </c>
      <c r="L26" s="62">
        <f t="shared" ref="L26" si="44">L24+1</f>
        <v>13</v>
      </c>
      <c r="M26" s="62" t="e">
        <f>VLOOKUP($D26&amp;M$5,'②-2勤務時間数入力'!$D$7:$Q$106,$L26,FALSE)</f>
        <v>#N/A</v>
      </c>
      <c r="N26" s="62" t="str">
        <f t="shared" si="4"/>
        <v>×</v>
      </c>
      <c r="O26" s="62" t="e">
        <f>VLOOKUP($D26&amp;O$5,'②-2勤務時間数入力'!$D$7:$Q$106,$L26,FALSE)</f>
        <v>#N/A</v>
      </c>
      <c r="P26" s="62" t="str">
        <f t="shared" si="0"/>
        <v>×</v>
      </c>
      <c r="Q26" s="62" t="e">
        <f>VLOOKUP($D26&amp;Q$5,'②-2勤務時間数入力'!$D$7:$Q$106,$L26,FALSE)</f>
        <v>#N/A</v>
      </c>
      <c r="R26" s="62" t="str">
        <f t="shared" si="1"/>
        <v>×</v>
      </c>
      <c r="S26" s="62" t="e">
        <f>VLOOKUP($D26&amp;S$5,'②-2勤務時間数入力'!$D$7:$Q$106,$L26,FALSE)</f>
        <v>#N/A</v>
      </c>
      <c r="T26" s="62" t="str">
        <f t="shared" si="2"/>
        <v>×</v>
      </c>
    </row>
    <row r="27" spans="1:20" ht="15" hidden="1" customHeight="1">
      <c r="A27" s="844"/>
      <c r="B27" s="852"/>
      <c r="C27" s="846"/>
      <c r="D27" s="138" t="str">
        <f t="shared" si="10"/>
        <v/>
      </c>
      <c r="E27" s="60" t="str">
        <f t="shared" si="5"/>
        <v/>
      </c>
      <c r="F27" s="59" t="str">
        <f t="shared" si="3"/>
        <v/>
      </c>
      <c r="G27" s="139" t="str">
        <f>IF($C26="","",IF(D27="","",IF($E27="正規職員","-",IF(AND(EXACT(C24,C26),EXACT(D25,D27),EXACT(E25,E27)),G25,"賃金単価を記載"))))</f>
        <v/>
      </c>
      <c r="H27" s="59" t="str">
        <f>IF($C26="","",IF(D27="","",IF($E27="正規職員","-",F27*G27)))</f>
        <v/>
      </c>
      <c r="I27" s="59">
        <f t="shared" si="6"/>
        <v>327916.66666666698</v>
      </c>
      <c r="J27" s="59" t="str">
        <f t="shared" ref="J27" si="45">IFERROR(IF($C26="-","",IF(D27="","",IF(E27="正規職員",I27-J26,MIN(MIN(H27:I27),I26-J26)))),0)</f>
        <v/>
      </c>
      <c r="K27" s="61" t="str">
        <f t="shared" si="8"/>
        <v/>
      </c>
      <c r="L27" s="62">
        <f t="shared" ref="L27" si="46">L26</f>
        <v>13</v>
      </c>
      <c r="M27" s="62" t="e">
        <f>VLOOKUP($D27&amp;M$5,'②-2勤務時間数入力'!$D$7:$Q$106,$L27,FALSE)</f>
        <v>#N/A</v>
      </c>
      <c r="N27" s="62" t="str">
        <f t="shared" si="4"/>
        <v>×</v>
      </c>
      <c r="O27" s="62" t="e">
        <f>VLOOKUP($D27&amp;O$5,'②-2勤務時間数入力'!$D$7:$Q$106,$L27,FALSE)</f>
        <v>#N/A</v>
      </c>
      <c r="P27" s="62" t="str">
        <f t="shared" si="0"/>
        <v>×</v>
      </c>
      <c r="Q27" s="62" t="e">
        <f>VLOOKUP($D27&amp;Q$5,'②-2勤務時間数入力'!$D$7:$Q$106,$L27,FALSE)</f>
        <v>#N/A</v>
      </c>
      <c r="R27" s="62" t="str">
        <f t="shared" si="1"/>
        <v>×</v>
      </c>
      <c r="S27" s="62" t="e">
        <f>VLOOKUP($D27&amp;S$5,'②-2勤務時間数入力'!$D$7:$Q$106,$L27,FALSE)</f>
        <v>#N/A</v>
      </c>
      <c r="T27" s="62" t="str">
        <f t="shared" si="2"/>
        <v>×</v>
      </c>
    </row>
    <row r="28" spans="1:20" ht="15" hidden="1" customHeight="1">
      <c r="A28" s="843">
        <v>3</v>
      </c>
      <c r="B28" s="851" t="e">
        <f>IF(判定!X20="OK",1,"")</f>
        <v>#DIV/0!</v>
      </c>
      <c r="C28" s="845" t="str">
        <f>IFERROR(INDEX($H$38:$I$43,MATCH(判定!AF20,$H$38:$H$43,0),2),"-")</f>
        <v>-</v>
      </c>
      <c r="D28" s="138" t="str">
        <f t="shared" si="10"/>
        <v/>
      </c>
      <c r="E28" s="60" t="str">
        <f t="shared" si="5"/>
        <v/>
      </c>
      <c r="F28" s="59" t="str">
        <f t="shared" si="3"/>
        <v/>
      </c>
      <c r="G28" s="139" t="str">
        <f>IF($C28="","",IF($E28="正規職員","-",IF(AND(EXACT(C26,C28),EXACT(D26,D28),EXACT(E26,E28)),G26,"賃金単価を記載")))</f>
        <v/>
      </c>
      <c r="H28" s="59" t="e">
        <f>IF($C28="","",IF($E28="正規職員","-",F28*G28))</f>
        <v>#VALUE!</v>
      </c>
      <c r="I28" s="59">
        <f t="shared" si="6"/>
        <v>327916.66666666698</v>
      </c>
      <c r="J28" s="59" t="str">
        <f t="shared" ref="J28" si="47">IFERROR(IF($C28="-","",IF(D28="",0,IF(E28="正規職員",I28,MIN(H28:I28)))),0)</f>
        <v/>
      </c>
      <c r="K28" s="61" t="str">
        <f t="shared" si="8"/>
        <v/>
      </c>
      <c r="L28" s="62">
        <f t="shared" ref="L28" si="48">L26+1</f>
        <v>14</v>
      </c>
      <c r="M28" s="62" t="e">
        <f>VLOOKUP($D28&amp;M$5,'②-2勤務時間数入力'!$D$7:$Q$106,$L28,FALSE)</f>
        <v>#N/A</v>
      </c>
      <c r="N28" s="62" t="str">
        <f t="shared" si="4"/>
        <v>×</v>
      </c>
      <c r="O28" s="62" t="e">
        <f>VLOOKUP($D28&amp;O$5,'②-2勤務時間数入力'!$D$7:$Q$106,$L28,FALSE)</f>
        <v>#N/A</v>
      </c>
      <c r="P28" s="62" t="str">
        <f t="shared" si="0"/>
        <v>×</v>
      </c>
      <c r="Q28" s="62" t="e">
        <f>VLOOKUP($D28&amp;Q$5,'②-2勤務時間数入力'!$D$7:$Q$106,$L28,FALSE)</f>
        <v>#N/A</v>
      </c>
      <c r="R28" s="62" t="str">
        <f t="shared" si="1"/>
        <v>×</v>
      </c>
      <c r="S28" s="62" t="e">
        <f>VLOOKUP($D28&amp;S$5,'②-2勤務時間数入力'!$D$7:$Q$106,$L28,FALSE)</f>
        <v>#N/A</v>
      </c>
      <c r="T28" s="62" t="str">
        <f t="shared" si="2"/>
        <v>×</v>
      </c>
    </row>
    <row r="29" spans="1:20" ht="15" hidden="1" customHeight="1">
      <c r="A29" s="844"/>
      <c r="B29" s="852"/>
      <c r="C29" s="846"/>
      <c r="D29" s="138" t="str">
        <f>IF(D27="","",D27)</f>
        <v/>
      </c>
      <c r="E29" s="60" t="str">
        <f t="shared" si="5"/>
        <v/>
      </c>
      <c r="F29" s="59" t="str">
        <f t="shared" si="3"/>
        <v/>
      </c>
      <c r="G29" s="139" t="str">
        <f>IF($C28="","",IF(D29="","",IF($E29="正規職員","-",IF(AND(EXACT(C26,C28),EXACT(D27,D29),EXACT(E27,E29)),G27,"賃金単価を記載"))))</f>
        <v/>
      </c>
      <c r="H29" s="59" t="str">
        <f>IF($C28="","",IF(D29="","",IF($E29="正規職員","-",F29*G29)))</f>
        <v/>
      </c>
      <c r="I29" s="59">
        <f t="shared" si="6"/>
        <v>327916.66666666698</v>
      </c>
      <c r="J29" s="59" t="str">
        <f t="shared" ref="J29" si="49">IFERROR(IF($C28="-","",IF(D29="","",IF(E29="正規職員",I29-J28,MIN(MIN(H29:I29),I28-J28)))),0)</f>
        <v/>
      </c>
      <c r="K29" s="61" t="str">
        <f t="shared" si="8"/>
        <v/>
      </c>
      <c r="L29" s="62">
        <f t="shared" ref="L29" si="50">L28</f>
        <v>14</v>
      </c>
      <c r="M29" s="62" t="e">
        <f>VLOOKUP($D29&amp;M$5,'②-2勤務時間数入力'!$D$7:$Q$106,$L29,FALSE)</f>
        <v>#N/A</v>
      </c>
      <c r="N29" s="62" t="str">
        <f t="shared" si="4"/>
        <v>×</v>
      </c>
      <c r="O29" s="62" t="e">
        <f>VLOOKUP($D29&amp;O$5,'②-2勤務時間数入力'!$D$7:$Q$106,$L29,FALSE)</f>
        <v>#N/A</v>
      </c>
      <c r="P29" s="62" t="str">
        <f t="shared" si="0"/>
        <v>×</v>
      </c>
      <c r="Q29" s="62" t="e">
        <f>VLOOKUP($D29&amp;Q$5,'②-2勤務時間数入力'!$D$7:$Q$106,$L29,FALSE)</f>
        <v>#N/A</v>
      </c>
      <c r="R29" s="62" t="str">
        <f t="shared" si="1"/>
        <v>×</v>
      </c>
      <c r="S29" s="62" t="e">
        <f>VLOOKUP($D29&amp;S$5,'②-2勤務時間数入力'!$D$7:$Q$106,$L29,FALSE)</f>
        <v>#N/A</v>
      </c>
      <c r="T29" s="62" t="str">
        <f t="shared" si="2"/>
        <v>×</v>
      </c>
    </row>
    <row r="30" spans="1:20" ht="15" hidden="1" customHeight="1">
      <c r="A30" s="58" t="s">
        <v>264</v>
      </c>
      <c r="B30" s="59"/>
      <c r="C30" s="59"/>
      <c r="D30" s="1"/>
      <c r="E30" s="59"/>
      <c r="F30" s="59"/>
      <c r="G30" s="59"/>
      <c r="H30" s="59"/>
      <c r="I30" s="59"/>
      <c r="J30" s="63">
        <f>ROUNDDOWN(SUM(J6,J8,J10,J12,J14,J16,J18,J20,J22,J24,J26,J28),-3)+ROUNDDOWN(SUM(J7,J9,J11,J13,J15,J17,J19,J21,J23,J25,J27,J29),-3)</f>
        <v>0</v>
      </c>
    </row>
    <row r="31" spans="1:20" ht="15" customHeight="1">
      <c r="B31" s="61"/>
      <c r="C31" s="61"/>
      <c r="D31" s="61"/>
      <c r="E31" s="61"/>
      <c r="F31" s="61"/>
      <c r="G31" s="61"/>
      <c r="H31" s="61"/>
      <c r="I31" s="61"/>
      <c r="J31" s="61"/>
    </row>
    <row r="33" spans="2:9">
      <c r="B33" s="82"/>
      <c r="D33" s="82"/>
      <c r="E33" s="82"/>
      <c r="F33" s="82"/>
      <c r="G33" s="82"/>
    </row>
    <row r="36" spans="2:9" hidden="1"/>
    <row r="37" spans="2:9" hidden="1">
      <c r="I37" t="s">
        <v>799</v>
      </c>
    </row>
    <row r="38" spans="2:9" hidden="1">
      <c r="H38" t="s">
        <v>795</v>
      </c>
      <c r="I38" t="str">
        <f>'②-1職員名簿'!C144</f>
        <v>保育教諭等</v>
      </c>
    </row>
    <row r="39" spans="2:9" hidden="1">
      <c r="H39" t="s">
        <v>796</v>
      </c>
      <c r="I39" t="str">
        <f>'②-1職員名簿'!C145</f>
        <v>要件緩和</v>
      </c>
    </row>
    <row r="40" spans="2:9" hidden="1">
      <c r="H40" t="s">
        <v>797</v>
      </c>
      <c r="I40" t="str">
        <f>'②-1職員名簿'!C146</f>
        <v>看護師等</v>
      </c>
    </row>
    <row r="41" spans="2:9" hidden="1">
      <c r="H41" t="s">
        <v>798</v>
      </c>
      <c r="I41" t="str">
        <f>'②-1職員名簿'!C147</f>
        <v>栄養士</v>
      </c>
    </row>
    <row r="42" spans="2:9" hidden="1">
      <c r="H42" t="s">
        <v>802</v>
      </c>
      <c r="I42" t="str">
        <f>'②-1職員名簿'!C148</f>
        <v>調理師等</v>
      </c>
    </row>
    <row r="43" spans="2:9" hidden="1">
      <c r="H43" t="s">
        <v>803</v>
      </c>
      <c r="I43" t="str">
        <f>'②-1職員名簿'!C149</f>
        <v>教育・保育支援者</v>
      </c>
    </row>
  </sheetData>
  <sheetProtection algorithmName="SHA-512" hashValue="J4DmhTd1LfwEa8/u4pzIRTna9k3NnwGskkM8qpfGNe3rAqOUQqUAG4Qt4bzTofg6arDdm/AiXURZuLKQs5jdSQ==" saltValue="5zhrNgP0TVz6pT2xuT4C9Q==" spinCount="100000" sheet="1" selectLockedCells="1"/>
  <mergeCells count="43">
    <mergeCell ref="A1:J1"/>
    <mergeCell ref="E2:F2"/>
    <mergeCell ref="G2:J2"/>
    <mergeCell ref="M5:N5"/>
    <mergeCell ref="O5:P5"/>
    <mergeCell ref="S5:T5"/>
    <mergeCell ref="A6:A7"/>
    <mergeCell ref="B6:B7"/>
    <mergeCell ref="C6:C7"/>
    <mergeCell ref="A8:A9"/>
    <mergeCell ref="B8:B9"/>
    <mergeCell ref="C8:C9"/>
    <mergeCell ref="Q5:R5"/>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s>
  <phoneticPr fontId="1"/>
  <conditionalFormatting sqref="D6:D29">
    <cfRule type="containsBlanks" dxfId="66" priority="1">
      <formula>LEN(TRIM(D6))=0</formula>
    </cfRule>
  </conditionalFormatting>
  <conditionalFormatting sqref="G6:G29">
    <cfRule type="containsText" dxfId="65"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9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38C2331F-8EE1-4EBD-B4C4-F7E47B1FF1E1}">
          <x14:formula1>
            <xm:f>'②-1職員名簿'!Y$7:Y$107</xm:f>
          </x14:formula1>
          <xm:sqref>D6:D29</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727E-2F11-40C8-9E2A-89B6AC0A1907}">
  <sheetPr>
    <tabColor rgb="FF00B050"/>
  </sheetPr>
  <dimension ref="A1:T43"/>
  <sheetViews>
    <sheetView view="pageBreakPreview" topLeftCell="A2" zoomScaleNormal="100" zoomScaleSheetLayoutView="100" workbookViewId="0">
      <selection activeCell="I7" sqref="I7"/>
    </sheetView>
  </sheetViews>
  <sheetFormatPr defaultRowHeight="18"/>
  <cols>
    <col min="2" max="2" width="4.75" bestFit="1" customWidth="1"/>
    <col min="3" max="3" width="8.25" customWidth="1"/>
    <col min="4" max="4" width="28.33203125" customWidth="1"/>
    <col min="5" max="9" width="11.25" customWidth="1"/>
    <col min="10" max="10" width="15" customWidth="1"/>
    <col min="11" max="11" width="0" hidden="1" customWidth="1"/>
  </cols>
  <sheetData>
    <row r="1" spans="1:20" s="20" customFormat="1" ht="25" customHeight="1">
      <c r="A1" s="847" t="s">
        <v>268</v>
      </c>
      <c r="B1" s="847"/>
      <c r="C1" s="847"/>
      <c r="D1" s="847"/>
      <c r="E1" s="847"/>
      <c r="F1" s="847"/>
      <c r="G1" s="847"/>
      <c r="H1" s="847"/>
      <c r="I1" s="847"/>
      <c r="J1" s="847"/>
      <c r="K1" s="197"/>
      <c r="L1" s="197"/>
      <c r="M1" s="197"/>
      <c r="N1" s="197"/>
      <c r="O1" s="197"/>
    </row>
    <row r="2" spans="1:20" s="20" customFormat="1" ht="25" customHeight="1">
      <c r="E2" s="848" t="s">
        <v>109</v>
      </c>
      <c r="F2" s="848"/>
      <c r="G2" s="828">
        <f>①基本情報!D6</f>
        <v>0</v>
      </c>
      <c r="H2" s="828"/>
      <c r="I2" s="828"/>
      <c r="J2" s="828"/>
      <c r="L2" s="20" t="s">
        <v>136</v>
      </c>
    </row>
    <row r="4" spans="1:20" ht="15" customHeight="1">
      <c r="A4" s="56" t="s">
        <v>267</v>
      </c>
      <c r="B4" t="s">
        <v>983</v>
      </c>
    </row>
    <row r="5" spans="1:20" ht="32.25" customHeight="1">
      <c r="B5" s="200" t="s">
        <v>806</v>
      </c>
      <c r="C5" s="200" t="s">
        <v>829</v>
      </c>
      <c r="D5" s="198" t="s">
        <v>254</v>
      </c>
      <c r="E5" s="198" t="s">
        <v>255</v>
      </c>
      <c r="F5" s="198" t="s">
        <v>256</v>
      </c>
      <c r="G5" s="198" t="s">
        <v>257</v>
      </c>
      <c r="H5" s="198" t="s">
        <v>258</v>
      </c>
      <c r="I5" s="198" t="s">
        <v>259</v>
      </c>
      <c r="J5" s="198" t="s">
        <v>260</v>
      </c>
      <c r="L5" s="57" t="s">
        <v>261</v>
      </c>
      <c r="M5" s="849" t="s">
        <v>204</v>
      </c>
      <c r="N5" s="850"/>
      <c r="O5" s="849" t="s">
        <v>205</v>
      </c>
      <c r="P5" s="850"/>
      <c r="Q5" s="849" t="s">
        <v>262</v>
      </c>
      <c r="R5" s="850"/>
      <c r="S5" s="849" t="s">
        <v>263</v>
      </c>
      <c r="T5" s="850"/>
    </row>
    <row r="6" spans="1:20" ht="15" customHeight="1">
      <c r="A6" s="843">
        <v>4</v>
      </c>
      <c r="B6" s="851" t="e">
        <f>IF(判定!Y9="OK",1,"-")</f>
        <v>#DIV/0!</v>
      </c>
      <c r="C6" s="845" t="str">
        <f>IFERROR(INDEX($H$38:$I$43,MATCH(判定!AG9,$H$38:$H$43,0),2),"-")</f>
        <v>-</v>
      </c>
      <c r="D6" s="138"/>
      <c r="E6" s="60" t="str">
        <f>IF(D6="","",IF(N6="○",M$5,IF(P6="○",O$5,IF(R6="○",Q$5,IF(T6="○",S$5,"ERROR")))))</f>
        <v/>
      </c>
      <c r="F6" s="59" t="str">
        <f>IF(D6="","",IF(N6="○",M6,IF(P6="○",O6,IF(R6="○",Q6,IF(T6="○",S6,"ERROR")))))</f>
        <v/>
      </c>
      <c r="G6" s="139" t="str">
        <f>IF($C6="","",IF(D6="","",IF($E6="正規職員","-","賃金単価を記載")))</f>
        <v/>
      </c>
      <c r="H6" s="59" t="str">
        <f>IF($C6="","",IF(D6="","",IF($E6="正規職員","-",F6*G6)))</f>
        <v/>
      </c>
      <c r="I6" s="59">
        <f>⑥基本加算２!I6</f>
        <v>327916.66666666698</v>
      </c>
      <c r="J6" s="59">
        <f>IFERROR(IF($B6="-","",IF(D6="",0,IF(E6="正規職員",I6,MIN(H6:I6)))),0)</f>
        <v>0</v>
      </c>
      <c r="K6" s="61" t="str">
        <f>IF(D6="","",IF(COUNTIFS(D6,"*Ｃ6*")=1,"○","エラー"))</f>
        <v/>
      </c>
      <c r="L6" s="62">
        <v>3</v>
      </c>
      <c r="M6" s="62" t="e">
        <f>VLOOKUP($D6&amp;M$5,'②-2勤務時間数入力'!$D$7:$Q$106,$L6,FALSE)</f>
        <v>#N/A</v>
      </c>
      <c r="N6" s="62" t="str">
        <f>IF(ISERROR(M6),"×",IF(M6="-","×","○"))</f>
        <v>×</v>
      </c>
      <c r="O6" s="62" t="e">
        <f>VLOOKUP($D6&amp;O$5,'②-2勤務時間数入力'!$D$7:$Q$106,$L6,FALSE)</f>
        <v>#N/A</v>
      </c>
      <c r="P6" s="62" t="str">
        <f t="shared" ref="P6:P29" si="0">IF(ISERROR(O6),"×",IF(O6="-","×","○"))</f>
        <v>×</v>
      </c>
      <c r="Q6" s="62" t="e">
        <f>VLOOKUP($D6&amp;Q$5,'②-2勤務時間数入力'!$D$7:$Q$106,$L6,FALSE)</f>
        <v>#N/A</v>
      </c>
      <c r="R6" s="62" t="str">
        <f t="shared" ref="R6:R29" si="1">IF(ISERROR(Q6),"×",IF(Q6="-","×","○"))</f>
        <v>×</v>
      </c>
      <c r="S6" s="62" t="e">
        <f>VLOOKUP($D6&amp;S$5,'②-2勤務時間数入力'!$D$7:$Q$106,$L6,FALSE)</f>
        <v>#N/A</v>
      </c>
      <c r="T6" s="62" t="str">
        <f t="shared" ref="T6:T29" si="2">IF(ISERROR(S6),"×",IF(S6="-","×","○"))</f>
        <v>×</v>
      </c>
    </row>
    <row r="7" spans="1:20" ht="15" customHeight="1">
      <c r="A7" s="844"/>
      <c r="B7" s="852"/>
      <c r="C7" s="846"/>
      <c r="D7" s="138"/>
      <c r="E7" s="60" t="str">
        <f>IF(D7="","",IF(N7="○",M$5,IF(P7="○",O$5,IF(R7="○",Q$5,IF(T7="○",S$5,"ERROR")))))</f>
        <v/>
      </c>
      <c r="F7" s="59" t="str">
        <f t="shared" ref="F7:F29" si="3">IF(D7="","",IF(N7="○",M7,IF(P7="○",O7,IF(R7="○",Q7,IF(T7="○",S7,"ERROR")))))</f>
        <v/>
      </c>
      <c r="G7" s="139" t="str">
        <f>IF($C6="","",IF(D7="","",IF($E7="正規職員","-","賃金単価を記載")))</f>
        <v/>
      </c>
      <c r="H7" s="59" t="str">
        <f>IF($C6="","",IF(D7="","",IF($E7="正規職員","-",F7*G7)))</f>
        <v/>
      </c>
      <c r="I7" s="59">
        <f>$I$6</f>
        <v>327916.66666666698</v>
      </c>
      <c r="J7" s="59">
        <f>IFERROR(IF($B6="-","",IF(D7="","",IF(E7="正規職員",I7-J6,MIN(MIN(H7:I7),I6-J6)))),0)</f>
        <v>0</v>
      </c>
      <c r="K7" s="61" t="str">
        <f>IF(D7="","",IF(COUNTIFS(D7,"*保育士*")=1,"○","エラー"))</f>
        <v/>
      </c>
      <c r="L7" s="62">
        <f>L6</f>
        <v>3</v>
      </c>
      <c r="M7" s="62" t="e">
        <f>VLOOKUP($D7&amp;M$5,'②-2勤務時間数入力'!$D$7:$Q$106,$L7,FALSE)</f>
        <v>#N/A</v>
      </c>
      <c r="N7" s="62" t="str">
        <f t="shared" ref="N7:N29" si="4">IF(ISERROR(M7),"×",IF(M7="-","×","○"))</f>
        <v>×</v>
      </c>
      <c r="O7" s="62" t="e">
        <f>VLOOKUP($D7&amp;O$5,'②-2勤務時間数入力'!$D$7:$Q$106,$L7,FALSE)</f>
        <v>#N/A</v>
      </c>
      <c r="P7" s="62" t="str">
        <f t="shared" si="0"/>
        <v>×</v>
      </c>
      <c r="Q7" s="62" t="e">
        <f>VLOOKUP($D7&amp;Q$5,'②-2勤務時間数入力'!$D$7:$Q$106,$L7,FALSE)</f>
        <v>#N/A</v>
      </c>
      <c r="R7" s="62" t="str">
        <f t="shared" si="1"/>
        <v>×</v>
      </c>
      <c r="S7" s="62" t="e">
        <f>VLOOKUP($D7&amp;S$5,'②-2勤務時間数入力'!$D$7:$Q$106,$L7,FALSE)</f>
        <v>#N/A</v>
      </c>
      <c r="T7" s="62" t="str">
        <f t="shared" si="2"/>
        <v>×</v>
      </c>
    </row>
    <row r="8" spans="1:20" ht="15" hidden="1" customHeight="1">
      <c r="A8" s="843">
        <v>5</v>
      </c>
      <c r="B8" s="845" t="e">
        <f>IF(判定!Y10="OK",1,"-")</f>
        <v>#DIV/0!</v>
      </c>
      <c r="C8" s="845" t="str">
        <f>IFERROR(INDEX($H$38:$I$43,MATCH(判定!AG10,$H$38:$H$43,0),2),"-")</f>
        <v>-</v>
      </c>
      <c r="D8" s="138" t="str">
        <f>IF(D6="","",D6)</f>
        <v/>
      </c>
      <c r="E8" s="60" t="str">
        <f t="shared" ref="E8:E29" si="5">IF(D8="","",IF(N8="○",M$5,IF(P8="○",O$5,IF(R8="○",Q$5,IF(T8="○",S$5,"ERROR")))))</f>
        <v/>
      </c>
      <c r="F8" s="59" t="str">
        <f t="shared" si="3"/>
        <v/>
      </c>
      <c r="G8" s="139" t="str">
        <f>IF($C8="","",IF($E8="正規職員","-",IF(AND(EXACT(C6,C8),EXACT(D6,D8),EXACT(E6,E8)),G6,"賃金単価を記載")))</f>
        <v/>
      </c>
      <c r="H8" s="59" t="e">
        <f>IF($C8="","",IF($E8="正規職員","-",F8*G8))</f>
        <v>#VALUE!</v>
      </c>
      <c r="I8" s="59">
        <f t="shared" ref="I8:I29" si="6">$I$6</f>
        <v>327916.66666666698</v>
      </c>
      <c r="J8" s="59">
        <f>IFERROR(IF($B8="-","",IF(D8="",0,IF(E8="正規職員",I8,MIN(H8:I8)))),0)</f>
        <v>0</v>
      </c>
      <c r="K8" s="61" t="str">
        <f t="shared" ref="K8:K29" si="7">IF(D8="","",IF(COUNTIFS(D8,"*Ｃ6*")=1,"○","エラー"))</f>
        <v/>
      </c>
      <c r="L8" s="62">
        <f>L6+1</f>
        <v>4</v>
      </c>
      <c r="M8" s="62" t="e">
        <f>VLOOKUP($D8&amp;M$5,'②-2勤務時間数入力'!$D$7:$Q$106,$L8,FALSE)</f>
        <v>#N/A</v>
      </c>
      <c r="N8" s="62" t="str">
        <f t="shared" si="4"/>
        <v>×</v>
      </c>
      <c r="O8" s="62" t="e">
        <f>VLOOKUP($D8&amp;O$5,'②-2勤務時間数入力'!$D$7:$Q$106,$L8,FALSE)</f>
        <v>#N/A</v>
      </c>
      <c r="P8" s="62" t="str">
        <f t="shared" si="0"/>
        <v>×</v>
      </c>
      <c r="Q8" s="62" t="e">
        <f>VLOOKUP($D8&amp;Q$5,'②-2勤務時間数入力'!$D$7:$Q$106,$L8,FALSE)</f>
        <v>#N/A</v>
      </c>
      <c r="R8" s="62" t="str">
        <f t="shared" si="1"/>
        <v>×</v>
      </c>
      <c r="S8" s="62" t="e">
        <f>VLOOKUP($D8&amp;S$5,'②-2勤務時間数入力'!$D$7:$Q$106,$L8,FALSE)</f>
        <v>#N/A</v>
      </c>
      <c r="T8" s="62" t="str">
        <f t="shared" si="2"/>
        <v>×</v>
      </c>
    </row>
    <row r="9" spans="1:20" ht="15" hidden="1" customHeight="1">
      <c r="A9" s="844"/>
      <c r="B9" s="846"/>
      <c r="C9" s="846"/>
      <c r="D9" s="138" t="str">
        <f>IF(D7="","",D7)</f>
        <v/>
      </c>
      <c r="E9" s="60" t="str">
        <f t="shared" si="5"/>
        <v/>
      </c>
      <c r="F9" s="59" t="str">
        <f t="shared" si="3"/>
        <v/>
      </c>
      <c r="G9" s="139" t="str">
        <f>IF($C8="","",IF(D9="","",IF($E9="正規職員","-",IF(AND(EXACT(C6,C8),EXACT(D7,D9),EXACT(E7,E9)),G7,"賃金単価を記載"))))</f>
        <v/>
      </c>
      <c r="H9" s="59" t="str">
        <f>IF($C8="","",IF(D9="","",IF($E9="正規職員","-",F9*G9)))</f>
        <v/>
      </c>
      <c r="I9" s="59">
        <f t="shared" si="6"/>
        <v>327916.66666666698</v>
      </c>
      <c r="J9" s="59">
        <f>IFERROR(IF($B8="-","",IF(D9="","",IF(E9="正規職員",I9-J8,MIN(MIN(H9:I9),I8-J8)))),0)</f>
        <v>0</v>
      </c>
      <c r="K9" s="61" t="str">
        <f t="shared" si="7"/>
        <v/>
      </c>
      <c r="L9" s="62">
        <f>L8</f>
        <v>4</v>
      </c>
      <c r="M9" s="62" t="e">
        <f>VLOOKUP($D9&amp;M$5,'②-2勤務時間数入力'!$D$7:$Q$106,$L9,FALSE)</f>
        <v>#N/A</v>
      </c>
      <c r="N9" s="62" t="str">
        <f t="shared" si="4"/>
        <v>×</v>
      </c>
      <c r="O9" s="62" t="e">
        <f>VLOOKUP($D9&amp;O$5,'②-2勤務時間数入力'!$D$7:$Q$106,$L9,FALSE)</f>
        <v>#N/A</v>
      </c>
      <c r="P9" s="62" t="str">
        <f t="shared" si="0"/>
        <v>×</v>
      </c>
      <c r="Q9" s="62" t="e">
        <f>VLOOKUP($D9&amp;Q$5,'②-2勤務時間数入力'!$D$7:$Q$106,$L9,FALSE)</f>
        <v>#N/A</v>
      </c>
      <c r="R9" s="62" t="str">
        <f t="shared" si="1"/>
        <v>×</v>
      </c>
      <c r="S9" s="62" t="e">
        <f>VLOOKUP($D9&amp;S$5,'②-2勤務時間数入力'!$D$7:$Q$106,$L9,FALSE)</f>
        <v>#N/A</v>
      </c>
      <c r="T9" s="62" t="str">
        <f t="shared" si="2"/>
        <v>×</v>
      </c>
    </row>
    <row r="10" spans="1:20" ht="15" hidden="1" customHeight="1">
      <c r="A10" s="843">
        <v>6</v>
      </c>
      <c r="B10" s="845" t="e">
        <f>IF(判定!Y11="OK",1,"-")</f>
        <v>#DIV/0!</v>
      </c>
      <c r="C10" s="845" t="str">
        <f>IFERROR(INDEX($H$38:$I$43,MATCH(判定!AG11,$H$38:$H$43,0),2),"-")</f>
        <v>-</v>
      </c>
      <c r="D10" s="138" t="str">
        <f t="shared" ref="D10:D28" si="8">IF(D8="","",D8)</f>
        <v/>
      </c>
      <c r="E10" s="60" t="str">
        <f t="shared" si="5"/>
        <v/>
      </c>
      <c r="F10" s="59" t="str">
        <f t="shared" si="3"/>
        <v/>
      </c>
      <c r="G10" s="139" t="str">
        <f>IF($C10="","",IF($E10="正規職員","-",IF(AND(EXACT(C8,C10),EXACT(D8,D10),EXACT(E8,E10)),G8,"賃金単価を記載")))</f>
        <v/>
      </c>
      <c r="H10" s="59" t="e">
        <f>IF($C10="","",IF($E10="正規職員","-",F10*G10))</f>
        <v>#VALUE!</v>
      </c>
      <c r="I10" s="59">
        <f t="shared" si="6"/>
        <v>327916.66666666698</v>
      </c>
      <c r="J10" s="59">
        <f>IFERROR(IF($B10="-","",IF(D10="",0,IF(E10="正規職員",I10,MIN(H10:I10)))),0)</f>
        <v>0</v>
      </c>
      <c r="K10" s="61" t="str">
        <f t="shared" si="7"/>
        <v/>
      </c>
      <c r="L10" s="62">
        <f t="shared" ref="L10" si="9">L8+1</f>
        <v>5</v>
      </c>
      <c r="M10" s="62" t="e">
        <f>VLOOKUP($D10&amp;M$5,'②-2勤務時間数入力'!$D$7:$Q$106,$L10,FALSE)</f>
        <v>#N/A</v>
      </c>
      <c r="N10" s="62" t="str">
        <f t="shared" si="4"/>
        <v>×</v>
      </c>
      <c r="O10" s="62" t="e">
        <f>VLOOKUP($D10&amp;O$5,'②-2勤務時間数入力'!$D$7:$Q$106,$L10,FALSE)</f>
        <v>#N/A</v>
      </c>
      <c r="P10" s="62" t="str">
        <f t="shared" si="0"/>
        <v>×</v>
      </c>
      <c r="Q10" s="62" t="e">
        <f>VLOOKUP($D10&amp;Q$5,'②-2勤務時間数入力'!$D$7:$Q$106,$L10,FALSE)</f>
        <v>#N/A</v>
      </c>
      <c r="R10" s="62" t="str">
        <f t="shared" si="1"/>
        <v>×</v>
      </c>
      <c r="S10" s="62" t="e">
        <f>VLOOKUP($D10&amp;S$5,'②-2勤務時間数入力'!$D$7:$Q$106,$L10,FALSE)</f>
        <v>#N/A</v>
      </c>
      <c r="T10" s="62" t="str">
        <f t="shared" si="2"/>
        <v>×</v>
      </c>
    </row>
    <row r="11" spans="1:20" ht="15" hidden="1" customHeight="1">
      <c r="A11" s="844"/>
      <c r="B11" s="846"/>
      <c r="C11" s="846"/>
      <c r="D11" s="138" t="str">
        <f t="shared" si="8"/>
        <v/>
      </c>
      <c r="E11" s="60" t="str">
        <f t="shared" si="5"/>
        <v/>
      </c>
      <c r="F11" s="59" t="str">
        <f t="shared" si="3"/>
        <v/>
      </c>
      <c r="G11" s="139" t="str">
        <f>IF($C10="","",IF(D11="","",IF($E11="正規職員","-",IF(AND(EXACT(C8,C10),EXACT(D9,D11),EXACT(E9,E11)),G9,"賃金単価を記載"))))</f>
        <v/>
      </c>
      <c r="H11" s="59" t="str">
        <f>IF($C10="","",IF(D11="","",IF($E11="正規職員","-",F11*G11)))</f>
        <v/>
      </c>
      <c r="I11" s="59">
        <f t="shared" si="6"/>
        <v>327916.66666666698</v>
      </c>
      <c r="J11" s="59">
        <f>IFERROR(IF($B10="-","",IF(D11="","",IF(E11="正規職員",I11-J10,MIN(MIN(H11:I11),I10-J10)))),0)</f>
        <v>0</v>
      </c>
      <c r="K11" s="61" t="str">
        <f t="shared" si="7"/>
        <v/>
      </c>
      <c r="L11" s="62">
        <f t="shared" ref="L11" si="10">L10</f>
        <v>5</v>
      </c>
      <c r="M11" s="62" t="e">
        <f>VLOOKUP($D11&amp;M$5,'②-2勤務時間数入力'!$D$7:$Q$106,$L11,FALSE)</f>
        <v>#N/A</v>
      </c>
      <c r="N11" s="62" t="str">
        <f t="shared" si="4"/>
        <v>×</v>
      </c>
      <c r="O11" s="62" t="e">
        <f>VLOOKUP($D11&amp;O$5,'②-2勤務時間数入力'!$D$7:$Q$106,$L11,FALSE)</f>
        <v>#N/A</v>
      </c>
      <c r="P11" s="62" t="str">
        <f t="shared" si="0"/>
        <v>×</v>
      </c>
      <c r="Q11" s="62" t="e">
        <f>VLOOKUP($D11&amp;Q$5,'②-2勤務時間数入力'!$D$7:$Q$106,$L11,FALSE)</f>
        <v>#N/A</v>
      </c>
      <c r="R11" s="62" t="str">
        <f t="shared" si="1"/>
        <v>×</v>
      </c>
      <c r="S11" s="62" t="e">
        <f>VLOOKUP($D11&amp;S$5,'②-2勤務時間数入力'!$D$7:$Q$106,$L11,FALSE)</f>
        <v>#N/A</v>
      </c>
      <c r="T11" s="62" t="str">
        <f t="shared" si="2"/>
        <v>×</v>
      </c>
    </row>
    <row r="12" spans="1:20" ht="15" hidden="1" customHeight="1">
      <c r="A12" s="843">
        <v>7</v>
      </c>
      <c r="B12" s="845" t="e">
        <f>IF(判定!Y12="OK",1,"-")</f>
        <v>#DIV/0!</v>
      </c>
      <c r="C12" s="845" t="str">
        <f>IFERROR(INDEX($H$38:$I$43,MATCH(判定!AG12,$H$38:$H$43,0),2),"-")</f>
        <v>-</v>
      </c>
      <c r="D12" s="138" t="str">
        <f t="shared" si="8"/>
        <v/>
      </c>
      <c r="E12" s="60" t="str">
        <f t="shared" si="5"/>
        <v/>
      </c>
      <c r="F12" s="59" t="str">
        <f t="shared" si="3"/>
        <v/>
      </c>
      <c r="G12" s="139" t="str">
        <f>IF($C12="","",IF($E12="正規職員","-",IF(AND(EXACT(C10,C12),EXACT(D10,D12),EXACT(E10,E12)),G10,"賃金単価を記載")))</f>
        <v/>
      </c>
      <c r="H12" s="59" t="e">
        <f>IF($C12="","",IF($E12="正規職員","-",F12*G12))</f>
        <v>#VALUE!</v>
      </c>
      <c r="I12" s="59">
        <f t="shared" si="6"/>
        <v>327916.66666666698</v>
      </c>
      <c r="J12" s="59">
        <f>IFERROR(IF($B12="-","",IF(D12="",0,IF(E12="正規職員",I12,MIN(H12:I12)))),0)</f>
        <v>0</v>
      </c>
      <c r="K12" s="61" t="str">
        <f t="shared" si="7"/>
        <v/>
      </c>
      <c r="L12" s="62">
        <f t="shared" ref="L12" si="11">L10+1</f>
        <v>6</v>
      </c>
      <c r="M12" s="62" t="e">
        <f>VLOOKUP($D12&amp;M$5,'②-2勤務時間数入力'!$D$7:$Q$106,$L12,FALSE)</f>
        <v>#N/A</v>
      </c>
      <c r="N12" s="62" t="str">
        <f t="shared" si="4"/>
        <v>×</v>
      </c>
      <c r="O12" s="62" t="e">
        <f>VLOOKUP($D12&amp;O$5,'②-2勤務時間数入力'!$D$7:$Q$106,$L12,FALSE)</f>
        <v>#N/A</v>
      </c>
      <c r="P12" s="62" t="str">
        <f t="shared" si="0"/>
        <v>×</v>
      </c>
      <c r="Q12" s="62" t="e">
        <f>VLOOKUP($D12&amp;Q$5,'②-2勤務時間数入力'!$D$7:$Q$106,$L12,FALSE)</f>
        <v>#N/A</v>
      </c>
      <c r="R12" s="62" t="str">
        <f t="shared" si="1"/>
        <v>×</v>
      </c>
      <c r="S12" s="62" t="e">
        <f>VLOOKUP($D12&amp;S$5,'②-2勤務時間数入力'!$D$7:$Q$106,$L12,FALSE)</f>
        <v>#N/A</v>
      </c>
      <c r="T12" s="62" t="str">
        <f t="shared" si="2"/>
        <v>×</v>
      </c>
    </row>
    <row r="13" spans="1:20" ht="15" hidden="1" customHeight="1">
      <c r="A13" s="844"/>
      <c r="B13" s="846"/>
      <c r="C13" s="846"/>
      <c r="D13" s="138" t="str">
        <f t="shared" si="8"/>
        <v/>
      </c>
      <c r="E13" s="60" t="str">
        <f t="shared" si="5"/>
        <v/>
      </c>
      <c r="F13" s="59" t="str">
        <f t="shared" si="3"/>
        <v/>
      </c>
      <c r="G13" s="139" t="str">
        <f>IF($C12="","",IF(D13="","",IF($E13="正規職員","-",IF(AND(EXACT(C10,C12),EXACT(D11,D13),EXACT(E11,E13)),G11,"賃金単価を記載"))))</f>
        <v/>
      </c>
      <c r="H13" s="59" t="str">
        <f>IF($C12="","",IF(D13="","",IF($E13="正規職員","-",F13*G13)))</f>
        <v/>
      </c>
      <c r="I13" s="59">
        <f t="shared" si="6"/>
        <v>327916.66666666698</v>
      </c>
      <c r="J13" s="59">
        <f>IFERROR(IF($B12="-","",IF(D13="","",IF(E13="正規職員",I13-J12,MIN(MIN(H13:I13),I12-J12)))),0)</f>
        <v>0</v>
      </c>
      <c r="K13" s="61" t="str">
        <f t="shared" si="7"/>
        <v/>
      </c>
      <c r="L13" s="62">
        <f t="shared" ref="L13" si="12">L12</f>
        <v>6</v>
      </c>
      <c r="M13" s="62" t="e">
        <f>VLOOKUP($D13&amp;M$5,'②-2勤務時間数入力'!$D$7:$Q$106,$L13,FALSE)</f>
        <v>#N/A</v>
      </c>
      <c r="N13" s="62" t="str">
        <f t="shared" si="4"/>
        <v>×</v>
      </c>
      <c r="O13" s="62" t="e">
        <f>VLOOKUP($D13&amp;O$5,'②-2勤務時間数入力'!$D$7:$Q$106,$L13,FALSE)</f>
        <v>#N/A</v>
      </c>
      <c r="P13" s="62" t="str">
        <f t="shared" si="0"/>
        <v>×</v>
      </c>
      <c r="Q13" s="62" t="e">
        <f>VLOOKUP($D13&amp;Q$5,'②-2勤務時間数入力'!$D$7:$Q$106,$L13,FALSE)</f>
        <v>#N/A</v>
      </c>
      <c r="R13" s="62" t="str">
        <f t="shared" si="1"/>
        <v>×</v>
      </c>
      <c r="S13" s="62" t="e">
        <f>VLOOKUP($D13&amp;S$5,'②-2勤務時間数入力'!$D$7:$Q$106,$L13,FALSE)</f>
        <v>#N/A</v>
      </c>
      <c r="T13" s="62" t="str">
        <f t="shared" si="2"/>
        <v>×</v>
      </c>
    </row>
    <row r="14" spans="1:20" ht="15" hidden="1" customHeight="1">
      <c r="A14" s="843">
        <v>8</v>
      </c>
      <c r="B14" s="845" t="e">
        <f>IF(判定!Y13="OK",1,"-")</f>
        <v>#DIV/0!</v>
      </c>
      <c r="C14" s="845" t="str">
        <f>IFERROR(INDEX($H$38:$I$43,MATCH(判定!AG13,$H$38:$H$43,0),2),"-")</f>
        <v>-</v>
      </c>
      <c r="D14" s="138" t="str">
        <f t="shared" si="8"/>
        <v/>
      </c>
      <c r="E14" s="60" t="str">
        <f t="shared" si="5"/>
        <v/>
      </c>
      <c r="F14" s="59" t="str">
        <f t="shared" si="3"/>
        <v/>
      </c>
      <c r="G14" s="139" t="str">
        <f>IF($C14="","",IF($E14="正規職員","-",IF(AND(EXACT(C12,C14),EXACT(D12,D14),EXACT(E12,E14)),G12,"賃金単価を記載")))</f>
        <v/>
      </c>
      <c r="H14" s="59" t="e">
        <f>IF($C14="","",IF($E14="正規職員","-",F14*G14))</f>
        <v>#VALUE!</v>
      </c>
      <c r="I14" s="59">
        <f t="shared" si="6"/>
        <v>327916.66666666698</v>
      </c>
      <c r="J14" s="59">
        <f>IFERROR(IF($B14="-","",IF(D14="",0,IF(E14="正規職員",I14,MIN(H14:I14)))),0)</f>
        <v>0</v>
      </c>
      <c r="K14" s="61" t="str">
        <f t="shared" si="7"/>
        <v/>
      </c>
      <c r="L14" s="62">
        <f t="shared" ref="L14" si="13">L12+1</f>
        <v>7</v>
      </c>
      <c r="M14" s="62" t="e">
        <f>VLOOKUP($D14&amp;M$5,'②-2勤務時間数入力'!$D$7:$Q$106,$L14,FALSE)</f>
        <v>#N/A</v>
      </c>
      <c r="N14" s="62" t="str">
        <f t="shared" si="4"/>
        <v>×</v>
      </c>
      <c r="O14" s="62" t="e">
        <f>VLOOKUP($D14&amp;O$5,'②-2勤務時間数入力'!$D$7:$Q$106,$L14,FALSE)</f>
        <v>#N/A</v>
      </c>
      <c r="P14" s="62" t="str">
        <f t="shared" si="0"/>
        <v>×</v>
      </c>
      <c r="Q14" s="62" t="e">
        <f>VLOOKUP($D14&amp;Q$5,'②-2勤務時間数入力'!$D$7:$Q$106,$L14,FALSE)</f>
        <v>#N/A</v>
      </c>
      <c r="R14" s="62" t="str">
        <f t="shared" si="1"/>
        <v>×</v>
      </c>
      <c r="S14" s="62" t="e">
        <f>VLOOKUP($D14&amp;S$5,'②-2勤務時間数入力'!$D$7:$Q$106,$L14,FALSE)</f>
        <v>#N/A</v>
      </c>
      <c r="T14" s="62" t="str">
        <f t="shared" si="2"/>
        <v>×</v>
      </c>
    </row>
    <row r="15" spans="1:20" ht="15" hidden="1" customHeight="1">
      <c r="A15" s="844"/>
      <c r="B15" s="846"/>
      <c r="C15" s="846"/>
      <c r="D15" s="138" t="str">
        <f t="shared" si="8"/>
        <v/>
      </c>
      <c r="E15" s="60" t="str">
        <f t="shared" si="5"/>
        <v/>
      </c>
      <c r="F15" s="59" t="str">
        <f t="shared" si="3"/>
        <v/>
      </c>
      <c r="G15" s="139" t="str">
        <f>IF($C14="","",IF(D15="","",IF($E15="正規職員","-",IF(AND(EXACT(C12,C14),EXACT(D13,D15),EXACT(E13,E15)),G13,"賃金単価を記載"))))</f>
        <v/>
      </c>
      <c r="H15" s="59" t="str">
        <f>IF($C14="","",IF(D15="","",IF($E15="正規職員","-",F15*G15)))</f>
        <v/>
      </c>
      <c r="I15" s="59">
        <f t="shared" si="6"/>
        <v>327916.66666666698</v>
      </c>
      <c r="J15" s="59">
        <f>IFERROR(IF($B14="-","",IF(D15="","",IF(E15="正規職員",I15-J14,MIN(MIN(H15:I15),I14-J14)))),0)</f>
        <v>0</v>
      </c>
      <c r="K15" s="61" t="str">
        <f t="shared" si="7"/>
        <v/>
      </c>
      <c r="L15" s="62">
        <f t="shared" ref="L15" si="14">L14</f>
        <v>7</v>
      </c>
      <c r="M15" s="62" t="e">
        <f>VLOOKUP($D15&amp;M$5,'②-2勤務時間数入力'!$D$7:$Q$106,$L15,FALSE)</f>
        <v>#N/A</v>
      </c>
      <c r="N15" s="62" t="str">
        <f t="shared" si="4"/>
        <v>×</v>
      </c>
      <c r="O15" s="62" t="e">
        <f>VLOOKUP($D15&amp;O$5,'②-2勤務時間数入力'!$D$7:$Q$106,$L15,FALSE)</f>
        <v>#N/A</v>
      </c>
      <c r="P15" s="62" t="str">
        <f t="shared" si="0"/>
        <v>×</v>
      </c>
      <c r="Q15" s="62" t="e">
        <f>VLOOKUP($D15&amp;Q$5,'②-2勤務時間数入力'!$D$7:$Q$106,$L15,FALSE)</f>
        <v>#N/A</v>
      </c>
      <c r="R15" s="62" t="str">
        <f t="shared" si="1"/>
        <v>×</v>
      </c>
      <c r="S15" s="62" t="e">
        <f>VLOOKUP($D15&amp;S$5,'②-2勤務時間数入力'!$D$7:$Q$106,$L15,FALSE)</f>
        <v>#N/A</v>
      </c>
      <c r="T15" s="62" t="str">
        <f t="shared" si="2"/>
        <v>×</v>
      </c>
    </row>
    <row r="16" spans="1:20" ht="15" hidden="1" customHeight="1">
      <c r="A16" s="843">
        <v>9</v>
      </c>
      <c r="B16" s="845" t="e">
        <f>IF(判定!Y14="OK",1,"-")</f>
        <v>#DIV/0!</v>
      </c>
      <c r="C16" s="845" t="str">
        <f>IFERROR(INDEX($H$38:$I$43,MATCH(判定!AG14,$H$38:$H$43,0),2),"-")</f>
        <v>-</v>
      </c>
      <c r="D16" s="138" t="str">
        <f t="shared" si="8"/>
        <v/>
      </c>
      <c r="E16" s="60" t="str">
        <f t="shared" si="5"/>
        <v/>
      </c>
      <c r="F16" s="59" t="str">
        <f t="shared" si="3"/>
        <v/>
      </c>
      <c r="G16" s="139" t="str">
        <f>IF($C16="","",IF($E16="正規職員","-",IF(AND(EXACT(C14,C16),EXACT(D14,D16),EXACT(E14,E16)),G14,"賃金単価を記載")))</f>
        <v/>
      </c>
      <c r="H16" s="59" t="e">
        <f>IF($C16="","",IF($E16="正規職員","-",F16*G16))</f>
        <v>#VALUE!</v>
      </c>
      <c r="I16" s="59">
        <f t="shared" si="6"/>
        <v>327916.66666666698</v>
      </c>
      <c r="J16" s="59">
        <f>IFERROR(IF($B16="-","",IF(D16="",0,IF(E16="正規職員",I16,MIN(H16:I16)))),0)</f>
        <v>0</v>
      </c>
      <c r="K16" s="61" t="str">
        <f t="shared" si="7"/>
        <v/>
      </c>
      <c r="L16" s="62">
        <f t="shared" ref="L16" si="15">L14+1</f>
        <v>8</v>
      </c>
      <c r="M16" s="62" t="e">
        <f>VLOOKUP($D16&amp;M$5,'②-2勤務時間数入力'!$D$7:$Q$106,$L16,FALSE)</f>
        <v>#N/A</v>
      </c>
      <c r="N16" s="62" t="str">
        <f t="shared" si="4"/>
        <v>×</v>
      </c>
      <c r="O16" s="62" t="e">
        <f>VLOOKUP($D16&amp;O$5,'②-2勤務時間数入力'!$D$7:$Q$106,$L16,FALSE)</f>
        <v>#N/A</v>
      </c>
      <c r="P16" s="62" t="str">
        <f t="shared" si="0"/>
        <v>×</v>
      </c>
      <c r="Q16" s="62" t="e">
        <f>VLOOKUP($D16&amp;Q$5,'②-2勤務時間数入力'!$D$7:$Q$106,$L16,FALSE)</f>
        <v>#N/A</v>
      </c>
      <c r="R16" s="62" t="str">
        <f t="shared" si="1"/>
        <v>×</v>
      </c>
      <c r="S16" s="62" t="e">
        <f>VLOOKUP($D16&amp;S$5,'②-2勤務時間数入力'!$D$7:$Q$106,$L16,FALSE)</f>
        <v>#N/A</v>
      </c>
      <c r="T16" s="62" t="str">
        <f t="shared" si="2"/>
        <v>×</v>
      </c>
    </row>
    <row r="17" spans="1:20" ht="15" hidden="1" customHeight="1">
      <c r="A17" s="844"/>
      <c r="B17" s="846"/>
      <c r="C17" s="846"/>
      <c r="D17" s="138" t="str">
        <f t="shared" si="8"/>
        <v/>
      </c>
      <c r="E17" s="60" t="str">
        <f t="shared" si="5"/>
        <v/>
      </c>
      <c r="F17" s="59" t="str">
        <f t="shared" si="3"/>
        <v/>
      </c>
      <c r="G17" s="139" t="str">
        <f>IF($C16="","",IF(D17="","",IF($E17="正規職員","-",IF(AND(EXACT(C14,C16),EXACT(D15,D17),EXACT(E15,E17)),G15,"賃金単価を記載"))))</f>
        <v/>
      </c>
      <c r="H17" s="59" t="str">
        <f>IF($C16="","",IF(D17="","",IF($E17="正規職員","-",F17*G17)))</f>
        <v/>
      </c>
      <c r="I17" s="59">
        <f t="shared" si="6"/>
        <v>327916.66666666698</v>
      </c>
      <c r="J17" s="59">
        <f>IFERROR(IF($B16="-","",IF(D17="","",IF(E17="正規職員",I17-J16,MIN(MIN(H17:I17),I16-J16)))),0)</f>
        <v>0</v>
      </c>
      <c r="K17" s="61" t="str">
        <f t="shared" si="7"/>
        <v/>
      </c>
      <c r="L17" s="62">
        <f t="shared" ref="L17" si="16">L16</f>
        <v>8</v>
      </c>
      <c r="M17" s="62" t="e">
        <f>VLOOKUP($D17&amp;M$5,'②-2勤務時間数入力'!$D$7:$Q$106,$L17,FALSE)</f>
        <v>#N/A</v>
      </c>
      <c r="N17" s="62" t="str">
        <f t="shared" si="4"/>
        <v>×</v>
      </c>
      <c r="O17" s="62" t="e">
        <f>VLOOKUP($D17&amp;O$5,'②-2勤務時間数入力'!$D$7:$Q$106,$L17,FALSE)</f>
        <v>#N/A</v>
      </c>
      <c r="P17" s="62" t="str">
        <f t="shared" si="0"/>
        <v>×</v>
      </c>
      <c r="Q17" s="62" t="e">
        <f>VLOOKUP($D17&amp;Q$5,'②-2勤務時間数入力'!$D$7:$Q$106,$L17,FALSE)</f>
        <v>#N/A</v>
      </c>
      <c r="R17" s="62" t="str">
        <f t="shared" si="1"/>
        <v>×</v>
      </c>
      <c r="S17" s="62" t="e">
        <f>VLOOKUP($D17&amp;S$5,'②-2勤務時間数入力'!$D$7:$Q$106,$L17,FALSE)</f>
        <v>#N/A</v>
      </c>
      <c r="T17" s="62" t="str">
        <f t="shared" si="2"/>
        <v>×</v>
      </c>
    </row>
    <row r="18" spans="1:20" ht="15" hidden="1" customHeight="1">
      <c r="A18" s="843">
        <v>10</v>
      </c>
      <c r="B18" s="845" t="e">
        <f>IF(判定!Y15="OK",1,"-")</f>
        <v>#DIV/0!</v>
      </c>
      <c r="C18" s="845" t="str">
        <f>IFERROR(INDEX($H$38:$I$43,MATCH(判定!AG15,$H$38:$H$43,0),2),"-")</f>
        <v>-</v>
      </c>
      <c r="D18" s="138" t="str">
        <f t="shared" si="8"/>
        <v/>
      </c>
      <c r="E18" s="60" t="str">
        <f t="shared" si="5"/>
        <v/>
      </c>
      <c r="F18" s="59" t="str">
        <f t="shared" si="3"/>
        <v/>
      </c>
      <c r="G18" s="139" t="str">
        <f>IF($C18="","",IF($E18="正規職員","-",IF(AND(EXACT(C16,C18),EXACT(D16,D18),EXACT(E16,E18)),G16,"賃金単価を記載")))</f>
        <v/>
      </c>
      <c r="H18" s="59" t="e">
        <f>IF($C18="","",IF($E18="正規職員","-",F18*G18))</f>
        <v>#VALUE!</v>
      </c>
      <c r="I18" s="59">
        <f t="shared" si="6"/>
        <v>327916.66666666698</v>
      </c>
      <c r="J18" s="59">
        <f>IFERROR(IF($B18="-","",IF(D18="",0,IF(E18="正規職員",I18,MIN(H18:I18)))),0)</f>
        <v>0</v>
      </c>
      <c r="K18" s="61" t="str">
        <f t="shared" si="7"/>
        <v/>
      </c>
      <c r="L18" s="62">
        <f t="shared" ref="L18" si="17">L16+1</f>
        <v>9</v>
      </c>
      <c r="M18" s="62" t="e">
        <f>VLOOKUP($D18&amp;M$5,'②-2勤務時間数入力'!$D$7:$Q$106,$L18,FALSE)</f>
        <v>#N/A</v>
      </c>
      <c r="N18" s="62" t="str">
        <f t="shared" si="4"/>
        <v>×</v>
      </c>
      <c r="O18" s="62" t="e">
        <f>VLOOKUP($D18&amp;O$5,'②-2勤務時間数入力'!$D$7:$Q$106,$L18,FALSE)</f>
        <v>#N/A</v>
      </c>
      <c r="P18" s="62" t="str">
        <f t="shared" si="0"/>
        <v>×</v>
      </c>
      <c r="Q18" s="62" t="e">
        <f>VLOOKUP($D18&amp;Q$5,'②-2勤務時間数入力'!$D$7:$Q$106,$L18,FALSE)</f>
        <v>#N/A</v>
      </c>
      <c r="R18" s="62" t="str">
        <f t="shared" si="1"/>
        <v>×</v>
      </c>
      <c r="S18" s="62" t="e">
        <f>VLOOKUP($D18&amp;S$5,'②-2勤務時間数入力'!$D$7:$Q$106,$L18,FALSE)</f>
        <v>#N/A</v>
      </c>
      <c r="T18" s="62" t="str">
        <f t="shared" si="2"/>
        <v>×</v>
      </c>
    </row>
    <row r="19" spans="1:20" ht="15" hidden="1" customHeight="1">
      <c r="A19" s="844"/>
      <c r="B19" s="846"/>
      <c r="C19" s="846"/>
      <c r="D19" s="138" t="str">
        <f t="shared" si="8"/>
        <v/>
      </c>
      <c r="E19" s="60" t="str">
        <f t="shared" si="5"/>
        <v/>
      </c>
      <c r="F19" s="59" t="str">
        <f t="shared" si="3"/>
        <v/>
      </c>
      <c r="G19" s="139" t="str">
        <f>IF($C18="","",IF(D19="","",IF($E19="正規職員","-",IF(AND(EXACT(C16,C18),EXACT(D17,D19),EXACT(E17,E19)),G17,"賃金単価を記載"))))</f>
        <v/>
      </c>
      <c r="H19" s="59" t="str">
        <f>IF($C18="","",IF(D19="","",IF($E19="正規職員","-",F19*G19)))</f>
        <v/>
      </c>
      <c r="I19" s="59">
        <f t="shared" si="6"/>
        <v>327916.66666666698</v>
      </c>
      <c r="J19" s="59">
        <f>IFERROR(IF($B18="-","",IF(D19="","",IF(E19="正規職員",I19-J18,MIN(MIN(H19:I19),I18-J18)))),0)</f>
        <v>0</v>
      </c>
      <c r="K19" s="61" t="str">
        <f t="shared" si="7"/>
        <v/>
      </c>
      <c r="L19" s="62">
        <f t="shared" ref="L19" si="18">L18</f>
        <v>9</v>
      </c>
      <c r="M19" s="62" t="e">
        <f>VLOOKUP($D19&amp;M$5,'②-2勤務時間数入力'!$D$7:$Q$106,$L19,FALSE)</f>
        <v>#N/A</v>
      </c>
      <c r="N19" s="62" t="str">
        <f t="shared" si="4"/>
        <v>×</v>
      </c>
      <c r="O19" s="62" t="e">
        <f>VLOOKUP($D19&amp;O$5,'②-2勤務時間数入力'!$D$7:$Q$106,$L19,FALSE)</f>
        <v>#N/A</v>
      </c>
      <c r="P19" s="62" t="str">
        <f t="shared" si="0"/>
        <v>×</v>
      </c>
      <c r="Q19" s="62" t="e">
        <f>VLOOKUP($D19&amp;Q$5,'②-2勤務時間数入力'!$D$7:$Q$106,$L19,FALSE)</f>
        <v>#N/A</v>
      </c>
      <c r="R19" s="62" t="str">
        <f t="shared" si="1"/>
        <v>×</v>
      </c>
      <c r="S19" s="62" t="e">
        <f>VLOOKUP($D19&amp;S$5,'②-2勤務時間数入力'!$D$7:$Q$106,$L19,FALSE)</f>
        <v>#N/A</v>
      </c>
      <c r="T19" s="62" t="str">
        <f t="shared" si="2"/>
        <v>×</v>
      </c>
    </row>
    <row r="20" spans="1:20" ht="15" hidden="1" customHeight="1">
      <c r="A20" s="843">
        <v>11</v>
      </c>
      <c r="B20" s="845" t="e">
        <f>IF(判定!Y16="OK",1,"-")</f>
        <v>#DIV/0!</v>
      </c>
      <c r="C20" s="845" t="str">
        <f>IFERROR(INDEX($H$38:$I$43,MATCH(判定!AG16,$H$38:$H$43,0),2),"-")</f>
        <v>-</v>
      </c>
      <c r="D20" s="138" t="str">
        <f t="shared" si="8"/>
        <v/>
      </c>
      <c r="E20" s="60" t="str">
        <f t="shared" si="5"/>
        <v/>
      </c>
      <c r="F20" s="59" t="str">
        <f t="shared" si="3"/>
        <v/>
      </c>
      <c r="G20" s="139" t="str">
        <f>IF($C20="","",IF($E20="正規職員","-",IF(AND(EXACT(C18,C20),EXACT(D18,D20),EXACT(E18,E20)),G18,"賃金単価を記載")))</f>
        <v/>
      </c>
      <c r="H20" s="59" t="e">
        <f>IF($C20="","",IF($E20="正規職員","-",F20*G20))</f>
        <v>#VALUE!</v>
      </c>
      <c r="I20" s="59">
        <f t="shared" si="6"/>
        <v>327916.66666666698</v>
      </c>
      <c r="J20" s="59">
        <f>IFERROR(IF($B20="-","",IF(D20="",0,IF(E20="正規職員",I20,MIN(H20:I20)))),0)</f>
        <v>0</v>
      </c>
      <c r="K20" s="61" t="str">
        <f t="shared" si="7"/>
        <v/>
      </c>
      <c r="L20" s="62">
        <f t="shared" ref="L20" si="19">L18+1</f>
        <v>10</v>
      </c>
      <c r="M20" s="62" t="e">
        <f>VLOOKUP($D20&amp;M$5,'②-2勤務時間数入力'!$D$7:$Q$106,$L20,FALSE)</f>
        <v>#N/A</v>
      </c>
      <c r="N20" s="62" t="str">
        <f t="shared" si="4"/>
        <v>×</v>
      </c>
      <c r="O20" s="62" t="e">
        <f>VLOOKUP($D20&amp;O$5,'②-2勤務時間数入力'!$D$7:$Q$106,$L20,FALSE)</f>
        <v>#N/A</v>
      </c>
      <c r="P20" s="62" t="str">
        <f t="shared" si="0"/>
        <v>×</v>
      </c>
      <c r="Q20" s="62" t="e">
        <f>VLOOKUP($D20&amp;Q$5,'②-2勤務時間数入力'!$D$7:$Q$106,$L20,FALSE)</f>
        <v>#N/A</v>
      </c>
      <c r="R20" s="62" t="str">
        <f t="shared" si="1"/>
        <v>×</v>
      </c>
      <c r="S20" s="62" t="e">
        <f>VLOOKUP($D20&amp;S$5,'②-2勤務時間数入力'!$D$7:$Q$106,$L20,FALSE)</f>
        <v>#N/A</v>
      </c>
      <c r="T20" s="62" t="str">
        <f t="shared" si="2"/>
        <v>×</v>
      </c>
    </row>
    <row r="21" spans="1:20" ht="15" hidden="1" customHeight="1">
      <c r="A21" s="844"/>
      <c r="B21" s="846"/>
      <c r="C21" s="846"/>
      <c r="D21" s="138" t="str">
        <f t="shared" si="8"/>
        <v/>
      </c>
      <c r="E21" s="60" t="str">
        <f t="shared" si="5"/>
        <v/>
      </c>
      <c r="F21" s="59" t="str">
        <f t="shared" si="3"/>
        <v/>
      </c>
      <c r="G21" s="139" t="str">
        <f>IF($C20="","",IF(D21="","",IF($E21="正規職員","-",IF(AND(EXACT(C18,C20),EXACT(D19,D21),EXACT(E19,E21)),G19,"賃金単価を記載"))))</f>
        <v/>
      </c>
      <c r="H21" s="59" t="str">
        <f>IF($C20="","",IF(D21="","",IF($E21="正規職員","-",F21*G21)))</f>
        <v/>
      </c>
      <c r="I21" s="59">
        <f t="shared" si="6"/>
        <v>327916.66666666698</v>
      </c>
      <c r="J21" s="59">
        <f>IFERROR(IF($B20="-","",IF(D21="","",IF(E21="正規職員",I21-J20,MIN(MIN(H21:I21),I20-J20)))),0)</f>
        <v>0</v>
      </c>
      <c r="K21" s="61" t="str">
        <f t="shared" si="7"/>
        <v/>
      </c>
      <c r="L21" s="62">
        <f t="shared" ref="L21" si="20">L20</f>
        <v>10</v>
      </c>
      <c r="M21" s="62" t="e">
        <f>VLOOKUP($D21&amp;M$5,'②-2勤務時間数入力'!$D$7:$Q$106,$L21,FALSE)</f>
        <v>#N/A</v>
      </c>
      <c r="N21" s="62" t="str">
        <f t="shared" si="4"/>
        <v>×</v>
      </c>
      <c r="O21" s="62" t="e">
        <f>VLOOKUP($D21&amp;O$5,'②-2勤務時間数入力'!$D$7:$Q$106,$L21,FALSE)</f>
        <v>#N/A</v>
      </c>
      <c r="P21" s="62" t="str">
        <f t="shared" si="0"/>
        <v>×</v>
      </c>
      <c r="Q21" s="62" t="e">
        <f>VLOOKUP($D21&amp;Q$5,'②-2勤務時間数入力'!$D$7:$Q$106,$L21,FALSE)</f>
        <v>#N/A</v>
      </c>
      <c r="R21" s="62" t="str">
        <f t="shared" si="1"/>
        <v>×</v>
      </c>
      <c r="S21" s="62" t="e">
        <f>VLOOKUP($D21&amp;S$5,'②-2勤務時間数入力'!$D$7:$Q$106,$L21,FALSE)</f>
        <v>#N/A</v>
      </c>
      <c r="T21" s="62" t="str">
        <f t="shared" si="2"/>
        <v>×</v>
      </c>
    </row>
    <row r="22" spans="1:20" ht="15" hidden="1" customHeight="1">
      <c r="A22" s="843">
        <v>12</v>
      </c>
      <c r="B22" s="845" t="e">
        <f>IF(判定!Y17="OK",1,"-")</f>
        <v>#DIV/0!</v>
      </c>
      <c r="C22" s="845" t="str">
        <f>IFERROR(INDEX($H$38:$I$43,MATCH(判定!AG17,$H$38:$H$43,0),2),"-")</f>
        <v>-</v>
      </c>
      <c r="D22" s="138" t="str">
        <f t="shared" si="8"/>
        <v/>
      </c>
      <c r="E22" s="60" t="str">
        <f t="shared" si="5"/>
        <v/>
      </c>
      <c r="F22" s="59" t="str">
        <f t="shared" si="3"/>
        <v/>
      </c>
      <c r="G22" s="139" t="str">
        <f>IF($C22="","",IF($E22="正規職員","-",IF(AND(EXACT(C20,C22),EXACT(D20,D22),EXACT(E20,E22)),G20,"賃金単価を記載")))</f>
        <v/>
      </c>
      <c r="H22" s="59" t="e">
        <f>IF($C22="","",IF($E22="正規職員","-",F22*G22))</f>
        <v>#VALUE!</v>
      </c>
      <c r="I22" s="59">
        <f t="shared" si="6"/>
        <v>327916.66666666698</v>
      </c>
      <c r="J22" s="59">
        <f>IFERROR(IF($B22="-","",IF(D22="",0,IF(E22="正規職員",I22,MIN(H22:I22)))),0)</f>
        <v>0</v>
      </c>
      <c r="K22" s="61" t="str">
        <f t="shared" si="7"/>
        <v/>
      </c>
      <c r="L22" s="62">
        <f t="shared" ref="L22" si="21">L20+1</f>
        <v>11</v>
      </c>
      <c r="M22" s="62" t="e">
        <f>VLOOKUP($D22&amp;M$5,'②-2勤務時間数入力'!$D$7:$Q$106,$L22,FALSE)</f>
        <v>#N/A</v>
      </c>
      <c r="N22" s="62" t="str">
        <f t="shared" si="4"/>
        <v>×</v>
      </c>
      <c r="O22" s="62" t="e">
        <f>VLOOKUP($D22&amp;O$5,'②-2勤務時間数入力'!$D$7:$Q$106,$L22,FALSE)</f>
        <v>#N/A</v>
      </c>
      <c r="P22" s="62" t="str">
        <f t="shared" si="0"/>
        <v>×</v>
      </c>
      <c r="Q22" s="62" t="e">
        <f>VLOOKUP($D22&amp;Q$5,'②-2勤務時間数入力'!$D$7:$Q$106,$L22,FALSE)</f>
        <v>#N/A</v>
      </c>
      <c r="R22" s="62" t="str">
        <f t="shared" si="1"/>
        <v>×</v>
      </c>
      <c r="S22" s="62" t="e">
        <f>VLOOKUP($D22&amp;S$5,'②-2勤務時間数入力'!$D$7:$Q$106,$L22,FALSE)</f>
        <v>#N/A</v>
      </c>
      <c r="T22" s="62" t="str">
        <f t="shared" si="2"/>
        <v>×</v>
      </c>
    </row>
    <row r="23" spans="1:20" ht="15" hidden="1" customHeight="1">
      <c r="A23" s="844"/>
      <c r="B23" s="846"/>
      <c r="C23" s="846"/>
      <c r="D23" s="138" t="str">
        <f t="shared" si="8"/>
        <v/>
      </c>
      <c r="E23" s="60" t="str">
        <f t="shared" si="5"/>
        <v/>
      </c>
      <c r="F23" s="59" t="str">
        <f t="shared" si="3"/>
        <v/>
      </c>
      <c r="G23" s="139" t="str">
        <f>IF($C22="","",IF(D23="","",IF($E23="正規職員","-",IF(AND(EXACT(C20,C22),EXACT(D21,D23),EXACT(E21,E23)),G21,"賃金単価を記載"))))</f>
        <v/>
      </c>
      <c r="H23" s="59" t="str">
        <f>IF($C22="","",IF(D23="","",IF($E23="正規職員","-",F23*G23)))</f>
        <v/>
      </c>
      <c r="I23" s="59">
        <f t="shared" si="6"/>
        <v>327916.66666666698</v>
      </c>
      <c r="J23" s="59">
        <f>IFERROR(IF($B22="-","",IF(D23="","",IF(E23="正規職員",I23-J22,MIN(MIN(H23:I23),I22-J22)))),0)</f>
        <v>0</v>
      </c>
      <c r="K23" s="61" t="str">
        <f t="shared" si="7"/>
        <v/>
      </c>
      <c r="L23" s="62">
        <f t="shared" ref="L23" si="22">L22</f>
        <v>11</v>
      </c>
      <c r="M23" s="62" t="e">
        <f>VLOOKUP($D23&amp;M$5,'②-2勤務時間数入力'!$D$7:$Q$106,$L23,FALSE)</f>
        <v>#N/A</v>
      </c>
      <c r="N23" s="62" t="str">
        <f t="shared" si="4"/>
        <v>×</v>
      </c>
      <c r="O23" s="62" t="e">
        <f>VLOOKUP($D23&amp;O$5,'②-2勤務時間数入力'!$D$7:$Q$106,$L23,FALSE)</f>
        <v>#N/A</v>
      </c>
      <c r="P23" s="62" t="str">
        <f t="shared" si="0"/>
        <v>×</v>
      </c>
      <c r="Q23" s="62" t="e">
        <f>VLOOKUP($D23&amp;Q$5,'②-2勤務時間数入力'!$D$7:$Q$106,$L23,FALSE)</f>
        <v>#N/A</v>
      </c>
      <c r="R23" s="62" t="str">
        <f t="shared" si="1"/>
        <v>×</v>
      </c>
      <c r="S23" s="62" t="e">
        <f>VLOOKUP($D23&amp;S$5,'②-2勤務時間数入力'!$D$7:$Q$106,$L23,FALSE)</f>
        <v>#N/A</v>
      </c>
      <c r="T23" s="62" t="str">
        <f t="shared" si="2"/>
        <v>×</v>
      </c>
    </row>
    <row r="24" spans="1:20" ht="15" hidden="1" customHeight="1">
      <c r="A24" s="843">
        <v>1</v>
      </c>
      <c r="B24" s="845" t="e">
        <f>IF(判定!Y18="OK",1,"-")</f>
        <v>#DIV/0!</v>
      </c>
      <c r="C24" s="845" t="str">
        <f>IFERROR(INDEX($H$38:$I$43,MATCH(判定!AG18,$H$38:$H$43,0),2),"-")</f>
        <v>-</v>
      </c>
      <c r="D24" s="138" t="str">
        <f t="shared" si="8"/>
        <v/>
      </c>
      <c r="E24" s="60" t="str">
        <f t="shared" si="5"/>
        <v/>
      </c>
      <c r="F24" s="59" t="str">
        <f t="shared" si="3"/>
        <v/>
      </c>
      <c r="G24" s="139" t="str">
        <f>IF($C24="","",IF($E24="正規職員","-",IF(AND(EXACT(C22,C24),EXACT(D22,D24),EXACT(E22,E24)),G22,"賃金単価を記載")))</f>
        <v/>
      </c>
      <c r="H24" s="59" t="e">
        <f>IF($C24="","",IF($E24="正規職員","-",F24*G24))</f>
        <v>#VALUE!</v>
      </c>
      <c r="I24" s="59">
        <f t="shared" si="6"/>
        <v>327916.66666666698</v>
      </c>
      <c r="J24" s="59">
        <f>IFERROR(IF($B24="-","",IF(D24="",0,IF(E24="正規職員",I24,MIN(H24:I24)))),0)</f>
        <v>0</v>
      </c>
      <c r="K24" s="61" t="str">
        <f t="shared" si="7"/>
        <v/>
      </c>
      <c r="L24" s="62">
        <f t="shared" ref="L24" si="23">L22+1</f>
        <v>12</v>
      </c>
      <c r="M24" s="62" t="e">
        <f>VLOOKUP($D24&amp;M$5,'②-2勤務時間数入力'!$D$7:$Q$106,$L24,FALSE)</f>
        <v>#N/A</v>
      </c>
      <c r="N24" s="62" t="str">
        <f t="shared" si="4"/>
        <v>×</v>
      </c>
      <c r="O24" s="62" t="e">
        <f>VLOOKUP($D24&amp;O$5,'②-2勤務時間数入力'!$D$7:$Q$106,$L24,FALSE)</f>
        <v>#N/A</v>
      </c>
      <c r="P24" s="62" t="str">
        <f t="shared" si="0"/>
        <v>×</v>
      </c>
      <c r="Q24" s="62" t="e">
        <f>VLOOKUP($D24&amp;Q$5,'②-2勤務時間数入力'!$D$7:$Q$106,$L24,FALSE)</f>
        <v>#N/A</v>
      </c>
      <c r="R24" s="62" t="str">
        <f t="shared" si="1"/>
        <v>×</v>
      </c>
      <c r="S24" s="62" t="e">
        <f>VLOOKUP($D24&amp;S$5,'②-2勤務時間数入力'!$D$7:$Q$106,$L24,FALSE)</f>
        <v>#N/A</v>
      </c>
      <c r="T24" s="62" t="str">
        <f t="shared" si="2"/>
        <v>×</v>
      </c>
    </row>
    <row r="25" spans="1:20" ht="15" hidden="1" customHeight="1">
      <c r="A25" s="844"/>
      <c r="B25" s="846"/>
      <c r="C25" s="846"/>
      <c r="D25" s="138" t="str">
        <f t="shared" si="8"/>
        <v/>
      </c>
      <c r="E25" s="60" t="str">
        <f t="shared" si="5"/>
        <v/>
      </c>
      <c r="F25" s="59" t="str">
        <f t="shared" si="3"/>
        <v/>
      </c>
      <c r="G25" s="139" t="str">
        <f>IF($C24="","",IF(D25="","",IF($E25="正規職員","-",IF(AND(EXACT(C22,C24),EXACT(D23,D25),EXACT(E23,E25)),G23,"賃金単価を記載"))))</f>
        <v/>
      </c>
      <c r="H25" s="59" t="str">
        <f>IF($C24="","",IF(D25="","",IF($E25="正規職員","-",F25*G25)))</f>
        <v/>
      </c>
      <c r="I25" s="59">
        <f t="shared" si="6"/>
        <v>327916.66666666698</v>
      </c>
      <c r="J25" s="59">
        <f>IFERROR(IF($B24="-","",IF(D25="","",IF(E25="正規職員",I25-J24,MIN(MIN(H25:I25),I24-J24)))),0)</f>
        <v>0</v>
      </c>
      <c r="K25" s="61" t="str">
        <f t="shared" si="7"/>
        <v/>
      </c>
      <c r="L25" s="62">
        <f t="shared" ref="L25" si="24">L24</f>
        <v>12</v>
      </c>
      <c r="M25" s="62" t="e">
        <f>VLOOKUP($D25&amp;M$5,'②-2勤務時間数入力'!$D$7:$Q$106,$L25,FALSE)</f>
        <v>#N/A</v>
      </c>
      <c r="N25" s="62" t="str">
        <f t="shared" si="4"/>
        <v>×</v>
      </c>
      <c r="O25" s="62" t="e">
        <f>VLOOKUP($D25&amp;O$5,'②-2勤務時間数入力'!$D$7:$Q$106,$L25,FALSE)</f>
        <v>#N/A</v>
      </c>
      <c r="P25" s="62" t="str">
        <f t="shared" si="0"/>
        <v>×</v>
      </c>
      <c r="Q25" s="62" t="e">
        <f>VLOOKUP($D25&amp;Q$5,'②-2勤務時間数入力'!$D$7:$Q$106,$L25,FALSE)</f>
        <v>#N/A</v>
      </c>
      <c r="R25" s="62" t="str">
        <f t="shared" si="1"/>
        <v>×</v>
      </c>
      <c r="S25" s="62" t="e">
        <f>VLOOKUP($D25&amp;S$5,'②-2勤務時間数入力'!$D$7:$Q$106,$L25,FALSE)</f>
        <v>#N/A</v>
      </c>
      <c r="T25" s="62" t="str">
        <f t="shared" si="2"/>
        <v>×</v>
      </c>
    </row>
    <row r="26" spans="1:20" ht="15" hidden="1" customHeight="1">
      <c r="A26" s="843">
        <v>2</v>
      </c>
      <c r="B26" s="845" t="e">
        <f>IF(判定!Y19="OK",1,"-")</f>
        <v>#DIV/0!</v>
      </c>
      <c r="C26" s="845" t="str">
        <f>IFERROR(INDEX($H$38:$I$43,MATCH(判定!AG19,$H$38:$H$43,0),2),"-")</f>
        <v>-</v>
      </c>
      <c r="D26" s="138" t="str">
        <f t="shared" si="8"/>
        <v/>
      </c>
      <c r="E26" s="60" t="str">
        <f t="shared" si="5"/>
        <v/>
      </c>
      <c r="F26" s="59" t="str">
        <f t="shared" si="3"/>
        <v/>
      </c>
      <c r="G26" s="139" t="str">
        <f>IF($C26="","",IF($E26="正規職員","-",IF(AND(EXACT(C24,C26),EXACT(D24,D26),EXACT(E24,E26)),G24,"賃金単価を記載")))</f>
        <v/>
      </c>
      <c r="H26" s="59" t="e">
        <f>IF($C26="","",IF($E26="正規職員","-",F26*G26))</f>
        <v>#VALUE!</v>
      </c>
      <c r="I26" s="59">
        <f t="shared" si="6"/>
        <v>327916.66666666698</v>
      </c>
      <c r="J26" s="59">
        <f>IFERROR(IF($B26="-","",IF(D26="",0,IF(E26="正規職員",I26,MIN(H26:I26)))),0)</f>
        <v>0</v>
      </c>
      <c r="K26" s="61" t="str">
        <f t="shared" si="7"/>
        <v/>
      </c>
      <c r="L26" s="62">
        <f t="shared" ref="L26" si="25">L24+1</f>
        <v>13</v>
      </c>
      <c r="M26" s="62" t="e">
        <f>VLOOKUP($D26&amp;M$5,'②-2勤務時間数入力'!$D$7:$Q$106,$L26,FALSE)</f>
        <v>#N/A</v>
      </c>
      <c r="N26" s="62" t="str">
        <f t="shared" si="4"/>
        <v>×</v>
      </c>
      <c r="O26" s="62" t="e">
        <f>VLOOKUP($D26&amp;O$5,'②-2勤務時間数入力'!$D$7:$Q$106,$L26,FALSE)</f>
        <v>#N/A</v>
      </c>
      <c r="P26" s="62" t="str">
        <f t="shared" si="0"/>
        <v>×</v>
      </c>
      <c r="Q26" s="62" t="e">
        <f>VLOOKUP($D26&amp;Q$5,'②-2勤務時間数入力'!$D$7:$Q$106,$L26,FALSE)</f>
        <v>#N/A</v>
      </c>
      <c r="R26" s="62" t="str">
        <f t="shared" si="1"/>
        <v>×</v>
      </c>
      <c r="S26" s="62" t="e">
        <f>VLOOKUP($D26&amp;S$5,'②-2勤務時間数入力'!$D$7:$Q$106,$L26,FALSE)</f>
        <v>#N/A</v>
      </c>
      <c r="T26" s="62" t="str">
        <f t="shared" si="2"/>
        <v>×</v>
      </c>
    </row>
    <row r="27" spans="1:20" ht="15" hidden="1" customHeight="1">
      <c r="A27" s="844"/>
      <c r="B27" s="846"/>
      <c r="C27" s="846"/>
      <c r="D27" s="138" t="str">
        <f t="shared" si="8"/>
        <v/>
      </c>
      <c r="E27" s="60" t="str">
        <f t="shared" si="5"/>
        <v/>
      </c>
      <c r="F27" s="59" t="str">
        <f t="shared" si="3"/>
        <v/>
      </c>
      <c r="G27" s="139" t="str">
        <f>IF($C26="","",IF(D27="","",IF($E27="正規職員","-",IF(AND(EXACT(C24,C26),EXACT(D25,D27),EXACT(E25,E27)),G25,"賃金単価を記載"))))</f>
        <v/>
      </c>
      <c r="H27" s="59" t="str">
        <f>IF($C26="","",IF(D27="","",IF($E27="正規職員","-",F27*G27)))</f>
        <v/>
      </c>
      <c r="I27" s="59">
        <f t="shared" si="6"/>
        <v>327916.66666666698</v>
      </c>
      <c r="J27" s="59">
        <f>IFERROR(IF($B26="-","",IF(D27="","",IF(E27="正規職員",I27-J26,MIN(MIN(H27:I27),I26-J26)))),0)</f>
        <v>0</v>
      </c>
      <c r="K27" s="61" t="str">
        <f t="shared" si="7"/>
        <v/>
      </c>
      <c r="L27" s="62">
        <f t="shared" ref="L27" si="26">L26</f>
        <v>13</v>
      </c>
      <c r="M27" s="62" t="e">
        <f>VLOOKUP($D27&amp;M$5,'②-2勤務時間数入力'!$D$7:$Q$106,$L27,FALSE)</f>
        <v>#N/A</v>
      </c>
      <c r="N27" s="62" t="str">
        <f t="shared" si="4"/>
        <v>×</v>
      </c>
      <c r="O27" s="62" t="e">
        <f>VLOOKUP($D27&amp;O$5,'②-2勤務時間数入力'!$D$7:$Q$106,$L27,FALSE)</f>
        <v>#N/A</v>
      </c>
      <c r="P27" s="62" t="str">
        <f t="shared" si="0"/>
        <v>×</v>
      </c>
      <c r="Q27" s="62" t="e">
        <f>VLOOKUP($D27&amp;Q$5,'②-2勤務時間数入力'!$D$7:$Q$106,$L27,FALSE)</f>
        <v>#N/A</v>
      </c>
      <c r="R27" s="62" t="str">
        <f t="shared" si="1"/>
        <v>×</v>
      </c>
      <c r="S27" s="62" t="e">
        <f>VLOOKUP($D27&amp;S$5,'②-2勤務時間数入力'!$D$7:$Q$106,$L27,FALSE)</f>
        <v>#N/A</v>
      </c>
      <c r="T27" s="62" t="str">
        <f t="shared" si="2"/>
        <v>×</v>
      </c>
    </row>
    <row r="28" spans="1:20" ht="15" hidden="1" customHeight="1">
      <c r="A28" s="843">
        <v>3</v>
      </c>
      <c r="B28" s="845" t="e">
        <f>IF(判定!Y20="OK",1,"-")</f>
        <v>#DIV/0!</v>
      </c>
      <c r="C28" s="845" t="str">
        <f>IFERROR(INDEX($H$38:$I$43,MATCH(判定!AG20,$H$38:$H$43,0),2),"-")</f>
        <v>-</v>
      </c>
      <c r="D28" s="138" t="str">
        <f t="shared" si="8"/>
        <v/>
      </c>
      <c r="E28" s="60" t="str">
        <f t="shared" si="5"/>
        <v/>
      </c>
      <c r="F28" s="59" t="str">
        <f t="shared" si="3"/>
        <v/>
      </c>
      <c r="G28" s="139" t="str">
        <f>IF($C28="","",IF($E28="正規職員","-",IF(AND(EXACT(C26,C28),EXACT(D26,D28),EXACT(E26,E28)),G26,"賃金単価を記載")))</f>
        <v/>
      </c>
      <c r="H28" s="59" t="e">
        <f>IF($C28="","",IF($E28="正規職員","-",F28*G28))</f>
        <v>#VALUE!</v>
      </c>
      <c r="I28" s="59">
        <f t="shared" si="6"/>
        <v>327916.66666666698</v>
      </c>
      <c r="J28" s="59">
        <f>IFERROR(IF($B28="-","",IF(D28="",0,IF(E28="正規職員",I28,MIN(H28:I28)))),0)</f>
        <v>0</v>
      </c>
      <c r="K28" s="61" t="str">
        <f t="shared" si="7"/>
        <v/>
      </c>
      <c r="L28" s="62">
        <f t="shared" ref="L28" si="27">L26+1</f>
        <v>14</v>
      </c>
      <c r="M28" s="62" t="e">
        <f>VLOOKUP($D28&amp;M$5,'②-2勤務時間数入力'!$D$7:$Q$106,$L28,FALSE)</f>
        <v>#N/A</v>
      </c>
      <c r="N28" s="62" t="str">
        <f t="shared" si="4"/>
        <v>×</v>
      </c>
      <c r="O28" s="62" t="e">
        <f>VLOOKUP($D28&amp;O$5,'②-2勤務時間数入力'!$D$7:$Q$106,$L28,FALSE)</f>
        <v>#N/A</v>
      </c>
      <c r="P28" s="62" t="str">
        <f t="shared" si="0"/>
        <v>×</v>
      </c>
      <c r="Q28" s="62" t="e">
        <f>VLOOKUP($D28&amp;Q$5,'②-2勤務時間数入力'!$D$7:$Q$106,$L28,FALSE)</f>
        <v>#N/A</v>
      </c>
      <c r="R28" s="62" t="str">
        <f t="shared" si="1"/>
        <v>×</v>
      </c>
      <c r="S28" s="62" t="e">
        <f>VLOOKUP($D28&amp;S$5,'②-2勤務時間数入力'!$D$7:$Q$106,$L28,FALSE)</f>
        <v>#N/A</v>
      </c>
      <c r="T28" s="62" t="str">
        <f t="shared" si="2"/>
        <v>×</v>
      </c>
    </row>
    <row r="29" spans="1:20" ht="15" hidden="1" customHeight="1">
      <c r="A29" s="844"/>
      <c r="B29" s="846"/>
      <c r="C29" s="846"/>
      <c r="D29" s="138" t="str">
        <f>IF(D27="","",D27)</f>
        <v/>
      </c>
      <c r="E29" s="60" t="str">
        <f t="shared" si="5"/>
        <v/>
      </c>
      <c r="F29" s="59" t="str">
        <f t="shared" si="3"/>
        <v/>
      </c>
      <c r="G29" s="139" t="str">
        <f>IF($C28="","",IF(D29="","",IF($E29="正規職員","-",IF(AND(EXACT(C26,C28),EXACT(D27,D29),EXACT(E27,E29)),G27,"賃金単価を記載"))))</f>
        <v/>
      </c>
      <c r="H29" s="59" t="str">
        <f>IF($C28="","",IF(D29="","",IF($E29="正規職員","-",F29*G29)))</f>
        <v/>
      </c>
      <c r="I29" s="59">
        <f t="shared" si="6"/>
        <v>327916.66666666698</v>
      </c>
      <c r="J29" s="59">
        <f>IFERROR(IF($B28="-","",IF(D29="","",IF(E29="正規職員",I29-J28,MIN(MIN(H29:I29),I28-J28)))),0)</f>
        <v>0</v>
      </c>
      <c r="K29" s="61" t="str">
        <f t="shared" si="7"/>
        <v/>
      </c>
      <c r="L29" s="62">
        <f t="shared" ref="L29" si="28">L28</f>
        <v>14</v>
      </c>
      <c r="M29" s="62" t="e">
        <f>VLOOKUP($D29&amp;M$5,'②-2勤務時間数入力'!$D$7:$Q$106,$L29,FALSE)</f>
        <v>#N/A</v>
      </c>
      <c r="N29" s="62" t="str">
        <f t="shared" si="4"/>
        <v>×</v>
      </c>
      <c r="O29" s="62" t="e">
        <f>VLOOKUP($D29&amp;O$5,'②-2勤務時間数入力'!$D$7:$Q$106,$L29,FALSE)</f>
        <v>#N/A</v>
      </c>
      <c r="P29" s="62" t="str">
        <f t="shared" si="0"/>
        <v>×</v>
      </c>
      <c r="Q29" s="62" t="e">
        <f>VLOOKUP($D29&amp;Q$5,'②-2勤務時間数入力'!$D$7:$Q$106,$L29,FALSE)</f>
        <v>#N/A</v>
      </c>
      <c r="R29" s="62" t="str">
        <f t="shared" si="1"/>
        <v>×</v>
      </c>
      <c r="S29" s="62" t="e">
        <f>VLOOKUP($D29&amp;S$5,'②-2勤務時間数入力'!$D$7:$Q$106,$L29,FALSE)</f>
        <v>#N/A</v>
      </c>
      <c r="T29" s="62" t="str">
        <f t="shared" si="2"/>
        <v>×</v>
      </c>
    </row>
    <row r="30" spans="1:20" ht="15" hidden="1" customHeight="1">
      <c r="A30" s="58" t="s">
        <v>264</v>
      </c>
      <c r="B30" s="59"/>
      <c r="C30" s="59"/>
      <c r="D30" s="1"/>
      <c r="E30" s="59"/>
      <c r="F30" s="59"/>
      <c r="G30" s="59"/>
      <c r="H30" s="59"/>
      <c r="I30" s="59"/>
      <c r="J30" s="63">
        <f>ROUNDDOWN(SUM(J6,J8,J10,J12,J14,J16,J18,J20,J22,J24,J26,J28),-3)+ROUNDDOWN(SUM(J7,J9,J11,J13,J15,J17,J19,J21,J23,J25,J27,J29),-3)</f>
        <v>0</v>
      </c>
    </row>
    <row r="31" spans="1:20" ht="15" customHeight="1">
      <c r="B31" s="61"/>
      <c r="C31" s="61"/>
      <c r="D31" s="61"/>
      <c r="E31" s="61"/>
      <c r="F31" s="61"/>
      <c r="G31" s="61"/>
      <c r="H31" s="61"/>
      <c r="I31" s="61"/>
      <c r="J31" s="61"/>
    </row>
    <row r="33" spans="2:9">
      <c r="B33" s="82"/>
      <c r="D33" s="82"/>
      <c r="E33" s="82"/>
      <c r="F33" s="82"/>
      <c r="G33" s="82"/>
    </row>
    <row r="37" spans="2:9" hidden="1">
      <c r="I37" t="s">
        <v>799</v>
      </c>
    </row>
    <row r="38" spans="2:9" hidden="1">
      <c r="H38" t="s">
        <v>795</v>
      </c>
      <c r="I38" t="str">
        <f>'②-1職員名簿'!C144</f>
        <v>保育教諭等</v>
      </c>
    </row>
    <row r="39" spans="2:9" hidden="1">
      <c r="H39" t="s">
        <v>796</v>
      </c>
      <c r="I39" t="str">
        <f>'②-1職員名簿'!C145</f>
        <v>要件緩和</v>
      </c>
    </row>
    <row r="40" spans="2:9" hidden="1">
      <c r="H40" t="s">
        <v>797</v>
      </c>
      <c r="I40" t="str">
        <f>'②-1職員名簿'!C146</f>
        <v>看護師等</v>
      </c>
    </row>
    <row r="41" spans="2:9" hidden="1">
      <c r="H41" t="s">
        <v>798</v>
      </c>
      <c r="I41" t="str">
        <f>'②-1職員名簿'!C147</f>
        <v>栄養士</v>
      </c>
    </row>
    <row r="42" spans="2:9" hidden="1">
      <c r="H42" t="s">
        <v>802</v>
      </c>
      <c r="I42" t="str">
        <f>'②-1職員名簿'!C148</f>
        <v>調理師等</v>
      </c>
    </row>
    <row r="43" spans="2:9" hidden="1">
      <c r="H43" t="s">
        <v>803</v>
      </c>
      <c r="I43" t="str">
        <f>'②-1職員名簿'!C149</f>
        <v>教育・保育支援者</v>
      </c>
    </row>
  </sheetData>
  <sheetProtection algorithmName="SHA-512" hashValue="o8N45TxuTOl3qJBm5lfG8apRhOuNEdvbQhcrQvtppYINZjsnUpPNDgpJe/l1c5jKpUom6ONySkWIoZcKJIbIgA==" saltValue="b+wQs6P7E6guC4MSdf/p6Q==" spinCount="100000" sheet="1" selectLockedCells="1"/>
  <mergeCells count="43">
    <mergeCell ref="A1:J1"/>
    <mergeCell ref="E2:F2"/>
    <mergeCell ref="G2:J2"/>
    <mergeCell ref="M5:N5"/>
    <mergeCell ref="O5:P5"/>
    <mergeCell ref="S5:T5"/>
    <mergeCell ref="A6:A7"/>
    <mergeCell ref="B6:B7"/>
    <mergeCell ref="C6:C7"/>
    <mergeCell ref="A8:A9"/>
    <mergeCell ref="B8:B9"/>
    <mergeCell ref="C8:C9"/>
    <mergeCell ref="Q5:R5"/>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s>
  <phoneticPr fontId="1"/>
  <conditionalFormatting sqref="D6:D29">
    <cfRule type="containsBlanks" dxfId="64" priority="1">
      <formula>LEN(TRIM(D6))=0</formula>
    </cfRule>
  </conditionalFormatting>
  <conditionalFormatting sqref="G6:G29">
    <cfRule type="containsText" dxfId="63"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9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3A7BA5AA-36E5-4FAF-AA4C-7E08424AC248}">
          <x14:formula1>
            <xm:f>'②-1職員名簿'!Y$7:Y$107</xm:f>
          </x14:formula1>
          <xm:sqref>D6:D29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8824-B2E2-45DF-A935-44FBC0BC0250}">
  <sheetPr>
    <tabColor rgb="FF00B050"/>
  </sheetPr>
  <dimension ref="A1:X92"/>
  <sheetViews>
    <sheetView view="pageBreakPreview" zoomScale="85" zoomScaleNormal="115" zoomScaleSheetLayoutView="85" workbookViewId="0">
      <selection activeCell="E6" sqref="E6"/>
    </sheetView>
  </sheetViews>
  <sheetFormatPr defaultRowHeight="18"/>
  <cols>
    <col min="1" max="1" width="5.58203125" customWidth="1"/>
    <col min="2" max="2" width="7.5" customWidth="1"/>
    <col min="3" max="3" width="4.75" customWidth="1"/>
    <col min="4" max="4" width="8.08203125" customWidth="1"/>
    <col min="5" max="5" width="27.5" customWidth="1"/>
    <col min="6" max="6" width="23.25" hidden="1" customWidth="1"/>
    <col min="7" max="7" width="10" customWidth="1"/>
    <col min="8" max="8" width="10.58203125" customWidth="1"/>
    <col min="9" max="13" width="11.25" customWidth="1"/>
    <col min="14" max="14" width="12.83203125" bestFit="1" customWidth="1"/>
    <col min="15" max="15" width="0" hidden="1" customWidth="1"/>
  </cols>
  <sheetData>
    <row r="1" spans="1:24" s="20" customFormat="1" ht="19">
      <c r="A1" s="847" t="s">
        <v>270</v>
      </c>
      <c r="B1" s="847"/>
      <c r="C1" s="847"/>
      <c r="D1" s="847"/>
      <c r="E1" s="847"/>
      <c r="F1" s="847"/>
      <c r="G1" s="847"/>
      <c r="H1" s="847"/>
      <c r="I1" s="847"/>
      <c r="J1" s="847"/>
      <c r="K1" s="847"/>
      <c r="L1" s="847"/>
      <c r="M1" s="847"/>
      <c r="N1" s="847"/>
      <c r="O1" s="197"/>
      <c r="P1" s="197"/>
      <c r="Q1" s="197"/>
      <c r="R1" s="197"/>
      <c r="S1" s="197"/>
    </row>
    <row r="2" spans="1:24" s="20" customFormat="1" ht="19">
      <c r="G2" s="867" t="s">
        <v>109</v>
      </c>
      <c r="H2" s="867"/>
      <c r="I2" s="868">
        <f>①基本情報!D6</f>
        <v>0</v>
      </c>
      <c r="J2" s="868"/>
      <c r="K2" s="868"/>
      <c r="L2" s="868"/>
      <c r="M2" s="868"/>
      <c r="N2" s="868"/>
      <c r="P2" s="20" t="s">
        <v>136</v>
      </c>
    </row>
    <row r="3" spans="1:24" s="20" customFormat="1" ht="50.25" customHeight="1">
      <c r="G3" s="65"/>
      <c r="H3" s="65"/>
      <c r="I3" s="66"/>
      <c r="J3" s="66"/>
      <c r="K3" s="66"/>
      <c r="L3" s="66"/>
      <c r="M3" s="66"/>
      <c r="N3" s="66"/>
    </row>
    <row r="4" spans="1:24">
      <c r="A4" s="56" t="s">
        <v>269</v>
      </c>
      <c r="B4" t="s">
        <v>987</v>
      </c>
    </row>
    <row r="5" spans="1:24" ht="36">
      <c r="B5" s="183" t="s">
        <v>670</v>
      </c>
      <c r="C5" s="249" t="s">
        <v>878</v>
      </c>
      <c r="D5" s="200" t="s">
        <v>829</v>
      </c>
      <c r="E5" s="198" t="s">
        <v>254</v>
      </c>
      <c r="F5" s="200" t="s">
        <v>1057</v>
      </c>
      <c r="G5" s="179" t="s">
        <v>255</v>
      </c>
      <c r="H5" s="179" t="s">
        <v>256</v>
      </c>
      <c r="I5" s="198" t="s">
        <v>257</v>
      </c>
      <c r="J5" s="198" t="s">
        <v>287</v>
      </c>
      <c r="K5" s="198" t="s">
        <v>288</v>
      </c>
      <c r="L5" s="198" t="s">
        <v>258</v>
      </c>
      <c r="M5" s="198" t="s">
        <v>259</v>
      </c>
      <c r="N5" s="198" t="s">
        <v>260</v>
      </c>
      <c r="P5" s="57" t="s">
        <v>261</v>
      </c>
      <c r="Q5" s="849" t="s">
        <v>204</v>
      </c>
      <c r="R5" s="850"/>
      <c r="S5" s="849" t="s">
        <v>205</v>
      </c>
      <c r="T5" s="850"/>
      <c r="U5" s="849" t="s">
        <v>262</v>
      </c>
      <c r="V5" s="850"/>
      <c r="W5" s="849" t="s">
        <v>263</v>
      </c>
      <c r="X5" s="850"/>
    </row>
    <row r="6" spans="1:24" ht="13.5" customHeight="1">
      <c r="A6" s="843">
        <v>4</v>
      </c>
      <c r="B6" s="862" t="str">
        <f>IF(①基本情報!F40="有",①基本情報!F41,"無")</f>
        <v>無</v>
      </c>
      <c r="C6" s="863" t="e">
        <f>IF(判定!AU9="NG","-",1)</f>
        <v>#DIV/0!</v>
      </c>
      <c r="D6" s="845" t="str">
        <f>IFERROR(INDEX($L$83:$M$88,MATCH(判定!AU9,$L$83:$L$88,0),2),"-")</f>
        <v>-</v>
      </c>
      <c r="E6" s="138"/>
      <c r="F6" s="269"/>
      <c r="G6" s="180" t="str">
        <f t="shared" ref="G6:G10" si="0">IF(E6="","",IF(R6="○",Q$5,IF(T6="○",S$5,IF(V6="○",U$5,IF(X6="○",W$5,"ERROR")))))</f>
        <v/>
      </c>
      <c r="H6" s="181" t="str">
        <f t="shared" ref="H6:H10" si="1">IF(E6="","",IF(R6="○",Q6,IF(T6="○",S6,IF(V6="○",U6,IF(X6="○",W6,"ERROR")))))</f>
        <v/>
      </c>
      <c r="I6" s="139" t="str">
        <f t="shared" ref="I6:I10" si="2">IF($E6="","",IF($G6="正規職員","-","賃金単価を記載"))</f>
        <v/>
      </c>
      <c r="J6" s="139" t="str">
        <f>IF($E6="","",IF($G6="正規職員","-","勤務日数を記載（定期利用の場合、1と記載)"))</f>
        <v/>
      </c>
      <c r="K6" s="139" t="str">
        <f>IF($E6="","",IF($G6="正規職員","-","日額の交通費を記載（定期利用の場合は月額)"))</f>
        <v/>
      </c>
      <c r="L6" s="59" t="str">
        <f t="shared" ref="L6:L10" si="3">IF($E6="","",IF($G6="正規職員","-",(H6*I6+J6*K6)))</f>
        <v/>
      </c>
      <c r="M6" s="277">
        <v>221916.66666666701</v>
      </c>
      <c r="N6" s="59">
        <f>IFERROR(IF($C6="-","",IF(E6="",0,IF(G6="正規職員",M6,MIN(L6:M6)))),0)</f>
        <v>0</v>
      </c>
      <c r="O6" s="61" t="str">
        <f>IF(E6="","",IF(COUNTIFS(E6,"*給食室*")=1,"○","エラー"))</f>
        <v/>
      </c>
      <c r="P6" s="62">
        <v>3</v>
      </c>
      <c r="Q6" s="62" t="e">
        <f>VLOOKUP($E6&amp;Q$5,'②-2勤務時間数入力'!$D$7:$Q$106,$P6,FALSE)</f>
        <v>#N/A</v>
      </c>
      <c r="R6" s="62" t="str">
        <f>IF(ISERROR(Q6),"×",IF(Q6="-","×","○"))</f>
        <v>×</v>
      </c>
      <c r="S6" s="62" t="e">
        <f>VLOOKUP($E6&amp;S$5,'②-2勤務時間数入力'!$D$7:$Q$106,$P6,FALSE)</f>
        <v>#N/A</v>
      </c>
      <c r="T6" s="62" t="str">
        <f>IF(ISERROR(S6),"×",IF(S6="-","×","○"))</f>
        <v>×</v>
      </c>
      <c r="U6" s="62" t="e">
        <f>VLOOKUP($E6&amp;U$5,'②-2勤務時間数入力'!$D$7:$Q$106,$P6,FALSE)</f>
        <v>#N/A</v>
      </c>
      <c r="V6" s="62" t="str">
        <f>IF(ISERROR(U6),"×",IF(U6="-","×","○"))</f>
        <v>×</v>
      </c>
      <c r="W6" s="62" t="e">
        <f>VLOOKUP($E6&amp;W$5,'②-2勤務時間数入力'!$D$7:$Q$106,$P6,FALSE)</f>
        <v>#N/A</v>
      </c>
      <c r="X6" s="62" t="str">
        <f>IF(ISERROR(W6),"×",IF(W6="-","×","○"))</f>
        <v>×</v>
      </c>
    </row>
    <row r="7" spans="1:24" ht="13.5" customHeight="1">
      <c r="A7" s="854"/>
      <c r="B7" s="862"/>
      <c r="C7" s="864"/>
      <c r="D7" s="866"/>
      <c r="E7" s="138"/>
      <c r="F7" s="269"/>
      <c r="G7" s="180" t="str">
        <f t="shared" si="0"/>
        <v/>
      </c>
      <c r="H7" s="181" t="str">
        <f t="shared" si="1"/>
        <v/>
      </c>
      <c r="I7" s="139" t="str">
        <f t="shared" si="2"/>
        <v/>
      </c>
      <c r="J7" s="139" t="str">
        <f t="shared" ref="J7:J10" si="4">IF($E7="","",IF($G7="正規職員","-","勤務日数を記載（定期利用の場合、1と記載)"))</f>
        <v/>
      </c>
      <c r="K7" s="139" t="str">
        <f t="shared" ref="K7:K10" si="5">IF($E7="","",IF($G7="正規職員","-","日額の交通費を記載（定期利用の場合は月額)"))</f>
        <v/>
      </c>
      <c r="L7" s="59" t="str">
        <f t="shared" si="3"/>
        <v/>
      </c>
      <c r="M7" s="59">
        <f>$M$6</f>
        <v>221916.66666666701</v>
      </c>
      <c r="N7" s="59">
        <f>IFERROR(IF($C6="-","",IF(E7="","",IF(G7="正規職員",M7-M6,MIN(MIN(L7:M7),M6-N6)))),0)</f>
        <v>0</v>
      </c>
      <c r="O7" s="61" t="str">
        <f t="shared" ref="O7:O10" si="6">IF(E7="","",IF(COUNTIFS(E7,"*給食室*")=1,"○","エラー"))</f>
        <v/>
      </c>
      <c r="P7" s="62">
        <f>P6</f>
        <v>3</v>
      </c>
      <c r="Q7" s="62" t="e">
        <f>VLOOKUP($E7&amp;Q$5,'②-2勤務時間数入力'!$D$7:$Q$106,$P7,FALSE)</f>
        <v>#N/A</v>
      </c>
      <c r="R7" s="62" t="str">
        <f>IF(ISERROR(Q7),"×",IF(Q7="-","×","○"))</f>
        <v>×</v>
      </c>
      <c r="S7" s="62" t="e">
        <f>VLOOKUP($E7&amp;S$5,'②-2勤務時間数入力'!$D$7:$Q$106,$P7,FALSE)</f>
        <v>#N/A</v>
      </c>
      <c r="T7" s="62" t="str">
        <f>IF(ISERROR(S7),"×",IF(S7="-","×","○"))</f>
        <v>×</v>
      </c>
      <c r="U7" s="62" t="e">
        <f>VLOOKUP($E7&amp;U$5,'②-2勤務時間数入力'!$D$7:$Q$106,$P7,FALSE)</f>
        <v>#N/A</v>
      </c>
      <c r="V7" s="62" t="str">
        <f>IF(ISERROR(U7),"×",IF(U7="-","×","○"))</f>
        <v>×</v>
      </c>
      <c r="W7" s="62" t="e">
        <f>VLOOKUP($E7&amp;W$5,'②-2勤務時間数入力'!$D$7:$Q$106,$P7,FALSE)</f>
        <v>#N/A</v>
      </c>
      <c r="X7" s="62" t="str">
        <f>IF(ISERROR(W7),"×",IF(W7="-","×","○"))</f>
        <v>×</v>
      </c>
    </row>
    <row r="8" spans="1:24" ht="13.5" customHeight="1">
      <c r="A8" s="854"/>
      <c r="B8" s="862"/>
      <c r="C8" s="864"/>
      <c r="D8" s="866"/>
      <c r="E8" s="138"/>
      <c r="F8" s="269"/>
      <c r="G8" s="180" t="str">
        <f t="shared" si="0"/>
        <v/>
      </c>
      <c r="H8" s="181" t="str">
        <f t="shared" si="1"/>
        <v/>
      </c>
      <c r="I8" s="139" t="str">
        <f t="shared" si="2"/>
        <v/>
      </c>
      <c r="J8" s="139" t="str">
        <f t="shared" si="4"/>
        <v/>
      </c>
      <c r="K8" s="139" t="str">
        <f t="shared" si="5"/>
        <v/>
      </c>
      <c r="L8" s="59" t="str">
        <f t="shared" si="3"/>
        <v/>
      </c>
      <c r="M8" s="59">
        <f>$M$6</f>
        <v>221916.66666666701</v>
      </c>
      <c r="N8" s="59">
        <f>IFERROR(IF($C6="-","",IF(E8="","",IF(G8="正規職員",M8-M7,MIN(MIN(L8:M8),M7-N7)))),0)</f>
        <v>0</v>
      </c>
      <c r="O8" s="61" t="str">
        <f t="shared" si="6"/>
        <v/>
      </c>
      <c r="P8" s="62">
        <f t="shared" ref="P8:P9" si="7">P7</f>
        <v>3</v>
      </c>
      <c r="Q8" s="62" t="e">
        <f>VLOOKUP($E8&amp;Q$5,'②-2勤務時間数入力'!$D$7:$Q$106,$P8,FALSE)</f>
        <v>#N/A</v>
      </c>
      <c r="R8" s="62" t="str">
        <f>IF(ISERROR(Q8),"×",IF(Q8="-","×","○"))</f>
        <v>×</v>
      </c>
      <c r="S8" s="62" t="e">
        <f>VLOOKUP($E8&amp;S$5,'②-2勤務時間数入力'!$D$7:$Q$106,$P8,FALSE)</f>
        <v>#N/A</v>
      </c>
      <c r="T8" s="62" t="str">
        <f>IF(ISERROR(S8),"×",IF(S8="-","×","○"))</f>
        <v>×</v>
      </c>
      <c r="U8" s="62" t="e">
        <f>VLOOKUP($E8&amp;U$5,'②-2勤務時間数入力'!$D$7:$Q$106,$P8,FALSE)</f>
        <v>#N/A</v>
      </c>
      <c r="V8" s="62" t="str">
        <f>IF(ISERROR(U8),"×",IF(U8="-","×","○"))</f>
        <v>×</v>
      </c>
      <c r="W8" s="62" t="e">
        <f>VLOOKUP($E8&amp;W$5,'②-2勤務時間数入力'!$D$7:$Q$106,$P8,FALSE)</f>
        <v>#N/A</v>
      </c>
      <c r="X8" s="62" t="str">
        <f>IF(ISERROR(W8),"×",IF(W8="-","×","○"))</f>
        <v>×</v>
      </c>
    </row>
    <row r="9" spans="1:24" ht="13.5" customHeight="1">
      <c r="A9" s="854"/>
      <c r="B9" s="862"/>
      <c r="C9" s="864"/>
      <c r="D9" s="866"/>
      <c r="E9" s="138"/>
      <c r="F9" s="269"/>
      <c r="G9" s="180" t="str">
        <f t="shared" si="0"/>
        <v/>
      </c>
      <c r="H9" s="181" t="str">
        <f t="shared" si="1"/>
        <v/>
      </c>
      <c r="I9" s="139" t="str">
        <f t="shared" si="2"/>
        <v/>
      </c>
      <c r="J9" s="139" t="str">
        <f t="shared" si="4"/>
        <v/>
      </c>
      <c r="K9" s="139" t="str">
        <f t="shared" si="5"/>
        <v/>
      </c>
      <c r="L9" s="59" t="str">
        <f t="shared" si="3"/>
        <v/>
      </c>
      <c r="M9" s="59">
        <f>$M$6</f>
        <v>221916.66666666701</v>
      </c>
      <c r="N9" s="59">
        <f>IFERROR(IF($C6="-","",IF(E9="","",IF(G9="正規職員",M9-M8,MIN(MIN(L9:M9),M8-N8)))),0)</f>
        <v>0</v>
      </c>
      <c r="O9" s="61" t="str">
        <f t="shared" si="6"/>
        <v/>
      </c>
      <c r="P9" s="62">
        <f t="shared" si="7"/>
        <v>3</v>
      </c>
      <c r="Q9" s="62" t="e">
        <f>VLOOKUP($E9&amp;Q$5,'②-2勤務時間数入力'!$D$7:$Q$106,$P9,FALSE)</f>
        <v>#N/A</v>
      </c>
      <c r="R9" s="62" t="str">
        <f>IF(ISERROR(Q9),"×",IF(Q9="-","×","○"))</f>
        <v>×</v>
      </c>
      <c r="S9" s="62" t="e">
        <f>VLOOKUP($E9&amp;S$5,'②-2勤務時間数入力'!$D$7:$Q$106,$P9,FALSE)</f>
        <v>#N/A</v>
      </c>
      <c r="T9" s="62" t="str">
        <f>IF(ISERROR(S9),"×",IF(S9="-","×","○"))</f>
        <v>×</v>
      </c>
      <c r="U9" s="62" t="e">
        <f>VLOOKUP($E9&amp;U$5,'②-2勤務時間数入力'!$D$7:$Q$106,$P9,FALSE)</f>
        <v>#N/A</v>
      </c>
      <c r="V9" s="62" t="str">
        <f>IF(ISERROR(U9),"×",IF(U9="-","×","○"))</f>
        <v>×</v>
      </c>
      <c r="W9" s="62" t="e">
        <f>VLOOKUP($E9&amp;W$5,'②-2勤務時間数入力'!$D$7:$Q$106,$P9,FALSE)</f>
        <v>#N/A</v>
      </c>
      <c r="X9" s="62" t="str">
        <f>IF(ISERROR(W9),"×",IF(W9="-","×","○"))</f>
        <v>×</v>
      </c>
    </row>
    <row r="10" spans="1:24" ht="13.5" customHeight="1">
      <c r="A10" s="854"/>
      <c r="B10" s="862"/>
      <c r="C10" s="864"/>
      <c r="D10" s="866"/>
      <c r="E10" s="138"/>
      <c r="F10" s="269"/>
      <c r="G10" s="180" t="str">
        <f t="shared" si="0"/>
        <v/>
      </c>
      <c r="H10" s="181" t="str">
        <f t="shared" si="1"/>
        <v/>
      </c>
      <c r="I10" s="139" t="str">
        <f t="shared" si="2"/>
        <v/>
      </c>
      <c r="J10" s="139" t="str">
        <f t="shared" si="4"/>
        <v/>
      </c>
      <c r="K10" s="139" t="str">
        <f t="shared" si="5"/>
        <v/>
      </c>
      <c r="L10" s="59" t="str">
        <f t="shared" si="3"/>
        <v/>
      </c>
      <c r="M10" s="59">
        <f>$M$6</f>
        <v>221916.66666666701</v>
      </c>
      <c r="N10" s="59">
        <f>IFERROR(IF($C6="-","",IF(E10="","",IF(G10="正規職員",M10-M9,MIN(MIN(L10:M10),M9-N9)))),0)</f>
        <v>0</v>
      </c>
      <c r="O10" s="61" t="str">
        <f t="shared" si="6"/>
        <v/>
      </c>
      <c r="P10" s="62">
        <f>P9</f>
        <v>3</v>
      </c>
      <c r="Q10" s="62" t="e">
        <f>VLOOKUP($E10&amp;Q$5,'②-2勤務時間数入力'!$D$7:$Q$106,$P10,FALSE)</f>
        <v>#N/A</v>
      </c>
      <c r="R10" s="62" t="str">
        <f>IF(ISERROR(Q10),"×",IF(Q10="-","×","○"))</f>
        <v>×</v>
      </c>
      <c r="S10" s="62" t="e">
        <f>VLOOKUP($E10&amp;S$5,'②-2勤務時間数入力'!$D$7:$Q$106,$P10,FALSE)</f>
        <v>#N/A</v>
      </c>
      <c r="T10" s="62" t="str">
        <f>IF(ISERROR(S10),"×",IF(S10="-","×","○"))</f>
        <v>×</v>
      </c>
      <c r="U10" s="62" t="e">
        <f>VLOOKUP($E10&amp;U$5,'②-2勤務時間数入力'!$D$7:$Q$106,$P10,FALSE)</f>
        <v>#N/A</v>
      </c>
      <c r="V10" s="62" t="str">
        <f>IF(ISERROR(U10),"×",IF(U10="-","×","○"))</f>
        <v>×</v>
      </c>
      <c r="W10" s="62" t="e">
        <f>VLOOKUP($E10&amp;W$5,'②-2勤務時間数入力'!$D$7:$Q$106,$P10,FALSE)</f>
        <v>#N/A</v>
      </c>
      <c r="X10" s="62" t="str">
        <f>IF(ISERROR(W10),"×",IF(W10="-","×","○"))</f>
        <v>×</v>
      </c>
    </row>
    <row r="11" spans="1:24" ht="13.5" customHeight="1">
      <c r="A11" s="855"/>
      <c r="B11" s="862"/>
      <c r="C11" s="865"/>
      <c r="D11" s="846"/>
      <c r="E11" s="1" t="s">
        <v>272</v>
      </c>
      <c r="F11" s="1"/>
      <c r="G11" s="180" t="s">
        <v>273</v>
      </c>
      <c r="H11" s="67"/>
      <c r="I11" s="60" t="s">
        <v>273</v>
      </c>
      <c r="J11" s="60"/>
      <c r="K11" s="60"/>
      <c r="L11" s="60" t="s">
        <v>273</v>
      </c>
      <c r="M11" s="60" t="s">
        <v>273</v>
      </c>
      <c r="N11" s="59">
        <f>MIN(IFERROR(IF(C6=1,IF(AND(B6="配置",OR(D6="調理師等",D6="栄養士")),MAX(SUM(N6:N10)-①基本情報!F42+10000,0),SUM(N6:N10)),0),0),$M$6)</f>
        <v>0</v>
      </c>
      <c r="O11" s="61"/>
      <c r="P11" s="62"/>
      <c r="Q11" s="62"/>
      <c r="R11" s="62"/>
      <c r="S11" s="62"/>
      <c r="T11" s="62"/>
      <c r="U11" s="62"/>
      <c r="V11" s="62"/>
      <c r="W11" s="62"/>
      <c r="X11" s="62"/>
    </row>
    <row r="12" spans="1:24" ht="13.5" hidden="1" customHeight="1">
      <c r="A12" s="843">
        <v>5</v>
      </c>
      <c r="B12" s="856" t="e">
        <f>IF(①基本情報!G40="有",①基本情報!G41,"無")</f>
        <v>#N/A</v>
      </c>
      <c r="C12" s="859" t="e">
        <f>IF(判定!AU10="NG","-",1)</f>
        <v>#DIV/0!</v>
      </c>
      <c r="D12" s="872" t="str">
        <f>IFERROR(INDEX($L$83:$M$88,MATCH(判定!AU10,$L$83:$L$88,0),2),"-")</f>
        <v>-</v>
      </c>
      <c r="E12" s="138" t="str">
        <f>IF(E6="","",E6)</f>
        <v/>
      </c>
      <c r="F12" s="138" t="str">
        <f>IF(F6="","",F6)</f>
        <v/>
      </c>
      <c r="G12" s="180" t="str">
        <f t="shared" ref="G12:G16" si="8">IF(E12="","",IF(R12="○",Q$5,IF(T12="○",S$5,IF(V12="○",U$5,IF(X12="○",W$5,"ERROR")))))</f>
        <v/>
      </c>
      <c r="H12" s="181" t="str">
        <f t="shared" ref="H12:H16" si="9">IF(E12="","",IF(R12="○",Q12,IF(T12="○",S12,IF(V12="○",U12,IF(X12="○",W12,"ERROR")))))</f>
        <v/>
      </c>
      <c r="I12" s="139" t="str">
        <f>IF($E12="","",IF($G12="正規職員","-",IF(AND(EXACT($C6,$C12),EXACT($E6,$E12),EXACT($G6,$G12)),I6,"賃金単価を記載")))</f>
        <v/>
      </c>
      <c r="J12" s="139" t="str">
        <f>IF($E12="","",IF($G12="正規職員","-","勤務日数を記載（定期利用の場合、1と記載)"))</f>
        <v/>
      </c>
      <c r="K12" s="139" t="str">
        <f>IF($E12="","",IF($G12="正規職員","-",IF(AND(EXACT($C6,$C12),EXACT($E6,$E12),EXACT($G6,$G12)),K6,"日額の交通費を記載（定期利用の場合は月額)")))</f>
        <v/>
      </c>
      <c r="L12" s="59" t="str">
        <f t="shared" ref="L12:L16" si="10">IF($E12="","",IF($G12="正規職員","-",(H12*I12+J12*K12)))</f>
        <v/>
      </c>
      <c r="M12" s="59">
        <f>$M$6</f>
        <v>221916.66666666701</v>
      </c>
      <c r="N12" s="59">
        <f>IFERROR(IF($C12="-","",IF(E12="",0,IF(G12="正規職員",M12,MIN(L12:M12)))),0)</f>
        <v>0</v>
      </c>
      <c r="O12" s="61" t="str">
        <f>IF(E12="","",IF(COUNTIFS(E12,"*給食室*")=1,"○","エラー"))</f>
        <v/>
      </c>
      <c r="P12" s="62">
        <v>4</v>
      </c>
      <c r="Q12" s="62" t="e">
        <f>VLOOKUP($E12&amp;Q$5,'②-2勤務時間数入力'!$D$7:$Q$106,$P12,FALSE)</f>
        <v>#N/A</v>
      </c>
      <c r="R12" s="62" t="str">
        <f>IF(ISERROR(Q12),"×",IF(Q12="-","×","○"))</f>
        <v>×</v>
      </c>
      <c r="S12" s="62" t="e">
        <f>VLOOKUP($E12&amp;S$5,'②-2勤務時間数入力'!$D$7:$Q$106,$P12,FALSE)</f>
        <v>#N/A</v>
      </c>
      <c r="T12" s="62" t="str">
        <f>IF(ISERROR(S12),"×",IF(S12="-","×","○"))</f>
        <v>×</v>
      </c>
      <c r="U12" s="62" t="e">
        <f>VLOOKUP($E12&amp;U$5,'②-2勤務時間数入力'!$D$7:$Q$106,$P12,FALSE)</f>
        <v>#N/A</v>
      </c>
      <c r="V12" s="62" t="str">
        <f>IF(ISERROR(U12),"×",IF(U12="-","×","○"))</f>
        <v>×</v>
      </c>
      <c r="W12" s="62" t="e">
        <f>VLOOKUP($E12&amp;W$5,'②-2勤務時間数入力'!$D$7:$Q$106,$P12,FALSE)</f>
        <v>#N/A</v>
      </c>
      <c r="X12" s="62" t="str">
        <f>IF(ISERROR(W12),"×",IF(W12="-","×","○"))</f>
        <v>×</v>
      </c>
    </row>
    <row r="13" spans="1:24" ht="13.5" hidden="1" customHeight="1">
      <c r="A13" s="854"/>
      <c r="B13" s="857"/>
      <c r="C13" s="860"/>
      <c r="D13" s="873"/>
      <c r="E13" s="138" t="str">
        <f t="shared" ref="E13:F13" si="11">IF(E7="","",E7)</f>
        <v/>
      </c>
      <c r="F13" s="138" t="str">
        <f t="shared" si="11"/>
        <v/>
      </c>
      <c r="G13" s="180" t="str">
        <f t="shared" si="8"/>
        <v/>
      </c>
      <c r="H13" s="181" t="str">
        <f t="shared" si="9"/>
        <v/>
      </c>
      <c r="I13" s="139" t="str">
        <f>IF($E13="","",IF($G13="正規職員","-",IF(AND(EXACT($C6,$C12),EXACT($E7,$E13),EXACT($G7,$G13)),I7,"賃金単価を記載")))</f>
        <v/>
      </c>
      <c r="J13" s="139" t="str">
        <f t="shared" ref="J13:J16" si="12">IF($E13="","",IF($G13="正規職員","-","勤務日数を記載（定期利用の場合、1と記載)"))</f>
        <v/>
      </c>
      <c r="K13" s="139" t="str">
        <f>IF($E13="","",IF($G13="正規職員","-",IF(AND(EXACT($C6,$C12),EXACT($E7,$E13),EXACT($G7,$G13)),K7,"日額の交通費を記載（定期利用の場合は月額)")))</f>
        <v/>
      </c>
      <c r="L13" s="59" t="str">
        <f t="shared" si="10"/>
        <v/>
      </c>
      <c r="M13" s="59">
        <f>$M$6</f>
        <v>221916.66666666701</v>
      </c>
      <c r="N13" s="59">
        <f>IFERROR(IF($C12="-","",IF(E13="","",IF(G13="正規職員",M13-M12,MIN(MIN(L13:M13),M12-N12)))),0)</f>
        <v>0</v>
      </c>
      <c r="O13" s="61" t="str">
        <f t="shared" ref="O13:O16" si="13">IF(E13="","",IF(COUNTIFS(E13,"*給食室*")=1,"○","エラー"))</f>
        <v/>
      </c>
      <c r="P13" s="62">
        <f t="shared" ref="P13:P16" si="14">P12</f>
        <v>4</v>
      </c>
      <c r="Q13" s="62" t="e">
        <f>VLOOKUP($E13&amp;Q$5,'②-2勤務時間数入力'!$D$7:$Q$106,$P13,FALSE)</f>
        <v>#N/A</v>
      </c>
      <c r="R13" s="62" t="str">
        <f>IF(ISERROR(Q13),"×",IF(Q13="-","×","○"))</f>
        <v>×</v>
      </c>
      <c r="S13" s="62" t="e">
        <f>VLOOKUP($E13&amp;S$5,'②-2勤務時間数入力'!$D$7:$Q$106,$P13,FALSE)</f>
        <v>#N/A</v>
      </c>
      <c r="T13" s="62" t="str">
        <f>IF(ISERROR(S13),"×",IF(S13="-","×","○"))</f>
        <v>×</v>
      </c>
      <c r="U13" s="62" t="e">
        <f>VLOOKUP($E13&amp;U$5,'②-2勤務時間数入力'!$D$7:$Q$106,$P13,FALSE)</f>
        <v>#N/A</v>
      </c>
      <c r="V13" s="62" t="str">
        <f>IF(ISERROR(U13),"×",IF(U13="-","×","○"))</f>
        <v>×</v>
      </c>
      <c r="W13" s="62" t="e">
        <f>VLOOKUP($E13&amp;W$5,'②-2勤務時間数入力'!$D$7:$Q$106,$P13,FALSE)</f>
        <v>#N/A</v>
      </c>
      <c r="X13" s="62" t="str">
        <f>IF(ISERROR(W13),"×",IF(W13="-","×","○"))</f>
        <v>×</v>
      </c>
    </row>
    <row r="14" spans="1:24" ht="13.5" hidden="1" customHeight="1">
      <c r="A14" s="854"/>
      <c r="B14" s="857"/>
      <c r="C14" s="860"/>
      <c r="D14" s="873"/>
      <c r="E14" s="138" t="str">
        <f t="shared" ref="E14:F14" si="15">IF(E8="","",E8)</f>
        <v/>
      </c>
      <c r="F14" s="138" t="str">
        <f t="shared" si="15"/>
        <v/>
      </c>
      <c r="G14" s="180" t="str">
        <f t="shared" si="8"/>
        <v/>
      </c>
      <c r="H14" s="181" t="str">
        <f t="shared" si="9"/>
        <v/>
      </c>
      <c r="I14" s="139" t="str">
        <f>IF($E14="","",IF($G14="正規職員","-",IF(AND(EXACT($C6,$C12),EXACT($E8,$E14),EXACT($G8,$G14)),I8,"賃金単価を記載")))</f>
        <v/>
      </c>
      <c r="J14" s="139" t="str">
        <f t="shared" si="12"/>
        <v/>
      </c>
      <c r="K14" s="139" t="str">
        <f>IF($E14="","",IF($G14="正規職員","-",IF(AND(EXACT($C6,$C12),EXACT($E8,$E14),EXACT($G8,$G14)),K8,"日額の交通費を記載（定期利用の場合は月額)")))</f>
        <v/>
      </c>
      <c r="L14" s="59" t="str">
        <f t="shared" si="10"/>
        <v/>
      </c>
      <c r="M14" s="59">
        <f>$M$6</f>
        <v>221916.66666666701</v>
      </c>
      <c r="N14" s="59">
        <f>IFERROR(IF($C12="-","",IF(E14="","",IF(G14="正規職員",M14-M13,MIN(MIN(L14:M14),M13-N13)))),0)</f>
        <v>0</v>
      </c>
      <c r="O14" s="61" t="str">
        <f t="shared" si="13"/>
        <v/>
      </c>
      <c r="P14" s="62">
        <f t="shared" si="14"/>
        <v>4</v>
      </c>
      <c r="Q14" s="62" t="e">
        <f>VLOOKUP($E14&amp;Q$5,'②-2勤務時間数入力'!$D$7:$Q$106,$P14,FALSE)</f>
        <v>#N/A</v>
      </c>
      <c r="R14" s="62" t="str">
        <f>IF(ISERROR(Q14),"×",IF(Q14="-","×","○"))</f>
        <v>×</v>
      </c>
      <c r="S14" s="62" t="e">
        <f>VLOOKUP($E14&amp;S$5,'②-2勤務時間数入力'!$D$7:$Q$106,$P14,FALSE)</f>
        <v>#N/A</v>
      </c>
      <c r="T14" s="62" t="str">
        <f>IF(ISERROR(S14),"×",IF(S14="-","×","○"))</f>
        <v>×</v>
      </c>
      <c r="U14" s="62" t="e">
        <f>VLOOKUP($E14&amp;U$5,'②-2勤務時間数入力'!$D$7:$Q$106,$P14,FALSE)</f>
        <v>#N/A</v>
      </c>
      <c r="V14" s="62" t="str">
        <f>IF(ISERROR(U14),"×",IF(U14="-","×","○"))</f>
        <v>×</v>
      </c>
      <c r="W14" s="62" t="e">
        <f>VLOOKUP($E14&amp;W$5,'②-2勤務時間数入力'!$D$7:$Q$106,$P14,FALSE)</f>
        <v>#N/A</v>
      </c>
      <c r="X14" s="62" t="str">
        <f>IF(ISERROR(W14),"×",IF(W14="-","×","○"))</f>
        <v>×</v>
      </c>
    </row>
    <row r="15" spans="1:24" ht="13.5" hidden="1" customHeight="1">
      <c r="A15" s="854"/>
      <c r="B15" s="857"/>
      <c r="C15" s="860"/>
      <c r="D15" s="873"/>
      <c r="E15" s="138" t="str">
        <f t="shared" ref="E15:F15" si="16">IF(E9="","",E9)</f>
        <v/>
      </c>
      <c r="F15" s="138" t="str">
        <f t="shared" si="16"/>
        <v/>
      </c>
      <c r="G15" s="180" t="str">
        <f t="shared" si="8"/>
        <v/>
      </c>
      <c r="H15" s="181" t="str">
        <f t="shared" si="9"/>
        <v/>
      </c>
      <c r="I15" s="139" t="str">
        <f>IF($E15="","",IF($G15="正規職員","-",IF(AND(EXACT($C6,$C12),EXACT($E9,$E15),EXACT($G9,$G15)),I9,"賃金単価を記載")))</f>
        <v/>
      </c>
      <c r="J15" s="139" t="str">
        <f t="shared" si="12"/>
        <v/>
      </c>
      <c r="K15" s="139" t="str">
        <f>IF($E15="","",IF($G15="正規職員","-",IF(AND(EXACT($C6,$C12),EXACT($E9,$E15),EXACT($G9,$G15)),K9,"日額の交通費を記載（定期利用の場合は月額)")))</f>
        <v/>
      </c>
      <c r="L15" s="59" t="str">
        <f t="shared" si="10"/>
        <v/>
      </c>
      <c r="M15" s="59">
        <f>$M$6</f>
        <v>221916.66666666701</v>
      </c>
      <c r="N15" s="59">
        <f>IFERROR(IF($C12="-","",IF(E15="","",IF(G15="正規職員",M15-M14,MIN(MIN(L15:M15),M14-N14)))),0)</f>
        <v>0</v>
      </c>
      <c r="O15" s="61" t="str">
        <f t="shared" si="13"/>
        <v/>
      </c>
      <c r="P15" s="62">
        <f t="shared" si="14"/>
        <v>4</v>
      </c>
      <c r="Q15" s="62" t="e">
        <f>VLOOKUP($E15&amp;Q$5,'②-2勤務時間数入力'!$D$7:$Q$106,$P15,FALSE)</f>
        <v>#N/A</v>
      </c>
      <c r="R15" s="62" t="str">
        <f>IF(ISERROR(Q15),"×",IF(Q15="-","×","○"))</f>
        <v>×</v>
      </c>
      <c r="S15" s="62" t="e">
        <f>VLOOKUP($E15&amp;S$5,'②-2勤務時間数入力'!$D$7:$Q$106,$P15,FALSE)</f>
        <v>#N/A</v>
      </c>
      <c r="T15" s="62" t="str">
        <f>IF(ISERROR(S15),"×",IF(S15="-","×","○"))</f>
        <v>×</v>
      </c>
      <c r="U15" s="62" t="e">
        <f>VLOOKUP($E15&amp;U$5,'②-2勤務時間数入力'!$D$7:$Q$106,$P15,FALSE)</f>
        <v>#N/A</v>
      </c>
      <c r="V15" s="62" t="str">
        <f>IF(ISERROR(U15),"×",IF(U15="-","×","○"))</f>
        <v>×</v>
      </c>
      <c r="W15" s="62" t="e">
        <f>VLOOKUP($E15&amp;W$5,'②-2勤務時間数入力'!$D$7:$Q$106,$P15,FALSE)</f>
        <v>#N/A</v>
      </c>
      <c r="X15" s="62" t="str">
        <f>IF(ISERROR(W15),"×",IF(W15="-","×","○"))</f>
        <v>×</v>
      </c>
    </row>
    <row r="16" spans="1:24" ht="13.5" hidden="1" customHeight="1">
      <c r="A16" s="854"/>
      <c r="B16" s="857"/>
      <c r="C16" s="860"/>
      <c r="D16" s="873"/>
      <c r="E16" s="138" t="str">
        <f t="shared" ref="E16:F16" si="17">IF(E10="","",E10)</f>
        <v/>
      </c>
      <c r="F16" s="138" t="str">
        <f t="shared" si="17"/>
        <v/>
      </c>
      <c r="G16" s="180" t="str">
        <f t="shared" si="8"/>
        <v/>
      </c>
      <c r="H16" s="181" t="str">
        <f t="shared" si="9"/>
        <v/>
      </c>
      <c r="I16" s="139" t="str">
        <f>IF($E16="","",IF($G16="正規職員","-",IF(AND(EXACT($C6,$C12),EXACT($E10,$E16),EXACT($G10,$G16)),I10,"賃金単価を記載")))</f>
        <v/>
      </c>
      <c r="J16" s="139" t="str">
        <f t="shared" si="12"/>
        <v/>
      </c>
      <c r="K16" s="139" t="str">
        <f>IF($E16="","",IF($G16="正規職員","-",IF(AND(EXACT($C6,$C12),EXACT($E10,$E16),EXACT($G10,$G16)),K10,"日額の交通費を記載（定期利用の場合は月額)")))</f>
        <v/>
      </c>
      <c r="L16" s="59" t="str">
        <f t="shared" si="10"/>
        <v/>
      </c>
      <c r="M16" s="59">
        <f>$M$6</f>
        <v>221916.66666666701</v>
      </c>
      <c r="N16" s="59">
        <f>IFERROR(IF($C12="-","",IF(E16="","",IF(G16="正規職員",M16-M15,MIN(MIN(L16:M16),M15-N15)))),0)</f>
        <v>0</v>
      </c>
      <c r="O16" s="61" t="str">
        <f t="shared" si="13"/>
        <v/>
      </c>
      <c r="P16" s="62">
        <f t="shared" si="14"/>
        <v>4</v>
      </c>
      <c r="Q16" s="62" t="e">
        <f>VLOOKUP($E16&amp;Q$5,'②-2勤務時間数入力'!$D$7:$Q$106,$P16,FALSE)</f>
        <v>#N/A</v>
      </c>
      <c r="R16" s="62" t="str">
        <f>IF(ISERROR(Q16),"×",IF(Q16="-","×","○"))</f>
        <v>×</v>
      </c>
      <c r="S16" s="62" t="e">
        <f>VLOOKUP($E16&amp;S$5,'②-2勤務時間数入力'!$D$7:$Q$106,$P16,FALSE)</f>
        <v>#N/A</v>
      </c>
      <c r="T16" s="62" t="str">
        <f>IF(ISERROR(S16),"×",IF(S16="-","×","○"))</f>
        <v>×</v>
      </c>
      <c r="U16" s="62" t="e">
        <f>VLOOKUP($E16&amp;U$5,'②-2勤務時間数入力'!$D$7:$Q$106,$P16,FALSE)</f>
        <v>#N/A</v>
      </c>
      <c r="V16" s="62" t="str">
        <f>IF(ISERROR(U16),"×",IF(U16="-","×","○"))</f>
        <v>×</v>
      </c>
      <c r="W16" s="62" t="e">
        <f>VLOOKUP($E16&amp;W$5,'②-2勤務時間数入力'!$D$7:$Q$106,$P16,FALSE)</f>
        <v>#N/A</v>
      </c>
      <c r="X16" s="62" t="str">
        <f>IF(ISERROR(W16),"×",IF(W16="-","×","○"))</f>
        <v>×</v>
      </c>
    </row>
    <row r="17" spans="1:24" ht="13.5" hidden="1" customHeight="1">
      <c r="A17" s="855"/>
      <c r="B17" s="858"/>
      <c r="C17" s="861"/>
      <c r="D17" s="874"/>
      <c r="E17" s="1" t="s">
        <v>274</v>
      </c>
      <c r="F17" s="1"/>
      <c r="G17" s="180" t="s">
        <v>273</v>
      </c>
      <c r="H17" s="432"/>
      <c r="I17" s="60" t="s">
        <v>273</v>
      </c>
      <c r="J17" s="60"/>
      <c r="K17" s="60"/>
      <c r="L17" s="60" t="s">
        <v>273</v>
      </c>
      <c r="M17" s="60" t="s">
        <v>273</v>
      </c>
      <c r="N17" s="59">
        <f>MIN(IFERROR(IF(C12=1,IF(AND(B12="配置",OR(D12="調理師等",D12="栄養士")),MAX(SUM(N12:N16)-①基本情報!G42+10000,0),SUM(N12:N16)),0),0),$M$6)</f>
        <v>0</v>
      </c>
      <c r="O17" s="61" t="e">
        <f>IF(SUM(N12:N16)&gt;#REF!*$M$6,MIN($M$6,SUM(N12:N16)-ROUNDDOWN(#REF!*$M$6,0)),0)</f>
        <v>#REF!</v>
      </c>
      <c r="P17" s="62"/>
      <c r="Q17" s="62"/>
      <c r="R17" s="62"/>
      <c r="S17" s="62"/>
      <c r="T17" s="62"/>
      <c r="U17" s="62"/>
      <c r="V17" s="62"/>
      <c r="W17" s="62"/>
      <c r="X17" s="62"/>
    </row>
    <row r="18" spans="1:24" ht="13.5" hidden="1" customHeight="1">
      <c r="A18" s="843">
        <v>6</v>
      </c>
      <c r="B18" s="856" t="e">
        <f>IF(①基本情報!H40="有",①基本情報!H41,"無")</f>
        <v>#N/A</v>
      </c>
      <c r="C18" s="859" t="e">
        <f>IF(判定!AU11="NG","-",1)</f>
        <v>#DIV/0!</v>
      </c>
      <c r="D18" s="869" t="str">
        <f>IFERROR(INDEX($L$83:$M$88,MATCH(判定!AU11,$L$83:$L$88,0),2),"-")</f>
        <v>-</v>
      </c>
      <c r="E18" s="138" t="str">
        <f>IF(E12="","",E12)</f>
        <v/>
      </c>
      <c r="F18" s="138" t="str">
        <f>IF(F12="","",F12)</f>
        <v/>
      </c>
      <c r="G18" s="180" t="str">
        <f t="shared" ref="G18:G22" si="18">IF(E18="","",IF(R18="○",Q$5,IF(T18="○",S$5,IF(V18="○",U$5,IF(X18="○",W$5,"ERROR")))))</f>
        <v/>
      </c>
      <c r="H18" s="181" t="str">
        <f t="shared" ref="H18:H22" si="19">IF(E18="","",IF(R18="○",Q18,IF(T18="○",S18,IF(V18="○",U18,IF(X18="○",W18,"ERROR")))))</f>
        <v/>
      </c>
      <c r="I18" s="139" t="str">
        <f>IF($E18="","",IF($G18="正規職員","-",IF(AND(EXACT($C12,$C18),EXACT($E12,$E18),EXACT($G12,$G18)),I12,"賃金単価を記載")))</f>
        <v/>
      </c>
      <c r="J18" s="139" t="str">
        <f>IF($E18="","",IF($G18="正規職員","-","勤務日数を記載（定期利用の場合、1と記載)"))</f>
        <v/>
      </c>
      <c r="K18" s="139" t="str">
        <f>IF($E18="","",IF($G18="正規職員","-",IF(AND(EXACT($C12,$C18),EXACT($E12,$E18),EXACT($G12,$G18)),K12,"日額の交通費を記載（定期利用の場合は月額)")))</f>
        <v/>
      </c>
      <c r="L18" s="59" t="str">
        <f t="shared" ref="L18:L22" si="20">IF($E18="","",IF($G18="正規職員","-",(H18*I18+J18*K18)))</f>
        <v/>
      </c>
      <c r="M18" s="59">
        <f>$M$6</f>
        <v>221916.66666666701</v>
      </c>
      <c r="N18" s="59">
        <f>IFERROR(IF($C18="-","",IF(E18="",0,IF(G18="正規職員",M18,MIN(L18:M18)))),0)</f>
        <v>0</v>
      </c>
      <c r="O18" s="61" t="str">
        <f>IF(E18="","",IF(COUNTIFS(E18,"*給食室*")=1,"○","エラー"))</f>
        <v/>
      </c>
      <c r="P18" s="62">
        <v>5</v>
      </c>
      <c r="Q18" s="62" t="e">
        <f>VLOOKUP($E18&amp;Q$5,'②-2勤務時間数入力'!$D$7:$Q$106,$P18,FALSE)</f>
        <v>#N/A</v>
      </c>
      <c r="R18" s="62" t="str">
        <f>IF(ISERROR(Q18),"×",IF(Q18="-","×","○"))</f>
        <v>×</v>
      </c>
      <c r="S18" s="62" t="e">
        <f>VLOOKUP($E18&amp;S$5,'②-2勤務時間数入力'!$D$7:$Q$106,$P18,FALSE)</f>
        <v>#N/A</v>
      </c>
      <c r="T18" s="62" t="str">
        <f>IF(ISERROR(S18),"×",IF(S18="-","×","○"))</f>
        <v>×</v>
      </c>
      <c r="U18" s="62" t="e">
        <f>VLOOKUP($E18&amp;U$5,'②-2勤務時間数入力'!$D$7:$Q$106,$P18,FALSE)</f>
        <v>#N/A</v>
      </c>
      <c r="V18" s="62" t="str">
        <f>IF(ISERROR(U18),"×",IF(U18="-","×","○"))</f>
        <v>×</v>
      </c>
      <c r="W18" s="62" t="e">
        <f>VLOOKUP($E18&amp;W$5,'②-2勤務時間数入力'!$D$7:$Q$106,$P18,FALSE)</f>
        <v>#N/A</v>
      </c>
      <c r="X18" s="62" t="str">
        <f>IF(ISERROR(W18),"×",IF(W18="-","×","○"))</f>
        <v>×</v>
      </c>
    </row>
    <row r="19" spans="1:24" ht="13.5" hidden="1" customHeight="1">
      <c r="A19" s="854"/>
      <c r="B19" s="857"/>
      <c r="C19" s="860"/>
      <c r="D19" s="870"/>
      <c r="E19" s="138" t="str">
        <f t="shared" ref="E19:F19" si="21">IF(E13="","",E13)</f>
        <v/>
      </c>
      <c r="F19" s="138" t="str">
        <f t="shared" si="21"/>
        <v/>
      </c>
      <c r="G19" s="180" t="str">
        <f t="shared" si="18"/>
        <v/>
      </c>
      <c r="H19" s="181" t="str">
        <f t="shared" si="19"/>
        <v/>
      </c>
      <c r="I19" s="139" t="str">
        <f>IF($E19="","",IF($G19="正規職員","-",IF(AND(EXACT($C12,$C18),EXACT($E13,$E19),EXACT($G13,$G19)),I13,"賃金単価を記載")))</f>
        <v/>
      </c>
      <c r="J19" s="139" t="str">
        <f t="shared" ref="J19:J22" si="22">IF($E19="","",IF($G19="正規職員","-","勤務日数を記載（定期利用の場合、1と記載)"))</f>
        <v/>
      </c>
      <c r="K19" s="139" t="str">
        <f>IF($E19="","",IF($G19="正規職員","-",IF(AND(EXACT($C12,$C18),EXACT($E13,$E19),EXACT($G13,$G19)),K13,"日額の交通費を記載（定期利用の場合は月額)")))</f>
        <v/>
      </c>
      <c r="L19" s="59" t="str">
        <f t="shared" si="20"/>
        <v/>
      </c>
      <c r="M19" s="59">
        <f>$M$6</f>
        <v>221916.66666666701</v>
      </c>
      <c r="N19" s="59">
        <f>IFERROR(IF($C18="-","",IF(E19="","",IF(G19="正規職員",M19-M18,MIN(MIN(L19:M19),M18-N18)))),0)</f>
        <v>0</v>
      </c>
      <c r="O19" s="61" t="str">
        <f t="shared" ref="O19:O22" si="23">IF(E19="","",IF(COUNTIFS(E19,"*給食室*")=1,"○","エラー"))</f>
        <v/>
      </c>
      <c r="P19" s="62">
        <f t="shared" ref="P19:P22" si="24">P18</f>
        <v>5</v>
      </c>
      <c r="Q19" s="62" t="e">
        <f>VLOOKUP($E19&amp;Q$5,'②-2勤務時間数入力'!$D$7:$Q$106,$P19,FALSE)</f>
        <v>#N/A</v>
      </c>
      <c r="R19" s="62" t="str">
        <f>IF(ISERROR(Q19),"×",IF(Q19="-","×","○"))</f>
        <v>×</v>
      </c>
      <c r="S19" s="62" t="e">
        <f>VLOOKUP($E19&amp;S$5,'②-2勤務時間数入力'!$D$7:$Q$106,$P19,FALSE)</f>
        <v>#N/A</v>
      </c>
      <c r="T19" s="62" t="str">
        <f>IF(ISERROR(S19),"×",IF(S19="-","×","○"))</f>
        <v>×</v>
      </c>
      <c r="U19" s="62" t="e">
        <f>VLOOKUP($E19&amp;U$5,'②-2勤務時間数入力'!$D$7:$Q$106,$P19,FALSE)</f>
        <v>#N/A</v>
      </c>
      <c r="V19" s="62" t="str">
        <f>IF(ISERROR(U19),"×",IF(U19="-","×","○"))</f>
        <v>×</v>
      </c>
      <c r="W19" s="62" t="e">
        <f>VLOOKUP($E19&amp;W$5,'②-2勤務時間数入力'!$D$7:$Q$106,$P19,FALSE)</f>
        <v>#N/A</v>
      </c>
      <c r="X19" s="62" t="str">
        <f>IF(ISERROR(W19),"×",IF(W19="-","×","○"))</f>
        <v>×</v>
      </c>
    </row>
    <row r="20" spans="1:24" ht="13.5" hidden="1" customHeight="1">
      <c r="A20" s="854"/>
      <c r="B20" s="857"/>
      <c r="C20" s="860"/>
      <c r="D20" s="870"/>
      <c r="E20" s="138" t="str">
        <f t="shared" ref="E20:F20" si="25">IF(E14="","",E14)</f>
        <v/>
      </c>
      <c r="F20" s="138" t="str">
        <f t="shared" si="25"/>
        <v/>
      </c>
      <c r="G20" s="180" t="str">
        <f t="shared" si="18"/>
        <v/>
      </c>
      <c r="H20" s="181" t="str">
        <f t="shared" si="19"/>
        <v/>
      </c>
      <c r="I20" s="139" t="str">
        <f>IF($E20="","",IF($G20="正規職員","-",IF(AND(EXACT($C12,$C18),EXACT($E14,$E20),EXACT($G14,$G20)),I14,"賃金単価を記載")))</f>
        <v/>
      </c>
      <c r="J20" s="139" t="str">
        <f t="shared" si="22"/>
        <v/>
      </c>
      <c r="K20" s="139" t="str">
        <f>IF($E20="","",IF($G20="正規職員","-",IF(AND(EXACT($C12,$C18),EXACT($E14,$E20),EXACT($G14,$G20)),K14,"日額の交通費を記載（定期利用の場合は月額)")))</f>
        <v/>
      </c>
      <c r="L20" s="59" t="str">
        <f t="shared" si="20"/>
        <v/>
      </c>
      <c r="M20" s="59">
        <f>$M$6</f>
        <v>221916.66666666701</v>
      </c>
      <c r="N20" s="59">
        <f>IFERROR(IF($C18="-","",IF(E20="","",IF(G20="正規職員",M20-M19,MIN(MIN(L20:M20),M19-N19)))),0)</f>
        <v>0</v>
      </c>
      <c r="O20" s="61" t="str">
        <f t="shared" si="23"/>
        <v/>
      </c>
      <c r="P20" s="62">
        <f t="shared" si="24"/>
        <v>5</v>
      </c>
      <c r="Q20" s="62" t="e">
        <f>VLOOKUP($E20&amp;Q$5,'②-2勤務時間数入力'!$D$7:$Q$106,$P20,FALSE)</f>
        <v>#N/A</v>
      </c>
      <c r="R20" s="62" t="str">
        <f>IF(ISERROR(Q20),"×",IF(Q20="-","×","○"))</f>
        <v>×</v>
      </c>
      <c r="S20" s="62" t="e">
        <f>VLOOKUP($E20&amp;S$5,'②-2勤務時間数入力'!$D$7:$Q$106,$P20,FALSE)</f>
        <v>#N/A</v>
      </c>
      <c r="T20" s="62" t="str">
        <f>IF(ISERROR(S20),"×",IF(S20="-","×","○"))</f>
        <v>×</v>
      </c>
      <c r="U20" s="62" t="e">
        <f>VLOOKUP($E20&amp;U$5,'②-2勤務時間数入力'!$D$7:$Q$106,$P20,FALSE)</f>
        <v>#N/A</v>
      </c>
      <c r="V20" s="62" t="str">
        <f>IF(ISERROR(U20),"×",IF(U20="-","×","○"))</f>
        <v>×</v>
      </c>
      <c r="W20" s="62" t="e">
        <f>VLOOKUP($E20&amp;W$5,'②-2勤務時間数入力'!$D$7:$Q$106,$P20,FALSE)</f>
        <v>#N/A</v>
      </c>
      <c r="X20" s="62" t="str">
        <f>IF(ISERROR(W20),"×",IF(W20="-","×","○"))</f>
        <v>×</v>
      </c>
    </row>
    <row r="21" spans="1:24" ht="13.5" hidden="1" customHeight="1">
      <c r="A21" s="854"/>
      <c r="B21" s="857"/>
      <c r="C21" s="860"/>
      <c r="D21" s="870"/>
      <c r="E21" s="138" t="str">
        <f t="shared" ref="E21:F21" si="26">IF(E15="","",E15)</f>
        <v/>
      </c>
      <c r="F21" s="138" t="str">
        <f t="shared" si="26"/>
        <v/>
      </c>
      <c r="G21" s="180" t="str">
        <f t="shared" si="18"/>
        <v/>
      </c>
      <c r="H21" s="181" t="str">
        <f t="shared" si="19"/>
        <v/>
      </c>
      <c r="I21" s="139" t="str">
        <f>IF($E21="","",IF($G21="正規職員","-",IF(AND(EXACT($C12,$C18),EXACT($E15,$E21),EXACT($G15,$G21)),I15,"賃金単価を記載")))</f>
        <v/>
      </c>
      <c r="J21" s="139" t="str">
        <f t="shared" si="22"/>
        <v/>
      </c>
      <c r="K21" s="139" t="str">
        <f>IF($E21="","",IF($G21="正規職員","-",IF(AND(EXACT($C12,$C18),EXACT($E15,$E21),EXACT($G15,$G21)),K15,"日額の交通費を記載（定期利用の場合は月額)")))</f>
        <v/>
      </c>
      <c r="L21" s="59" t="str">
        <f t="shared" si="20"/>
        <v/>
      </c>
      <c r="M21" s="59">
        <f>$M$6</f>
        <v>221916.66666666701</v>
      </c>
      <c r="N21" s="59">
        <f>IFERROR(IF($C18="-","",IF(E21="","",IF(G21="正規職員",M21-M20,MIN(MIN(L21:M21),M20-N20)))),0)</f>
        <v>0</v>
      </c>
      <c r="O21" s="61" t="str">
        <f t="shared" si="23"/>
        <v/>
      </c>
      <c r="P21" s="62">
        <f t="shared" si="24"/>
        <v>5</v>
      </c>
      <c r="Q21" s="62" t="e">
        <f>VLOOKUP($E21&amp;Q$5,'②-2勤務時間数入力'!$D$7:$Q$106,$P21,FALSE)</f>
        <v>#N/A</v>
      </c>
      <c r="R21" s="62" t="str">
        <f>IF(ISERROR(Q21),"×",IF(Q21="-","×","○"))</f>
        <v>×</v>
      </c>
      <c r="S21" s="62" t="e">
        <f>VLOOKUP($E21&amp;S$5,'②-2勤務時間数入力'!$D$7:$Q$106,$P21,FALSE)</f>
        <v>#N/A</v>
      </c>
      <c r="T21" s="62" t="str">
        <f>IF(ISERROR(S21),"×",IF(S21="-","×","○"))</f>
        <v>×</v>
      </c>
      <c r="U21" s="62" t="e">
        <f>VLOOKUP($E21&amp;U$5,'②-2勤務時間数入力'!$D$7:$Q$106,$P21,FALSE)</f>
        <v>#N/A</v>
      </c>
      <c r="V21" s="62" t="str">
        <f>IF(ISERROR(U21),"×",IF(U21="-","×","○"))</f>
        <v>×</v>
      </c>
      <c r="W21" s="62" t="e">
        <f>VLOOKUP($E21&amp;W$5,'②-2勤務時間数入力'!$D$7:$Q$106,$P21,FALSE)</f>
        <v>#N/A</v>
      </c>
      <c r="X21" s="62" t="str">
        <f>IF(ISERROR(W21),"×",IF(W21="-","×","○"))</f>
        <v>×</v>
      </c>
    </row>
    <row r="22" spans="1:24" ht="13.5" hidden="1" customHeight="1">
      <c r="A22" s="854"/>
      <c r="B22" s="857"/>
      <c r="C22" s="860"/>
      <c r="D22" s="870"/>
      <c r="E22" s="138" t="str">
        <f t="shared" ref="E22:F22" si="27">IF(E16="","",E16)</f>
        <v/>
      </c>
      <c r="F22" s="138" t="str">
        <f t="shared" si="27"/>
        <v/>
      </c>
      <c r="G22" s="180" t="str">
        <f t="shared" si="18"/>
        <v/>
      </c>
      <c r="H22" s="181" t="str">
        <f t="shared" si="19"/>
        <v/>
      </c>
      <c r="I22" s="139" t="str">
        <f>IF($E22="","",IF($G22="正規職員","-",IF(AND(EXACT($C12,$C18),EXACT($E16,$E22),EXACT($G16,$G22)),I16,"賃金単価を記載")))</f>
        <v/>
      </c>
      <c r="J22" s="139" t="str">
        <f t="shared" si="22"/>
        <v/>
      </c>
      <c r="K22" s="139" t="str">
        <f>IF($E22="","",IF($G22="正規職員","-",IF(AND(EXACT($C12,$C18),EXACT($E16,$E22),EXACT($G16,$G22)),K16,"日額の交通費を記載（定期利用の場合は月額)")))</f>
        <v/>
      </c>
      <c r="L22" s="59" t="str">
        <f t="shared" si="20"/>
        <v/>
      </c>
      <c r="M22" s="59">
        <f>$M$6</f>
        <v>221916.66666666701</v>
      </c>
      <c r="N22" s="59">
        <f>IFERROR(IF($C18="-","",IF(E22="","",IF(G22="正規職員",M22-M21,MIN(MIN(L22:M22),M21-N21)))),0)</f>
        <v>0</v>
      </c>
      <c r="O22" s="61" t="str">
        <f t="shared" si="23"/>
        <v/>
      </c>
      <c r="P22" s="62">
        <f t="shared" si="24"/>
        <v>5</v>
      </c>
      <c r="Q22" s="62" t="e">
        <f>VLOOKUP($E22&amp;Q$5,'②-2勤務時間数入力'!$D$7:$Q$106,$P22,FALSE)</f>
        <v>#N/A</v>
      </c>
      <c r="R22" s="62" t="str">
        <f>IF(ISERROR(Q22),"×",IF(Q22="-","×","○"))</f>
        <v>×</v>
      </c>
      <c r="S22" s="62" t="e">
        <f>VLOOKUP($E22&amp;S$5,'②-2勤務時間数入力'!$D$7:$Q$106,$P22,FALSE)</f>
        <v>#N/A</v>
      </c>
      <c r="T22" s="62" t="str">
        <f>IF(ISERROR(S22),"×",IF(S22="-","×","○"))</f>
        <v>×</v>
      </c>
      <c r="U22" s="62" t="e">
        <f>VLOOKUP($E22&amp;U$5,'②-2勤務時間数入力'!$D$7:$Q$106,$P22,FALSE)</f>
        <v>#N/A</v>
      </c>
      <c r="V22" s="62" t="str">
        <f>IF(ISERROR(U22),"×",IF(U22="-","×","○"))</f>
        <v>×</v>
      </c>
      <c r="W22" s="62" t="e">
        <f>VLOOKUP($E22&amp;W$5,'②-2勤務時間数入力'!$D$7:$Q$106,$P22,FALSE)</f>
        <v>#N/A</v>
      </c>
      <c r="X22" s="62" t="str">
        <f>IF(ISERROR(W22),"×",IF(W22="-","×","○"))</f>
        <v>×</v>
      </c>
    </row>
    <row r="23" spans="1:24" ht="13.5" hidden="1" customHeight="1">
      <c r="A23" s="855"/>
      <c r="B23" s="858"/>
      <c r="C23" s="861"/>
      <c r="D23" s="871"/>
      <c r="E23" s="1" t="s">
        <v>275</v>
      </c>
      <c r="F23" s="1"/>
      <c r="G23" s="180" t="s">
        <v>273</v>
      </c>
      <c r="H23" s="432"/>
      <c r="I23" s="60" t="s">
        <v>273</v>
      </c>
      <c r="J23" s="60"/>
      <c r="K23" s="60"/>
      <c r="L23" s="60" t="s">
        <v>273</v>
      </c>
      <c r="M23" s="60" t="s">
        <v>273</v>
      </c>
      <c r="N23" s="59">
        <f>MIN(IFERROR(IF(C18=1,IF(AND(B18="配置",OR(D18="調理師等",D18="栄養士")),MAX(SUM(N18:N22)-①基本情報!H42+10000,0),SUM(N18:N22)),0),0),$M$6)</f>
        <v>0</v>
      </c>
      <c r="O23" s="61" t="e">
        <f>IF(SUM(N18:N22)&gt;#REF!*$M$6,MIN($M$6,SUM(N18:N22)-ROUNDDOWN(#REF!*$M$6,0)),0)</f>
        <v>#REF!</v>
      </c>
      <c r="P23" s="62"/>
      <c r="Q23" s="62"/>
      <c r="R23" s="62"/>
      <c r="S23" s="62"/>
      <c r="T23" s="62"/>
      <c r="U23" s="62"/>
      <c r="V23" s="62"/>
      <c r="W23" s="62"/>
      <c r="X23" s="62"/>
    </row>
    <row r="24" spans="1:24" ht="13.5" hidden="1" customHeight="1">
      <c r="A24" s="843">
        <v>7</v>
      </c>
      <c r="B24" s="856" t="e">
        <f>IF(①基本情報!I40="有",①基本情報!I41,"無")</f>
        <v>#N/A</v>
      </c>
      <c r="C24" s="859" t="e">
        <f>IF(判定!AU12="NG","-",1)</f>
        <v>#DIV/0!</v>
      </c>
      <c r="D24" s="869" t="str">
        <f>IFERROR(INDEX($L$83:$M$88,MATCH(判定!AU12,$L$83:$L$88,0),2),"-")</f>
        <v>-</v>
      </c>
      <c r="E24" s="138" t="str">
        <f>IF(E18="","",E18)</f>
        <v/>
      </c>
      <c r="F24" s="138" t="str">
        <f>IF(F18="","",F18)</f>
        <v/>
      </c>
      <c r="G24" s="180" t="str">
        <f t="shared" ref="G24:G28" si="28">IF(E24="","",IF(R24="○",Q$5,IF(T24="○",S$5,IF(V24="○",U$5,IF(X24="○",W$5,"ERROR")))))</f>
        <v/>
      </c>
      <c r="H24" s="181" t="str">
        <f t="shared" ref="H24:H28" si="29">IF(E24="","",IF(R24="○",Q24,IF(T24="○",S24,IF(V24="○",U24,IF(X24="○",W24,"ERROR")))))</f>
        <v/>
      </c>
      <c r="I24" s="139" t="str">
        <f>IF($E24="","",IF($G24="正規職員","-",IF(AND(EXACT($C18,$C24),EXACT($E18,$E24),EXACT($G18,$G24)),I18,"賃金単価を記載")))</f>
        <v/>
      </c>
      <c r="J24" s="139" t="str">
        <f>IF($E24="","",IF($G24="正規職員","-","勤務日数を記載（定期利用の場合、1と記載)"))</f>
        <v/>
      </c>
      <c r="K24" s="139" t="str">
        <f>IF($E24="","",IF($G24="正規職員","-",IF(AND(EXACT($C18,$C24),EXACT($E18,$E24),EXACT($G18,$G24)),K18,"日額の交通費を記載（定期利用の場合は月額)")))</f>
        <v/>
      </c>
      <c r="L24" s="59" t="str">
        <f t="shared" ref="L24:L28" si="30">IF($E24="","",IF($G24="正規職員","-",(H24*I24+J24*K24)))</f>
        <v/>
      </c>
      <c r="M24" s="59">
        <f>$M$6</f>
        <v>221916.66666666701</v>
      </c>
      <c r="N24" s="59">
        <f>IFERROR(IF($C24="-","",IF(E24="",0,IF(G24="正規職員",M24,MIN(L24:M24)))),0)</f>
        <v>0</v>
      </c>
      <c r="O24" s="61" t="str">
        <f>IF(E24="","",IF(COUNTIFS(E24,"*給食室*")=1,"○","エラー"))</f>
        <v/>
      </c>
      <c r="P24" s="62">
        <v>6</v>
      </c>
      <c r="Q24" s="62" t="e">
        <f>VLOOKUP($E24&amp;Q$5,'②-2勤務時間数入力'!$D$7:$Q$106,$P24,FALSE)</f>
        <v>#N/A</v>
      </c>
      <c r="R24" s="62" t="str">
        <f>IF(ISERROR(Q24),"×",IF(Q24="-","×","○"))</f>
        <v>×</v>
      </c>
      <c r="S24" s="62" t="e">
        <f>VLOOKUP($E24&amp;S$5,'②-2勤務時間数入力'!$D$7:$Q$106,$P24,FALSE)</f>
        <v>#N/A</v>
      </c>
      <c r="T24" s="62" t="str">
        <f>IF(ISERROR(S24),"×",IF(S24="-","×","○"))</f>
        <v>×</v>
      </c>
      <c r="U24" s="62" t="e">
        <f>VLOOKUP($E24&amp;U$5,'②-2勤務時間数入力'!$D$7:$Q$106,$P24,FALSE)</f>
        <v>#N/A</v>
      </c>
      <c r="V24" s="62" t="str">
        <f>IF(ISERROR(U24),"×",IF(U24="-","×","○"))</f>
        <v>×</v>
      </c>
      <c r="W24" s="62" t="e">
        <f>VLOOKUP($E24&amp;W$5,'②-2勤務時間数入力'!$D$7:$Q$106,$P24,FALSE)</f>
        <v>#N/A</v>
      </c>
      <c r="X24" s="62" t="str">
        <f>IF(ISERROR(W24),"×",IF(W24="-","×","○"))</f>
        <v>×</v>
      </c>
    </row>
    <row r="25" spans="1:24" ht="13.5" hidden="1" customHeight="1">
      <c r="A25" s="854"/>
      <c r="B25" s="857"/>
      <c r="C25" s="860"/>
      <c r="D25" s="870"/>
      <c r="E25" s="138" t="str">
        <f t="shared" ref="E25:F25" si="31">IF(E19="","",E19)</f>
        <v/>
      </c>
      <c r="F25" s="138" t="str">
        <f t="shared" si="31"/>
        <v/>
      </c>
      <c r="G25" s="180" t="str">
        <f t="shared" si="28"/>
        <v/>
      </c>
      <c r="H25" s="181" t="str">
        <f t="shared" si="29"/>
        <v/>
      </c>
      <c r="I25" s="139" t="str">
        <f>IF($E25="","",IF($G25="正規職員","-",IF(AND(EXACT($C18,$C24),EXACT($E19,$E25),EXACT($G19,$G25)),I19,"賃金単価を記載")))</f>
        <v/>
      </c>
      <c r="J25" s="139" t="str">
        <f t="shared" ref="J25:J28" si="32">IF($E25="","",IF($G25="正規職員","-","勤務日数を記載（定期利用の場合、1と記載)"))</f>
        <v/>
      </c>
      <c r="K25" s="139" t="str">
        <f>IF($E25="","",IF($G25="正規職員","-",IF(AND(EXACT($C18,$C24),EXACT($E19,$E25),EXACT($G19,$G25)),K19,"日額の交通費を記載（定期利用の場合は月額)")))</f>
        <v/>
      </c>
      <c r="L25" s="59" t="str">
        <f t="shared" si="30"/>
        <v/>
      </c>
      <c r="M25" s="59">
        <f>$M$6</f>
        <v>221916.66666666701</v>
      </c>
      <c r="N25" s="59">
        <f>IFERROR(IF($C24="-","",IF(E25="","",IF(G25="正規職員",M25-M24,MIN(MIN(L25:M25),M24-N24)))),0)</f>
        <v>0</v>
      </c>
      <c r="O25" s="61" t="str">
        <f t="shared" ref="O25:O28" si="33">IF(E25="","",IF(COUNTIFS(E25,"*給食室*")=1,"○","エラー"))</f>
        <v/>
      </c>
      <c r="P25" s="62">
        <f t="shared" ref="P25:P28" si="34">P24</f>
        <v>6</v>
      </c>
      <c r="Q25" s="62" t="e">
        <f>VLOOKUP($E25&amp;Q$5,'②-2勤務時間数入力'!$D$7:$Q$106,$P25,FALSE)</f>
        <v>#N/A</v>
      </c>
      <c r="R25" s="62" t="str">
        <f>IF(ISERROR(Q25),"×",IF(Q25="-","×","○"))</f>
        <v>×</v>
      </c>
      <c r="S25" s="62" t="e">
        <f>VLOOKUP($E25&amp;S$5,'②-2勤務時間数入力'!$D$7:$Q$106,$P25,FALSE)</f>
        <v>#N/A</v>
      </c>
      <c r="T25" s="62" t="str">
        <f>IF(ISERROR(S25),"×",IF(S25="-","×","○"))</f>
        <v>×</v>
      </c>
      <c r="U25" s="62" t="e">
        <f>VLOOKUP($E25&amp;U$5,'②-2勤務時間数入力'!$D$7:$Q$106,$P25,FALSE)</f>
        <v>#N/A</v>
      </c>
      <c r="V25" s="62" t="str">
        <f>IF(ISERROR(U25),"×",IF(U25="-","×","○"))</f>
        <v>×</v>
      </c>
      <c r="W25" s="62" t="e">
        <f>VLOOKUP($E25&amp;W$5,'②-2勤務時間数入力'!$D$7:$Q$106,$P25,FALSE)</f>
        <v>#N/A</v>
      </c>
      <c r="X25" s="62" t="str">
        <f>IF(ISERROR(W25),"×",IF(W25="-","×","○"))</f>
        <v>×</v>
      </c>
    </row>
    <row r="26" spans="1:24" ht="13.5" hidden="1" customHeight="1">
      <c r="A26" s="854"/>
      <c r="B26" s="857"/>
      <c r="C26" s="860"/>
      <c r="D26" s="870"/>
      <c r="E26" s="138" t="str">
        <f t="shared" ref="E26:F26" si="35">IF(E20="","",E20)</f>
        <v/>
      </c>
      <c r="F26" s="138" t="str">
        <f t="shared" si="35"/>
        <v/>
      </c>
      <c r="G26" s="180" t="str">
        <f t="shared" si="28"/>
        <v/>
      </c>
      <c r="H26" s="181" t="str">
        <f t="shared" si="29"/>
        <v/>
      </c>
      <c r="I26" s="139" t="str">
        <f>IF($E26="","",IF($G26="正規職員","-",IF(AND(EXACT($C18,$C24),EXACT($E20,$E26),EXACT($G20,$G26)),I20,"賃金単価を記載")))</f>
        <v/>
      </c>
      <c r="J26" s="139" t="str">
        <f t="shared" si="32"/>
        <v/>
      </c>
      <c r="K26" s="139" t="str">
        <f>IF($E26="","",IF($G26="正規職員","-",IF(AND(EXACT($C18,$C24),EXACT($E20,$E26),EXACT($G20,$G26)),K20,"日額の交通費を記載（定期利用の場合は月額)")))</f>
        <v/>
      </c>
      <c r="L26" s="59" t="str">
        <f t="shared" si="30"/>
        <v/>
      </c>
      <c r="M26" s="59">
        <f>$M$6</f>
        <v>221916.66666666701</v>
      </c>
      <c r="N26" s="59">
        <f>IFERROR(IF($C24="-","",IF(E26="","",IF(G26="正規職員",M26-M25,MIN(MIN(L26:M26),M25-N25)))),0)</f>
        <v>0</v>
      </c>
      <c r="O26" s="61" t="str">
        <f>IF(E26="","",IF(COUNTIFS(E26,"*給食室*")=1,"○","エラー"))</f>
        <v/>
      </c>
      <c r="P26" s="62">
        <f t="shared" si="34"/>
        <v>6</v>
      </c>
      <c r="Q26" s="62" t="e">
        <f>VLOOKUP($E26&amp;Q$5,'②-2勤務時間数入力'!$D$7:$Q$106,$P26,FALSE)</f>
        <v>#N/A</v>
      </c>
      <c r="R26" s="62" t="str">
        <f>IF(ISERROR(Q26),"×",IF(Q26="-","×","○"))</f>
        <v>×</v>
      </c>
      <c r="S26" s="62" t="e">
        <f>VLOOKUP($E26&amp;S$5,'②-2勤務時間数入力'!$D$7:$Q$106,$P26,FALSE)</f>
        <v>#N/A</v>
      </c>
      <c r="T26" s="62" t="str">
        <f>IF(ISERROR(S26),"×",IF(S26="-","×","○"))</f>
        <v>×</v>
      </c>
      <c r="U26" s="62" t="e">
        <f>VLOOKUP($E26&amp;U$5,'②-2勤務時間数入力'!$D$7:$Q$106,$P26,FALSE)</f>
        <v>#N/A</v>
      </c>
      <c r="V26" s="62" t="str">
        <f>IF(ISERROR(U26),"×",IF(U26="-","×","○"))</f>
        <v>×</v>
      </c>
      <c r="W26" s="62" t="e">
        <f>VLOOKUP($E26&amp;W$5,'②-2勤務時間数入力'!$D$7:$Q$106,$P26,FALSE)</f>
        <v>#N/A</v>
      </c>
      <c r="X26" s="62" t="str">
        <f>IF(ISERROR(W26),"×",IF(W26="-","×","○"))</f>
        <v>×</v>
      </c>
    </row>
    <row r="27" spans="1:24" ht="13.5" hidden="1" customHeight="1">
      <c r="A27" s="854"/>
      <c r="B27" s="857"/>
      <c r="C27" s="860"/>
      <c r="D27" s="870"/>
      <c r="E27" s="138" t="str">
        <f t="shared" ref="E27:F27" si="36">IF(E21="","",E21)</f>
        <v/>
      </c>
      <c r="F27" s="138" t="str">
        <f t="shared" si="36"/>
        <v/>
      </c>
      <c r="G27" s="180" t="str">
        <f t="shared" si="28"/>
        <v/>
      </c>
      <c r="H27" s="181" t="str">
        <f t="shared" si="29"/>
        <v/>
      </c>
      <c r="I27" s="139" t="str">
        <f>IF($E27="","",IF($G27="正規職員","-",IF(AND(EXACT($C18,$C24),EXACT($E21,$E27),EXACT($G21,$G27)),I21,"賃金単価を記載")))</f>
        <v/>
      </c>
      <c r="J27" s="139" t="str">
        <f t="shared" si="32"/>
        <v/>
      </c>
      <c r="K27" s="139" t="str">
        <f>IF($E27="","",IF($G27="正規職員","-",IF(AND(EXACT($C18,$C24),EXACT($E21,$E27),EXACT($G21,$G27)),K21,"日額の交通費を記載（定期利用の場合は月額)")))</f>
        <v/>
      </c>
      <c r="L27" s="59" t="str">
        <f t="shared" si="30"/>
        <v/>
      </c>
      <c r="M27" s="59">
        <f>$M$6</f>
        <v>221916.66666666701</v>
      </c>
      <c r="N27" s="59">
        <f>IFERROR(IF($C24="-","",IF(E27="","",IF(G27="正規職員",M27-M26,MIN(MIN(L27:M27),M26-N26)))),0)</f>
        <v>0</v>
      </c>
      <c r="O27" s="61" t="str">
        <f t="shared" si="33"/>
        <v/>
      </c>
      <c r="P27" s="62">
        <f t="shared" si="34"/>
        <v>6</v>
      </c>
      <c r="Q27" s="62" t="e">
        <f>VLOOKUP($E27&amp;Q$5,'②-2勤務時間数入力'!$D$7:$Q$106,$P27,FALSE)</f>
        <v>#N/A</v>
      </c>
      <c r="R27" s="62" t="str">
        <f>IF(ISERROR(Q27),"×",IF(Q27="-","×","○"))</f>
        <v>×</v>
      </c>
      <c r="S27" s="62" t="e">
        <f>VLOOKUP($E27&amp;S$5,'②-2勤務時間数入力'!$D$7:$Q$106,$P27,FALSE)</f>
        <v>#N/A</v>
      </c>
      <c r="T27" s="62" t="str">
        <f>IF(ISERROR(S27),"×",IF(S27="-","×","○"))</f>
        <v>×</v>
      </c>
      <c r="U27" s="62" t="e">
        <f>VLOOKUP($E27&amp;U$5,'②-2勤務時間数入力'!$D$7:$Q$106,$P27,FALSE)</f>
        <v>#N/A</v>
      </c>
      <c r="V27" s="62" t="str">
        <f>IF(ISERROR(U27),"×",IF(U27="-","×","○"))</f>
        <v>×</v>
      </c>
      <c r="W27" s="62" t="e">
        <f>VLOOKUP($E27&amp;W$5,'②-2勤務時間数入力'!$D$7:$Q$106,$P27,FALSE)</f>
        <v>#N/A</v>
      </c>
      <c r="X27" s="62" t="str">
        <f>IF(ISERROR(W27),"×",IF(W27="-","×","○"))</f>
        <v>×</v>
      </c>
    </row>
    <row r="28" spans="1:24" ht="13.5" hidden="1" customHeight="1">
      <c r="A28" s="854"/>
      <c r="B28" s="857"/>
      <c r="C28" s="860"/>
      <c r="D28" s="870"/>
      <c r="E28" s="138" t="str">
        <f t="shared" ref="E28:F28" si="37">IF(E22="","",E22)</f>
        <v/>
      </c>
      <c r="F28" s="138" t="str">
        <f t="shared" si="37"/>
        <v/>
      </c>
      <c r="G28" s="180" t="str">
        <f t="shared" si="28"/>
        <v/>
      </c>
      <c r="H28" s="181" t="str">
        <f t="shared" si="29"/>
        <v/>
      </c>
      <c r="I28" s="139" t="str">
        <f>IF($E28="","",IF($G28="正規職員","-",IF(AND(EXACT($C18,$C24),EXACT($E22,$E28),EXACT($G22,$G28)),I22,"賃金単価を記載")))</f>
        <v/>
      </c>
      <c r="J28" s="139" t="str">
        <f t="shared" si="32"/>
        <v/>
      </c>
      <c r="K28" s="139" t="str">
        <f>IF($E28="","",IF($G28="正規職員","-",IF(AND(EXACT($C18,$C24),EXACT($E22,$E28),EXACT($G22,$G28)),K22,"日額の交通費を記載（定期利用の場合は月額)")))</f>
        <v/>
      </c>
      <c r="L28" s="59" t="str">
        <f t="shared" si="30"/>
        <v/>
      </c>
      <c r="M28" s="59">
        <f>$M$6</f>
        <v>221916.66666666701</v>
      </c>
      <c r="N28" s="59">
        <f>IFERROR(IF($C24="-","",IF(E28="","",IF(G28="正規職員",M28-M27,MIN(MIN(L28:M28),M27-N27)))),0)</f>
        <v>0</v>
      </c>
      <c r="O28" s="61" t="str">
        <f t="shared" si="33"/>
        <v/>
      </c>
      <c r="P28" s="62">
        <f t="shared" si="34"/>
        <v>6</v>
      </c>
      <c r="Q28" s="62" t="e">
        <f>VLOOKUP($E28&amp;Q$5,'②-2勤務時間数入力'!$D$7:$Q$106,$P28,FALSE)</f>
        <v>#N/A</v>
      </c>
      <c r="R28" s="62" t="str">
        <f>IF(ISERROR(Q28),"×",IF(Q28="-","×","○"))</f>
        <v>×</v>
      </c>
      <c r="S28" s="62" t="e">
        <f>VLOOKUP($E28&amp;S$5,'②-2勤務時間数入力'!$D$7:$Q$106,$P28,FALSE)</f>
        <v>#N/A</v>
      </c>
      <c r="T28" s="62" t="str">
        <f>IF(ISERROR(S28),"×",IF(S28="-","×","○"))</f>
        <v>×</v>
      </c>
      <c r="U28" s="62" t="e">
        <f>VLOOKUP($E28&amp;U$5,'②-2勤務時間数入力'!$D$7:$Q$106,$P28,FALSE)</f>
        <v>#N/A</v>
      </c>
      <c r="V28" s="62" t="str">
        <f>IF(ISERROR(U28),"×",IF(U28="-","×","○"))</f>
        <v>×</v>
      </c>
      <c r="W28" s="62" t="e">
        <f>VLOOKUP($E28&amp;W$5,'②-2勤務時間数入力'!$D$7:$Q$106,$P28,FALSE)</f>
        <v>#N/A</v>
      </c>
      <c r="X28" s="62" t="str">
        <f>IF(ISERROR(W28),"×",IF(W28="-","×","○"))</f>
        <v>×</v>
      </c>
    </row>
    <row r="29" spans="1:24" ht="13.5" hidden="1" customHeight="1">
      <c r="A29" s="855"/>
      <c r="B29" s="858"/>
      <c r="C29" s="861"/>
      <c r="D29" s="871"/>
      <c r="E29" s="1" t="s">
        <v>276</v>
      </c>
      <c r="F29" s="1"/>
      <c r="G29" s="180" t="s">
        <v>273</v>
      </c>
      <c r="H29" s="432"/>
      <c r="I29" s="60" t="s">
        <v>273</v>
      </c>
      <c r="J29" s="60"/>
      <c r="K29" s="60"/>
      <c r="L29" s="60" t="s">
        <v>273</v>
      </c>
      <c r="M29" s="60" t="s">
        <v>273</v>
      </c>
      <c r="N29" s="59">
        <f>MIN(IFERROR(IF(C24=1,IF(AND(B24="配置",OR(D24="調理師等",D24="栄養士")),MAX(SUM(N24:N28)-①基本情報!I42+10000,0),SUM(N24:N28)),0),0),$M$6)</f>
        <v>0</v>
      </c>
      <c r="O29" s="61" t="e">
        <f>IF(SUM(N24:N28)&gt;#REF!*$M$6,MIN($M$6,SUM(N24:N28)-ROUNDDOWN(#REF!*$M$6,0)),0)</f>
        <v>#REF!</v>
      </c>
      <c r="P29" s="62"/>
      <c r="Q29" s="62"/>
      <c r="R29" s="62"/>
      <c r="S29" s="62"/>
      <c r="T29" s="62"/>
      <c r="U29" s="62"/>
      <c r="V29" s="62"/>
      <c r="W29" s="62"/>
      <c r="X29" s="62"/>
    </row>
    <row r="30" spans="1:24" ht="13.5" hidden="1" customHeight="1">
      <c r="A30" s="843">
        <v>8</v>
      </c>
      <c r="B30" s="856" t="e">
        <f>IF(①基本情報!J40="有",①基本情報!J41,"無")</f>
        <v>#N/A</v>
      </c>
      <c r="C30" s="859" t="e">
        <f>IF(判定!AU13="NG","-",1)</f>
        <v>#DIV/0!</v>
      </c>
      <c r="D30" s="869" t="str">
        <f>IFERROR(INDEX($L$83:$M$88,MATCH(判定!AU13,$L$83:$L$88,0),2),"-")</f>
        <v>-</v>
      </c>
      <c r="E30" s="138" t="str">
        <f>IF(E24="","",E24)</f>
        <v/>
      </c>
      <c r="F30" s="138" t="str">
        <f>IF(F24="","",F24)</f>
        <v/>
      </c>
      <c r="G30" s="180" t="str">
        <f t="shared" ref="G30:G34" si="38">IF(E30="","",IF(R30="○",Q$5,IF(T30="○",S$5,IF(V30="○",U$5,IF(X30="○",W$5,"ERROR")))))</f>
        <v/>
      </c>
      <c r="H30" s="181" t="str">
        <f t="shared" ref="H30:H34" si="39">IF(E30="","",IF(R30="○",Q30,IF(T30="○",S30,IF(V30="○",U30,IF(X30="○",W30,"ERROR")))))</f>
        <v/>
      </c>
      <c r="I30" s="139" t="str">
        <f>IF($E30="","",IF($G30="正規職員","-",IF(AND(EXACT($C24,$C30),EXACT($E24,$E30),EXACT($G24,$G30)),I24,"賃金単価を記載")))</f>
        <v/>
      </c>
      <c r="J30" s="139" t="str">
        <f>IF($E30="","",IF($G30="正規職員","-","勤務日数を記載（定期利用の場合、1と記載)"))</f>
        <v/>
      </c>
      <c r="K30" s="139" t="str">
        <f>IF($E30="","",IF($G30="正規職員","-",IF(AND(EXACT($C24,$C30),EXACT($E24,$E30),EXACT($G24,$G30)),K24,"日額の交通費を記載（定期利用の場合は月額)")))</f>
        <v/>
      </c>
      <c r="L30" s="59" t="str">
        <f t="shared" ref="L30:L34" si="40">IF($E30="","",IF($G30="正規職員","-",(H30*I30+J30*K30)))</f>
        <v/>
      </c>
      <c r="M30" s="59">
        <f>$M$6</f>
        <v>221916.66666666701</v>
      </c>
      <c r="N30" s="59">
        <f>IFERROR(IF($C30="-","",IF(E30="",0,IF(G30="正規職員",M30,MIN(L30:M30)))),0)</f>
        <v>0</v>
      </c>
      <c r="O30" s="61" t="str">
        <f>IF(E30="","",IF(COUNTIFS(E30,"*給食室*")=1,"○","エラー"))</f>
        <v/>
      </c>
      <c r="P30" s="62">
        <v>7</v>
      </c>
      <c r="Q30" s="62" t="e">
        <f>VLOOKUP($E30&amp;Q$5,'②-2勤務時間数入力'!$D$7:$Q$106,$P30,FALSE)</f>
        <v>#N/A</v>
      </c>
      <c r="R30" s="62" t="str">
        <f>IF(ISERROR(Q30),"×",IF(Q30="-","×","○"))</f>
        <v>×</v>
      </c>
      <c r="S30" s="62" t="e">
        <f>VLOOKUP($E30&amp;S$5,'②-2勤務時間数入力'!$D$7:$Q$106,$P30,FALSE)</f>
        <v>#N/A</v>
      </c>
      <c r="T30" s="62" t="str">
        <f>IF(ISERROR(S30),"×",IF(S30="-","×","○"))</f>
        <v>×</v>
      </c>
      <c r="U30" s="62" t="e">
        <f>VLOOKUP($E30&amp;U$5,'②-2勤務時間数入力'!$D$7:$Q$106,$P30,FALSE)</f>
        <v>#N/A</v>
      </c>
      <c r="V30" s="62" t="str">
        <f>IF(ISERROR(U30),"×",IF(U30="-","×","○"))</f>
        <v>×</v>
      </c>
      <c r="W30" s="62" t="e">
        <f>VLOOKUP($E30&amp;W$5,'②-2勤務時間数入力'!$D$7:$Q$106,$P30,FALSE)</f>
        <v>#N/A</v>
      </c>
      <c r="X30" s="62" t="str">
        <f>IF(ISERROR(W30),"×",IF(W30="-","×","○"))</f>
        <v>×</v>
      </c>
    </row>
    <row r="31" spans="1:24" ht="13.5" hidden="1" customHeight="1">
      <c r="A31" s="854"/>
      <c r="B31" s="857"/>
      <c r="C31" s="860"/>
      <c r="D31" s="870"/>
      <c r="E31" s="138" t="str">
        <f t="shared" ref="E31:F31" si="41">IF(E25="","",E25)</f>
        <v/>
      </c>
      <c r="F31" s="138" t="str">
        <f t="shared" si="41"/>
        <v/>
      </c>
      <c r="G31" s="180" t="str">
        <f t="shared" si="38"/>
        <v/>
      </c>
      <c r="H31" s="181" t="str">
        <f t="shared" si="39"/>
        <v/>
      </c>
      <c r="I31" s="139" t="str">
        <f>IF($E31="","",IF($G31="正規職員","-",IF(AND(EXACT($C24,$C30),EXACT($E25,$E31),EXACT($G25,$G31)),I25,"賃金単価を記載")))</f>
        <v/>
      </c>
      <c r="J31" s="139" t="str">
        <f t="shared" ref="J31:J34" si="42">IF($E31="","",IF($G31="正規職員","-","勤務日数を記載（定期利用の場合、1と記載)"))</f>
        <v/>
      </c>
      <c r="K31" s="139" t="str">
        <f>IF($E31="","",IF($G31="正規職員","-",IF(AND(EXACT($C24,$C30),EXACT($E25,$E31),EXACT($G25,$G31)),K25,"日額の交通費を記載（定期利用の場合は月額)")))</f>
        <v/>
      </c>
      <c r="L31" s="59" t="str">
        <f t="shared" si="40"/>
        <v/>
      </c>
      <c r="M31" s="59">
        <f>$M$6</f>
        <v>221916.66666666701</v>
      </c>
      <c r="N31" s="59">
        <f>IFERROR(IF($C30="-","",IF(E31="","",IF(G31="正規職員",M31-M30,MIN(MIN(L31:M31),M30-N30)))),0)</f>
        <v>0</v>
      </c>
      <c r="O31" s="61" t="str">
        <f t="shared" ref="O31:O34" si="43">IF(E31="","",IF(COUNTIFS(E31,"*給食室*")=1,"○","エラー"))</f>
        <v/>
      </c>
      <c r="P31" s="62">
        <f t="shared" ref="P31:P34" si="44">P30</f>
        <v>7</v>
      </c>
      <c r="Q31" s="62" t="e">
        <f>VLOOKUP($E31&amp;Q$5,'②-2勤務時間数入力'!$D$7:$Q$106,$P31,FALSE)</f>
        <v>#N/A</v>
      </c>
      <c r="R31" s="62" t="str">
        <f>IF(ISERROR(Q31),"×",IF(Q31="-","×","○"))</f>
        <v>×</v>
      </c>
      <c r="S31" s="62" t="e">
        <f>VLOOKUP($E31&amp;S$5,'②-2勤務時間数入力'!$D$7:$Q$106,$P31,FALSE)</f>
        <v>#N/A</v>
      </c>
      <c r="T31" s="62" t="str">
        <f>IF(ISERROR(S31),"×",IF(S31="-","×","○"))</f>
        <v>×</v>
      </c>
      <c r="U31" s="62" t="e">
        <f>VLOOKUP($E31&amp;U$5,'②-2勤務時間数入力'!$D$7:$Q$106,$P31,FALSE)</f>
        <v>#N/A</v>
      </c>
      <c r="V31" s="62" t="str">
        <f>IF(ISERROR(U31),"×",IF(U31="-","×","○"))</f>
        <v>×</v>
      </c>
      <c r="W31" s="62" t="e">
        <f>VLOOKUP($E31&amp;W$5,'②-2勤務時間数入力'!$D$7:$Q$106,$P31,FALSE)</f>
        <v>#N/A</v>
      </c>
      <c r="X31" s="62" t="str">
        <f>IF(ISERROR(W31),"×",IF(W31="-","×","○"))</f>
        <v>×</v>
      </c>
    </row>
    <row r="32" spans="1:24" ht="13.5" hidden="1" customHeight="1">
      <c r="A32" s="854"/>
      <c r="B32" s="857"/>
      <c r="C32" s="860"/>
      <c r="D32" s="870"/>
      <c r="E32" s="138" t="str">
        <f t="shared" ref="E32:F32" si="45">IF(E26="","",E26)</f>
        <v/>
      </c>
      <c r="F32" s="138" t="str">
        <f t="shared" si="45"/>
        <v/>
      </c>
      <c r="G32" s="180" t="str">
        <f t="shared" si="38"/>
        <v/>
      </c>
      <c r="H32" s="181" t="str">
        <f t="shared" si="39"/>
        <v/>
      </c>
      <c r="I32" s="139" t="str">
        <f>IF($E32="","",IF($G32="正規職員","-",IF(AND(EXACT($C24,$C30),EXACT($E26,$E32),EXACT($G26,$G32)),I26,"賃金単価を記載")))</f>
        <v/>
      </c>
      <c r="J32" s="139" t="str">
        <f t="shared" si="42"/>
        <v/>
      </c>
      <c r="K32" s="139" t="str">
        <f>IF($E32="","",IF($G32="正規職員","-",IF(AND(EXACT($C24,$C30),EXACT($E26,$E32),EXACT($G26,$G32)),K26,"日額の交通費を記載（定期利用の場合は月額)")))</f>
        <v/>
      </c>
      <c r="L32" s="59" t="str">
        <f t="shared" si="40"/>
        <v/>
      </c>
      <c r="M32" s="59">
        <f>$M$6</f>
        <v>221916.66666666701</v>
      </c>
      <c r="N32" s="59">
        <f>IFERROR(IF($C30="-","",IF(E32="","",IF(G32="正規職員",M32-M31,MIN(MIN(L32:M32),M31-N31)))),0)</f>
        <v>0</v>
      </c>
      <c r="O32" s="61" t="str">
        <f t="shared" si="43"/>
        <v/>
      </c>
      <c r="P32" s="62">
        <f t="shared" si="44"/>
        <v>7</v>
      </c>
      <c r="Q32" s="62" t="e">
        <f>VLOOKUP($E32&amp;Q$5,'②-2勤務時間数入力'!$D$7:$Q$106,$P32,FALSE)</f>
        <v>#N/A</v>
      </c>
      <c r="R32" s="62" t="str">
        <f>IF(ISERROR(Q32),"×",IF(Q32="-","×","○"))</f>
        <v>×</v>
      </c>
      <c r="S32" s="62" t="e">
        <f>VLOOKUP($E32&amp;S$5,'②-2勤務時間数入力'!$D$7:$Q$106,$P32,FALSE)</f>
        <v>#N/A</v>
      </c>
      <c r="T32" s="62" t="str">
        <f>IF(ISERROR(S32),"×",IF(S32="-","×","○"))</f>
        <v>×</v>
      </c>
      <c r="U32" s="62" t="e">
        <f>VLOOKUP($E32&amp;U$5,'②-2勤務時間数入力'!$D$7:$Q$106,$P32,FALSE)</f>
        <v>#N/A</v>
      </c>
      <c r="V32" s="62" t="str">
        <f>IF(ISERROR(U32),"×",IF(U32="-","×","○"))</f>
        <v>×</v>
      </c>
      <c r="W32" s="62" t="e">
        <f>VLOOKUP($E32&amp;W$5,'②-2勤務時間数入力'!$D$7:$Q$106,$P32,FALSE)</f>
        <v>#N/A</v>
      </c>
      <c r="X32" s="62" t="str">
        <f>IF(ISERROR(W32),"×",IF(W32="-","×","○"))</f>
        <v>×</v>
      </c>
    </row>
    <row r="33" spans="1:24" ht="13.5" hidden="1" customHeight="1">
      <c r="A33" s="854"/>
      <c r="B33" s="857"/>
      <c r="C33" s="860"/>
      <c r="D33" s="870"/>
      <c r="E33" s="138" t="str">
        <f t="shared" ref="E33:F33" si="46">IF(E27="","",E27)</f>
        <v/>
      </c>
      <c r="F33" s="138" t="str">
        <f t="shared" si="46"/>
        <v/>
      </c>
      <c r="G33" s="180" t="str">
        <f t="shared" si="38"/>
        <v/>
      </c>
      <c r="H33" s="181" t="str">
        <f t="shared" si="39"/>
        <v/>
      </c>
      <c r="I33" s="139" t="str">
        <f>IF($E33="","",IF($G33="正規職員","-",IF(AND(EXACT($C24,$C30),EXACT($E27,$E33),EXACT($G27,$G33)),I27,"賃金単価を記載")))</f>
        <v/>
      </c>
      <c r="J33" s="139" t="str">
        <f t="shared" si="42"/>
        <v/>
      </c>
      <c r="K33" s="139" t="str">
        <f>IF($E33="","",IF($G33="正規職員","-",IF(AND(EXACT($C24,$C30),EXACT($E27,$E33),EXACT($G27,$G33)),K27,"日額の交通費を記載（定期利用の場合は月額)")))</f>
        <v/>
      </c>
      <c r="L33" s="59" t="str">
        <f t="shared" si="40"/>
        <v/>
      </c>
      <c r="M33" s="59">
        <f>$M$6</f>
        <v>221916.66666666701</v>
      </c>
      <c r="N33" s="59">
        <f>IFERROR(IF($C30="-","",IF(E33="","",IF(G33="正規職員",M33-M32,MIN(MIN(L33:M33),M32-N32)))),0)</f>
        <v>0</v>
      </c>
      <c r="O33" s="61" t="str">
        <f t="shared" si="43"/>
        <v/>
      </c>
      <c r="P33" s="62">
        <f t="shared" si="44"/>
        <v>7</v>
      </c>
      <c r="Q33" s="62" t="e">
        <f>VLOOKUP($E33&amp;Q$5,'②-2勤務時間数入力'!$D$7:$Q$106,$P33,FALSE)</f>
        <v>#N/A</v>
      </c>
      <c r="R33" s="62" t="str">
        <f>IF(ISERROR(Q33),"×",IF(Q33="-","×","○"))</f>
        <v>×</v>
      </c>
      <c r="S33" s="62" t="e">
        <f>VLOOKUP($E33&amp;S$5,'②-2勤務時間数入力'!$D$7:$Q$106,$P33,FALSE)</f>
        <v>#N/A</v>
      </c>
      <c r="T33" s="62" t="str">
        <f>IF(ISERROR(S33),"×",IF(S33="-","×","○"))</f>
        <v>×</v>
      </c>
      <c r="U33" s="62" t="e">
        <f>VLOOKUP($E33&amp;U$5,'②-2勤務時間数入力'!$D$7:$Q$106,$P33,FALSE)</f>
        <v>#N/A</v>
      </c>
      <c r="V33" s="62" t="str">
        <f>IF(ISERROR(U33),"×",IF(U33="-","×","○"))</f>
        <v>×</v>
      </c>
      <c r="W33" s="62" t="e">
        <f>VLOOKUP($E33&amp;W$5,'②-2勤務時間数入力'!$D$7:$Q$106,$P33,FALSE)</f>
        <v>#N/A</v>
      </c>
      <c r="X33" s="62" t="str">
        <f>IF(ISERROR(W33),"×",IF(W33="-","×","○"))</f>
        <v>×</v>
      </c>
    </row>
    <row r="34" spans="1:24" ht="13.5" hidden="1" customHeight="1">
      <c r="A34" s="854"/>
      <c r="B34" s="857"/>
      <c r="C34" s="860"/>
      <c r="D34" s="870"/>
      <c r="E34" s="138" t="str">
        <f t="shared" ref="E34:F34" si="47">IF(E28="","",E28)</f>
        <v/>
      </c>
      <c r="F34" s="138" t="str">
        <f t="shared" si="47"/>
        <v/>
      </c>
      <c r="G34" s="180" t="str">
        <f t="shared" si="38"/>
        <v/>
      </c>
      <c r="H34" s="181" t="str">
        <f t="shared" si="39"/>
        <v/>
      </c>
      <c r="I34" s="139" t="str">
        <f>IF($E34="","",IF($G34="正規職員","-",IF(AND(EXACT($C24,$C30),EXACT($E28,$E34),EXACT($G28,$G34)),I28,"賃金単価を記載")))</f>
        <v/>
      </c>
      <c r="J34" s="139" t="str">
        <f t="shared" si="42"/>
        <v/>
      </c>
      <c r="K34" s="139" t="str">
        <f>IF($E34="","",IF($G34="正規職員","-",IF(AND(EXACT($C24,$C30),EXACT($E28,$E34),EXACT($G28,$G34)),K28,"日額の交通費を記載（定期利用の場合は月額)")))</f>
        <v/>
      </c>
      <c r="L34" s="59" t="str">
        <f t="shared" si="40"/>
        <v/>
      </c>
      <c r="M34" s="59">
        <f>$M$6</f>
        <v>221916.66666666701</v>
      </c>
      <c r="N34" s="59">
        <f>IFERROR(IF($C30="-","",IF(E34="","",IF(G34="正規職員",M34-M33,MIN(MIN(L34:M34),M33-N33)))),0)</f>
        <v>0</v>
      </c>
      <c r="O34" s="61" t="str">
        <f t="shared" si="43"/>
        <v/>
      </c>
      <c r="P34" s="62">
        <f t="shared" si="44"/>
        <v>7</v>
      </c>
      <c r="Q34" s="62" t="e">
        <f>VLOOKUP($E34&amp;Q$5,'②-2勤務時間数入力'!$D$7:$Q$106,$P34,FALSE)</f>
        <v>#N/A</v>
      </c>
      <c r="R34" s="62" t="str">
        <f>IF(ISERROR(Q34),"×",IF(Q34="-","×","○"))</f>
        <v>×</v>
      </c>
      <c r="S34" s="62" t="e">
        <f>VLOOKUP($E34&amp;S$5,'②-2勤務時間数入力'!$D$7:$Q$106,$P34,FALSE)</f>
        <v>#N/A</v>
      </c>
      <c r="T34" s="62" t="str">
        <f>IF(ISERROR(S34),"×",IF(S34="-","×","○"))</f>
        <v>×</v>
      </c>
      <c r="U34" s="62" t="e">
        <f>VLOOKUP($E34&amp;U$5,'②-2勤務時間数入力'!$D$7:$Q$106,$P34,FALSE)</f>
        <v>#N/A</v>
      </c>
      <c r="V34" s="62" t="str">
        <f>IF(ISERROR(U34),"×",IF(U34="-","×","○"))</f>
        <v>×</v>
      </c>
      <c r="W34" s="62" t="e">
        <f>VLOOKUP($E34&amp;W$5,'②-2勤務時間数入力'!$D$7:$Q$106,$P34,FALSE)</f>
        <v>#N/A</v>
      </c>
      <c r="X34" s="62" t="str">
        <f>IF(ISERROR(W34),"×",IF(W34="-","×","○"))</f>
        <v>×</v>
      </c>
    </row>
    <row r="35" spans="1:24" ht="13.5" hidden="1" customHeight="1">
      <c r="A35" s="855"/>
      <c r="B35" s="858"/>
      <c r="C35" s="861"/>
      <c r="D35" s="871"/>
      <c r="E35" s="1" t="s">
        <v>277</v>
      </c>
      <c r="F35" s="1"/>
      <c r="G35" s="180" t="s">
        <v>273</v>
      </c>
      <c r="H35" s="432"/>
      <c r="I35" s="60" t="s">
        <v>273</v>
      </c>
      <c r="J35" s="60"/>
      <c r="K35" s="60"/>
      <c r="L35" s="60" t="s">
        <v>273</v>
      </c>
      <c r="M35" s="60" t="s">
        <v>273</v>
      </c>
      <c r="N35" s="59">
        <f>MIN(IFERROR(IF(C30=1,IF(AND(B30="配置",OR(D30="調理師等",D30="栄養士")),MAX(SUM(N30:N34)-①基本情報!J42+10000,0),SUM(N30:N34)),0),0),$M$6)</f>
        <v>0</v>
      </c>
      <c r="O35" s="61" t="e">
        <f>IF(SUM(N30:N34)&gt;#REF!*$M$6,MIN($M$6,SUM(N30:N34)-ROUNDDOWN(#REF!*$M$6,0)),0)</f>
        <v>#REF!</v>
      </c>
      <c r="P35" s="62"/>
      <c r="Q35" s="62"/>
      <c r="R35" s="62"/>
      <c r="S35" s="62"/>
      <c r="T35" s="62"/>
      <c r="U35" s="62"/>
      <c r="V35" s="62"/>
      <c r="W35" s="62"/>
      <c r="X35" s="62"/>
    </row>
    <row r="36" spans="1:24" ht="13.5" hidden="1" customHeight="1">
      <c r="A36" s="843">
        <v>9</v>
      </c>
      <c r="B36" s="856" t="e">
        <f>IF(①基本情報!K40="有",①基本情報!K41,"無")</f>
        <v>#N/A</v>
      </c>
      <c r="C36" s="859" t="e">
        <f>IF(判定!AU14="NG","-",1)</f>
        <v>#DIV/0!</v>
      </c>
      <c r="D36" s="869" t="str">
        <f>IFERROR(INDEX($L$83:$M$88,MATCH(判定!AU14,$L$83:$L$88,0),2),"-")</f>
        <v>-</v>
      </c>
      <c r="E36" s="138" t="str">
        <f>IF(E30="","",E30)</f>
        <v/>
      </c>
      <c r="F36" s="138" t="str">
        <f>IF(F30="","",F30)</f>
        <v/>
      </c>
      <c r="G36" s="180" t="str">
        <f t="shared" ref="G36:G40" si="48">IF(E36="","",IF(R36="○",Q$5,IF(T36="○",S$5,IF(V36="○",U$5,IF(X36="○",W$5,"ERROR")))))</f>
        <v/>
      </c>
      <c r="H36" s="181" t="str">
        <f t="shared" ref="H36:H40" si="49">IF(E36="","",IF(R36="○",Q36,IF(T36="○",S36,IF(V36="○",U36,IF(X36="○",W36,"ERROR")))))</f>
        <v/>
      </c>
      <c r="I36" s="139" t="str">
        <f>IF($E36="","",IF($G36="正規職員","-",IF(AND(EXACT($C30,$C36),EXACT($E30,$E36),EXACT($G30,$G36)),I30,"賃金単価を記載")))</f>
        <v/>
      </c>
      <c r="J36" s="139" t="str">
        <f>IF($E36="","",IF($G36="正規職員","-","勤務日数を記載（定期利用の場合、1と記載)"))</f>
        <v/>
      </c>
      <c r="K36" s="139" t="str">
        <f>IF($E36="","",IF($G36="正規職員","-",IF(AND(EXACT($C30,$C36),EXACT($E30,$E36),EXACT($G30,$G36)),K30,"日額の交通費を記載（定期利用の場合は月額)")))</f>
        <v/>
      </c>
      <c r="L36" s="59" t="str">
        <f t="shared" ref="L36:L40" si="50">IF($E36="","",IF($G36="正規職員","-",(H36*I36+J36*K36)))</f>
        <v/>
      </c>
      <c r="M36" s="59">
        <f>$M$6</f>
        <v>221916.66666666701</v>
      </c>
      <c r="N36" s="59">
        <f>IFERROR(IF($C36="-","",IF(E36="",0,IF(G36="正規職員",M36,MIN(L36:M36)))),0)</f>
        <v>0</v>
      </c>
      <c r="O36" s="61" t="str">
        <f>IF(E36="","",IF(COUNTIFS(E36,"*給食室*")=1,"○","エラー"))</f>
        <v/>
      </c>
      <c r="P36" s="62">
        <v>8</v>
      </c>
      <c r="Q36" s="62" t="e">
        <f>VLOOKUP($E36&amp;Q$5,'②-2勤務時間数入力'!$D$7:$Q$106,$P36,FALSE)</f>
        <v>#N/A</v>
      </c>
      <c r="R36" s="62" t="str">
        <f>IF(ISERROR(Q36),"×",IF(Q36="-","×","○"))</f>
        <v>×</v>
      </c>
      <c r="S36" s="62" t="e">
        <f>VLOOKUP($E36&amp;S$5,'②-2勤務時間数入力'!$D$7:$Q$106,$P36,FALSE)</f>
        <v>#N/A</v>
      </c>
      <c r="T36" s="62" t="str">
        <f>IF(ISERROR(S36),"×",IF(S36="-","×","○"))</f>
        <v>×</v>
      </c>
      <c r="U36" s="62" t="e">
        <f>VLOOKUP($E36&amp;U$5,'②-2勤務時間数入力'!$D$7:$Q$106,$P36,FALSE)</f>
        <v>#N/A</v>
      </c>
      <c r="V36" s="62" t="str">
        <f>IF(ISERROR(U36),"×",IF(U36="-","×","○"))</f>
        <v>×</v>
      </c>
      <c r="W36" s="62" t="e">
        <f>VLOOKUP($E36&amp;W$5,'②-2勤務時間数入力'!$D$7:$Q$106,$P36,FALSE)</f>
        <v>#N/A</v>
      </c>
      <c r="X36" s="62" t="str">
        <f>IF(ISERROR(W36),"×",IF(W36="-","×","○"))</f>
        <v>×</v>
      </c>
    </row>
    <row r="37" spans="1:24" ht="13.5" hidden="1" customHeight="1">
      <c r="A37" s="854"/>
      <c r="B37" s="857"/>
      <c r="C37" s="860"/>
      <c r="D37" s="870"/>
      <c r="E37" s="138" t="str">
        <f t="shared" ref="E37:F37" si="51">IF(E31="","",E31)</f>
        <v/>
      </c>
      <c r="F37" s="138" t="str">
        <f t="shared" si="51"/>
        <v/>
      </c>
      <c r="G37" s="180" t="str">
        <f t="shared" si="48"/>
        <v/>
      </c>
      <c r="H37" s="181" t="str">
        <f t="shared" si="49"/>
        <v/>
      </c>
      <c r="I37" s="139" t="str">
        <f>IF($E37="","",IF($G37="正規職員","-",IF(AND(EXACT($C30,$C36),EXACT($E31,$E37),EXACT($G31,$G37)),I31,"賃金単価を記載")))</f>
        <v/>
      </c>
      <c r="J37" s="139" t="str">
        <f t="shared" ref="J37:J40" si="52">IF($E37="","",IF($G37="正規職員","-","勤務日数を記載（定期利用の場合、1と記載)"))</f>
        <v/>
      </c>
      <c r="K37" s="139" t="str">
        <f>IF($E37="","",IF($G37="正規職員","-",IF(AND(EXACT($C30,$C36),EXACT($E31,$E37),EXACT($G31,$G37)),K31,"日額の交通費を記載（定期利用の場合は月額)")))</f>
        <v/>
      </c>
      <c r="L37" s="59" t="str">
        <f t="shared" si="50"/>
        <v/>
      </c>
      <c r="M37" s="59">
        <f>$M$6</f>
        <v>221916.66666666701</v>
      </c>
      <c r="N37" s="59">
        <f>IFERROR(IF($C36="-","",IF(E37="","",IF(G37="正規職員",M37-M36,MIN(MIN(L37:M37),M36-N36)))),0)</f>
        <v>0</v>
      </c>
      <c r="O37" s="61" t="str">
        <f t="shared" ref="O37:O40" si="53">IF(E37="","",IF(COUNTIFS(E37,"*給食室*")=1,"○","エラー"))</f>
        <v/>
      </c>
      <c r="P37" s="62">
        <f t="shared" ref="P37:P40" si="54">P36</f>
        <v>8</v>
      </c>
      <c r="Q37" s="62" t="e">
        <f>VLOOKUP($E37&amp;Q$5,'②-2勤務時間数入力'!$D$7:$Q$106,$P37,FALSE)</f>
        <v>#N/A</v>
      </c>
      <c r="R37" s="62" t="str">
        <f>IF(ISERROR(Q37),"×",IF(Q37="-","×","○"))</f>
        <v>×</v>
      </c>
      <c r="S37" s="62" t="e">
        <f>VLOOKUP($E37&amp;S$5,'②-2勤務時間数入力'!$D$7:$Q$106,$P37,FALSE)</f>
        <v>#N/A</v>
      </c>
      <c r="T37" s="62" t="str">
        <f>IF(ISERROR(S37),"×",IF(S37="-","×","○"))</f>
        <v>×</v>
      </c>
      <c r="U37" s="62" t="e">
        <f>VLOOKUP($E37&amp;U$5,'②-2勤務時間数入力'!$D$7:$Q$106,$P37,FALSE)</f>
        <v>#N/A</v>
      </c>
      <c r="V37" s="62" t="str">
        <f>IF(ISERROR(U37),"×",IF(U37="-","×","○"))</f>
        <v>×</v>
      </c>
      <c r="W37" s="62" t="e">
        <f>VLOOKUP($E37&amp;W$5,'②-2勤務時間数入力'!$D$7:$Q$106,$P37,FALSE)</f>
        <v>#N/A</v>
      </c>
      <c r="X37" s="62" t="str">
        <f>IF(ISERROR(W37),"×",IF(W37="-","×","○"))</f>
        <v>×</v>
      </c>
    </row>
    <row r="38" spans="1:24" ht="13.5" hidden="1" customHeight="1">
      <c r="A38" s="854"/>
      <c r="B38" s="857"/>
      <c r="C38" s="860"/>
      <c r="D38" s="870"/>
      <c r="E38" s="138" t="str">
        <f t="shared" ref="E38:F38" si="55">IF(E32="","",E32)</f>
        <v/>
      </c>
      <c r="F38" s="138" t="str">
        <f t="shared" si="55"/>
        <v/>
      </c>
      <c r="G38" s="180" t="str">
        <f t="shared" si="48"/>
        <v/>
      </c>
      <c r="H38" s="181" t="str">
        <f t="shared" si="49"/>
        <v/>
      </c>
      <c r="I38" s="139" t="str">
        <f>IF($E38="","",IF($G38="正規職員","-",IF(AND(EXACT($C30,$C36),EXACT($E32,$E38),EXACT($G32,$G38)),I32,"賃金単価を記載")))</f>
        <v/>
      </c>
      <c r="J38" s="139" t="str">
        <f t="shared" si="52"/>
        <v/>
      </c>
      <c r="K38" s="139" t="str">
        <f>IF($E38="","",IF($G38="正規職員","-",IF(AND(EXACT($C30,$C36),EXACT($E32,$E38),EXACT($G32,$G38)),K32,"日額の交通費を記載（定期利用の場合は月額)")))</f>
        <v/>
      </c>
      <c r="L38" s="59" t="str">
        <f t="shared" si="50"/>
        <v/>
      </c>
      <c r="M38" s="59">
        <f>$M$6</f>
        <v>221916.66666666701</v>
      </c>
      <c r="N38" s="59">
        <f>IFERROR(IF($C36="-","",IF(E38="","",IF(G38="正規職員",M38-M37,MIN(MIN(L38:M38),M37-N37)))),0)</f>
        <v>0</v>
      </c>
      <c r="O38" s="61" t="str">
        <f t="shared" si="53"/>
        <v/>
      </c>
      <c r="P38" s="62">
        <f t="shared" si="54"/>
        <v>8</v>
      </c>
      <c r="Q38" s="62" t="e">
        <f>VLOOKUP($E38&amp;Q$5,'②-2勤務時間数入力'!$D$7:$Q$106,$P38,FALSE)</f>
        <v>#N/A</v>
      </c>
      <c r="R38" s="62" t="str">
        <f>IF(ISERROR(Q38),"×",IF(Q38="-","×","○"))</f>
        <v>×</v>
      </c>
      <c r="S38" s="62" t="e">
        <f>VLOOKUP($E38&amp;S$5,'②-2勤務時間数入力'!$D$7:$Q$106,$P38,FALSE)</f>
        <v>#N/A</v>
      </c>
      <c r="T38" s="62" t="str">
        <f>IF(ISERROR(S38),"×",IF(S38="-","×","○"))</f>
        <v>×</v>
      </c>
      <c r="U38" s="62" t="e">
        <f>VLOOKUP($E38&amp;U$5,'②-2勤務時間数入力'!$D$7:$Q$106,$P38,FALSE)</f>
        <v>#N/A</v>
      </c>
      <c r="V38" s="62" t="str">
        <f>IF(ISERROR(U38),"×",IF(U38="-","×","○"))</f>
        <v>×</v>
      </c>
      <c r="W38" s="62" t="e">
        <f>VLOOKUP($E38&amp;W$5,'②-2勤務時間数入力'!$D$7:$Q$106,$P38,FALSE)</f>
        <v>#N/A</v>
      </c>
      <c r="X38" s="62" t="str">
        <f>IF(ISERROR(W38),"×",IF(W38="-","×","○"))</f>
        <v>×</v>
      </c>
    </row>
    <row r="39" spans="1:24" ht="13.5" hidden="1" customHeight="1">
      <c r="A39" s="854"/>
      <c r="B39" s="857"/>
      <c r="C39" s="860"/>
      <c r="D39" s="870"/>
      <c r="E39" s="138" t="str">
        <f t="shared" ref="E39:F39" si="56">IF(E33="","",E33)</f>
        <v/>
      </c>
      <c r="F39" s="138" t="str">
        <f t="shared" si="56"/>
        <v/>
      </c>
      <c r="G39" s="180" t="str">
        <f t="shared" si="48"/>
        <v/>
      </c>
      <c r="H39" s="181" t="str">
        <f t="shared" si="49"/>
        <v/>
      </c>
      <c r="I39" s="139" t="str">
        <f>IF($E39="","",IF($G39="正規職員","-",IF(AND(EXACT($C30,$C36),EXACT($E33,$E39),EXACT($G33,$G39)),I33,"賃金単価を記載")))</f>
        <v/>
      </c>
      <c r="J39" s="139" t="str">
        <f t="shared" si="52"/>
        <v/>
      </c>
      <c r="K39" s="139" t="str">
        <f>IF($E39="","",IF($G39="正規職員","-",IF(AND(EXACT($C30,$C36),EXACT($E33,$E39),EXACT($G33,$G39)),K33,"日額の交通費を記載（定期利用の場合は月額)")))</f>
        <v/>
      </c>
      <c r="L39" s="59" t="str">
        <f t="shared" si="50"/>
        <v/>
      </c>
      <c r="M39" s="59">
        <f>$M$6</f>
        <v>221916.66666666701</v>
      </c>
      <c r="N39" s="59">
        <f>IFERROR(IF($C36="-","",IF(E39="","",IF(G39="正規職員",M39-M38,MIN(MIN(L39:M39),M38-N38)))),0)</f>
        <v>0</v>
      </c>
      <c r="O39" s="61" t="str">
        <f t="shared" si="53"/>
        <v/>
      </c>
      <c r="P39" s="62">
        <f t="shared" si="54"/>
        <v>8</v>
      </c>
      <c r="Q39" s="62" t="e">
        <f>VLOOKUP($E39&amp;Q$5,'②-2勤務時間数入力'!$D$7:$Q$106,$P39,FALSE)</f>
        <v>#N/A</v>
      </c>
      <c r="R39" s="62" t="str">
        <f>IF(ISERROR(Q39),"×",IF(Q39="-","×","○"))</f>
        <v>×</v>
      </c>
      <c r="S39" s="62" t="e">
        <f>VLOOKUP($E39&amp;S$5,'②-2勤務時間数入力'!$D$7:$Q$106,$P39,FALSE)</f>
        <v>#N/A</v>
      </c>
      <c r="T39" s="62" t="str">
        <f>IF(ISERROR(S39),"×",IF(S39="-","×","○"))</f>
        <v>×</v>
      </c>
      <c r="U39" s="62" t="e">
        <f>VLOOKUP($E39&amp;U$5,'②-2勤務時間数入力'!$D$7:$Q$106,$P39,FALSE)</f>
        <v>#N/A</v>
      </c>
      <c r="V39" s="62" t="str">
        <f>IF(ISERROR(U39),"×",IF(U39="-","×","○"))</f>
        <v>×</v>
      </c>
      <c r="W39" s="62" t="e">
        <f>VLOOKUP($E39&amp;W$5,'②-2勤務時間数入力'!$D$7:$Q$106,$P39,FALSE)</f>
        <v>#N/A</v>
      </c>
      <c r="X39" s="62" t="str">
        <f>IF(ISERROR(W39),"×",IF(W39="-","×","○"))</f>
        <v>×</v>
      </c>
    </row>
    <row r="40" spans="1:24" ht="13.5" hidden="1" customHeight="1">
      <c r="A40" s="854"/>
      <c r="B40" s="857"/>
      <c r="C40" s="860"/>
      <c r="D40" s="870"/>
      <c r="E40" s="138" t="str">
        <f t="shared" ref="E40:F40" si="57">IF(E34="","",E34)</f>
        <v/>
      </c>
      <c r="F40" s="138" t="str">
        <f t="shared" si="57"/>
        <v/>
      </c>
      <c r="G40" s="180" t="str">
        <f t="shared" si="48"/>
        <v/>
      </c>
      <c r="H40" s="181" t="str">
        <f t="shared" si="49"/>
        <v/>
      </c>
      <c r="I40" s="139" t="str">
        <f>IF($E40="","",IF($G40="正規職員","-",IF(AND(EXACT($C30,$C36),EXACT($E34,$E40),EXACT($G34,$G40)),I34,"賃金単価を記載")))</f>
        <v/>
      </c>
      <c r="J40" s="139" t="str">
        <f t="shared" si="52"/>
        <v/>
      </c>
      <c r="K40" s="139" t="str">
        <f>IF($E40="","",IF($G40="正規職員","-",IF(AND(EXACT($C30,$C36),EXACT($E34,$E40),EXACT($G34,$G40)),K34,"日額の交通費を記載（定期利用の場合は月額)")))</f>
        <v/>
      </c>
      <c r="L40" s="59" t="str">
        <f t="shared" si="50"/>
        <v/>
      </c>
      <c r="M40" s="59">
        <f>$M$6</f>
        <v>221916.66666666701</v>
      </c>
      <c r="N40" s="59">
        <f>IFERROR(IF($C36="-","",IF(E40="","",IF(G40="正規職員",M40-M39,MIN(MIN(L40:M40),M39-N39)))),0)</f>
        <v>0</v>
      </c>
      <c r="O40" s="61" t="str">
        <f t="shared" si="53"/>
        <v/>
      </c>
      <c r="P40" s="62">
        <f t="shared" si="54"/>
        <v>8</v>
      </c>
      <c r="Q40" s="62" t="e">
        <f>VLOOKUP($E40&amp;Q$5,'②-2勤務時間数入力'!$D$7:$Q$106,$P40,FALSE)</f>
        <v>#N/A</v>
      </c>
      <c r="R40" s="62" t="str">
        <f>IF(ISERROR(Q40),"×",IF(Q40="-","×","○"))</f>
        <v>×</v>
      </c>
      <c r="S40" s="62" t="e">
        <f>VLOOKUP($E40&amp;S$5,'②-2勤務時間数入力'!$D$7:$Q$106,$P40,FALSE)</f>
        <v>#N/A</v>
      </c>
      <c r="T40" s="62" t="str">
        <f>IF(ISERROR(S40),"×",IF(S40="-","×","○"))</f>
        <v>×</v>
      </c>
      <c r="U40" s="62" t="e">
        <f>VLOOKUP($E40&amp;U$5,'②-2勤務時間数入力'!$D$7:$Q$106,$P40,FALSE)</f>
        <v>#N/A</v>
      </c>
      <c r="V40" s="62" t="str">
        <f>IF(ISERROR(U40),"×",IF(U40="-","×","○"))</f>
        <v>×</v>
      </c>
      <c r="W40" s="62" t="e">
        <f>VLOOKUP($E40&amp;W$5,'②-2勤務時間数入力'!$D$7:$Q$106,$P40,FALSE)</f>
        <v>#N/A</v>
      </c>
      <c r="X40" s="62" t="str">
        <f>IF(ISERROR(W40),"×",IF(W40="-","×","○"))</f>
        <v>×</v>
      </c>
    </row>
    <row r="41" spans="1:24" ht="13.5" hidden="1" customHeight="1">
      <c r="A41" s="855"/>
      <c r="B41" s="858"/>
      <c r="C41" s="861"/>
      <c r="D41" s="871"/>
      <c r="E41" s="1" t="s">
        <v>278</v>
      </c>
      <c r="F41" s="1"/>
      <c r="G41" s="180" t="s">
        <v>273</v>
      </c>
      <c r="H41" s="432"/>
      <c r="I41" s="60" t="s">
        <v>273</v>
      </c>
      <c r="J41" s="60"/>
      <c r="K41" s="60"/>
      <c r="L41" s="60" t="s">
        <v>273</v>
      </c>
      <c r="M41" s="60" t="s">
        <v>273</v>
      </c>
      <c r="N41" s="59">
        <f>MIN(IFERROR(IF(C36=1,IF(AND(B36="配置",OR(D36="調理師等",D36="栄養士")),MAX(SUM(N36:N40)-①基本情報!K42+10000,0),SUM(N36:N40)),0),0),$M$6)</f>
        <v>0</v>
      </c>
      <c r="O41" s="61" t="e">
        <f>IF(SUM(N36:N40)&gt;#REF!*$M$6,MIN($M$6,SUM(N36:N40)-ROUNDDOWN(#REF!*$M$6,0)),0)</f>
        <v>#REF!</v>
      </c>
      <c r="P41" s="62"/>
      <c r="Q41" s="62"/>
      <c r="R41" s="62"/>
      <c r="S41" s="62"/>
      <c r="T41" s="62"/>
      <c r="U41" s="62"/>
      <c r="V41" s="62"/>
      <c r="W41" s="62"/>
      <c r="X41" s="62"/>
    </row>
    <row r="42" spans="1:24" ht="13.5" hidden="1" customHeight="1">
      <c r="A42" s="843">
        <v>10</v>
      </c>
      <c r="B42" s="856" t="e">
        <f>IF(①基本情報!L40="有",①基本情報!L41,"無")</f>
        <v>#N/A</v>
      </c>
      <c r="C42" s="859" t="e">
        <f>IF(判定!AU15="NG","-",1)</f>
        <v>#DIV/0!</v>
      </c>
      <c r="D42" s="869" t="str">
        <f>IFERROR(INDEX($L$83:$M$88,MATCH(判定!AU15,$L$83:$L$88,0),2),"-")</f>
        <v>-</v>
      </c>
      <c r="E42" s="138" t="str">
        <f>IF(E36="","",E36)</f>
        <v/>
      </c>
      <c r="F42" s="138" t="str">
        <f>IF(F36="","",F36)</f>
        <v/>
      </c>
      <c r="G42" s="180" t="str">
        <f t="shared" ref="G42:G46" si="58">IF(E42="","",IF(R42="○",Q$5,IF(T42="○",S$5,IF(V42="○",U$5,IF(X42="○",W$5,"ERROR")))))</f>
        <v/>
      </c>
      <c r="H42" s="181" t="str">
        <f t="shared" ref="H42:H46" si="59">IF(E42="","",IF(R42="○",Q42,IF(T42="○",S42,IF(V42="○",U42,IF(X42="○",W42,"ERROR")))))</f>
        <v/>
      </c>
      <c r="I42" s="139" t="str">
        <f>IF($E42="","",IF($G42="正規職員","-",IF(AND(EXACT($C36,$C42),EXACT($E36,$E42),EXACT($G36,$G42)),I36,"賃金単価を記載")))</f>
        <v/>
      </c>
      <c r="J42" s="139" t="str">
        <f>IF($E42="","",IF($G42="正規職員","-","勤務日数を記載（定期利用の場合、1と記載)"))</f>
        <v/>
      </c>
      <c r="K42" s="139" t="str">
        <f>IF($E42="","",IF($G42="正規職員","-",IF(AND(EXACT($C36,$C42),EXACT($E36,$E42),EXACT($G36,$G42)),K36,"日額の交通費を記載（定期利用の場合は月額)")))</f>
        <v/>
      </c>
      <c r="L42" s="59" t="str">
        <f t="shared" ref="L42:L46" si="60">IF($E42="","",IF($G42="正規職員","-",(H42*I42+J42*K42)))</f>
        <v/>
      </c>
      <c r="M42" s="59">
        <f>$M$6</f>
        <v>221916.66666666701</v>
      </c>
      <c r="N42" s="59">
        <f>IFERROR(IF($C42="-","",IF(E42="",0,IF(G42="正規職員",M42,MIN(L42:M42)))),0)</f>
        <v>0</v>
      </c>
      <c r="O42" s="61" t="str">
        <f>IF(E42="","",IF(COUNTIFS(E42,"*給食室*")=1,"○","エラー"))</f>
        <v/>
      </c>
      <c r="P42" s="62">
        <v>9</v>
      </c>
      <c r="Q42" s="62" t="e">
        <f>VLOOKUP($E42&amp;Q$5,'②-2勤務時間数入力'!$D$7:$Q$106,$P42,FALSE)</f>
        <v>#N/A</v>
      </c>
      <c r="R42" s="62" t="str">
        <f>IF(ISERROR(Q42),"×",IF(Q42="-","×","○"))</f>
        <v>×</v>
      </c>
      <c r="S42" s="62" t="e">
        <f>VLOOKUP($E42&amp;S$5,'②-2勤務時間数入力'!$D$7:$Q$106,$P42,FALSE)</f>
        <v>#N/A</v>
      </c>
      <c r="T42" s="62" t="str">
        <f>IF(ISERROR(S42),"×",IF(S42="-","×","○"))</f>
        <v>×</v>
      </c>
      <c r="U42" s="62" t="e">
        <f>VLOOKUP($E42&amp;U$5,'②-2勤務時間数入力'!$D$7:$Q$106,$P42,FALSE)</f>
        <v>#N/A</v>
      </c>
      <c r="V42" s="62" t="str">
        <f>IF(ISERROR(U42),"×",IF(U42="-","×","○"))</f>
        <v>×</v>
      </c>
      <c r="W42" s="62" t="e">
        <f>VLOOKUP($E42&amp;W$5,'②-2勤務時間数入力'!$D$7:$Q$106,$P42,FALSE)</f>
        <v>#N/A</v>
      </c>
      <c r="X42" s="62" t="str">
        <f>IF(ISERROR(W42),"×",IF(W42="-","×","○"))</f>
        <v>×</v>
      </c>
    </row>
    <row r="43" spans="1:24" ht="13.5" hidden="1" customHeight="1">
      <c r="A43" s="854"/>
      <c r="B43" s="857"/>
      <c r="C43" s="860"/>
      <c r="D43" s="870"/>
      <c r="E43" s="138" t="str">
        <f t="shared" ref="E43:F43" si="61">IF(E37="","",E37)</f>
        <v/>
      </c>
      <c r="F43" s="138" t="str">
        <f t="shared" si="61"/>
        <v/>
      </c>
      <c r="G43" s="180" t="str">
        <f t="shared" si="58"/>
        <v/>
      </c>
      <c r="H43" s="181" t="str">
        <f t="shared" si="59"/>
        <v/>
      </c>
      <c r="I43" s="139" t="str">
        <f>IF($E43="","",IF($G43="正規職員","-",IF(AND(EXACT($C36,$C42),EXACT($E37,$E43),EXACT($G37,$G43)),I37,"賃金単価を記載")))</f>
        <v/>
      </c>
      <c r="J43" s="139" t="str">
        <f t="shared" ref="J43:J46" si="62">IF($E43="","",IF($G43="正規職員","-","勤務日数を記載（定期利用の場合、1と記載)"))</f>
        <v/>
      </c>
      <c r="K43" s="139" t="str">
        <f>IF($E43="","",IF($G43="正規職員","-",IF(AND(EXACT($C36,$C42),EXACT($E37,$E43),EXACT($G37,$G43)),K37,"日額の交通費を記載（定期利用の場合は月額)")))</f>
        <v/>
      </c>
      <c r="L43" s="59" t="str">
        <f t="shared" si="60"/>
        <v/>
      </c>
      <c r="M43" s="59">
        <f>$M$6</f>
        <v>221916.66666666701</v>
      </c>
      <c r="N43" s="59">
        <f>IFERROR(IF($C42="-","",IF(E43="","",IF(G43="正規職員",M43-M42,MIN(MIN(L43:M43),M42-N42)))),0)</f>
        <v>0</v>
      </c>
      <c r="O43" s="61" t="str">
        <f t="shared" ref="O43:O46" si="63">IF(E43="","",IF(COUNTIFS(E43,"*給食室*")=1,"○","エラー"))</f>
        <v/>
      </c>
      <c r="P43" s="62">
        <f t="shared" ref="P43:P46" si="64">P42</f>
        <v>9</v>
      </c>
      <c r="Q43" s="62" t="e">
        <f>VLOOKUP($E43&amp;Q$5,'②-2勤務時間数入力'!$D$7:$Q$106,$P43,FALSE)</f>
        <v>#N/A</v>
      </c>
      <c r="R43" s="62" t="str">
        <f>IF(ISERROR(Q43),"×",IF(Q43="-","×","○"))</f>
        <v>×</v>
      </c>
      <c r="S43" s="62" t="e">
        <f>VLOOKUP($E43&amp;S$5,'②-2勤務時間数入力'!$D$7:$Q$106,$P43,FALSE)</f>
        <v>#N/A</v>
      </c>
      <c r="T43" s="62" t="str">
        <f>IF(ISERROR(S43),"×",IF(S43="-","×","○"))</f>
        <v>×</v>
      </c>
      <c r="U43" s="62" t="e">
        <f>VLOOKUP($E43&amp;U$5,'②-2勤務時間数入力'!$D$7:$Q$106,$P43,FALSE)</f>
        <v>#N/A</v>
      </c>
      <c r="V43" s="62" t="str">
        <f>IF(ISERROR(U43),"×",IF(U43="-","×","○"))</f>
        <v>×</v>
      </c>
      <c r="W43" s="62" t="e">
        <f>VLOOKUP($E43&amp;W$5,'②-2勤務時間数入力'!$D$7:$Q$106,$P43,FALSE)</f>
        <v>#N/A</v>
      </c>
      <c r="X43" s="62" t="str">
        <f>IF(ISERROR(W43),"×",IF(W43="-","×","○"))</f>
        <v>×</v>
      </c>
    </row>
    <row r="44" spans="1:24" ht="13.5" hidden="1" customHeight="1">
      <c r="A44" s="854"/>
      <c r="B44" s="857"/>
      <c r="C44" s="860"/>
      <c r="D44" s="870"/>
      <c r="E44" s="138" t="str">
        <f t="shared" ref="E44:F44" si="65">IF(E38="","",E38)</f>
        <v/>
      </c>
      <c r="F44" s="138" t="str">
        <f t="shared" si="65"/>
        <v/>
      </c>
      <c r="G44" s="180" t="str">
        <f t="shared" si="58"/>
        <v/>
      </c>
      <c r="H44" s="181" t="str">
        <f t="shared" si="59"/>
        <v/>
      </c>
      <c r="I44" s="139" t="str">
        <f>IF($E44="","",IF($G44="正規職員","-",IF(AND(EXACT($C36,$C42),EXACT($E38,$E44),EXACT($G38,$G44)),I38,"賃金単価を記載")))</f>
        <v/>
      </c>
      <c r="J44" s="139" t="str">
        <f t="shared" si="62"/>
        <v/>
      </c>
      <c r="K44" s="139" t="str">
        <f>IF($E44="","",IF($G44="正規職員","-",IF(AND(EXACT($C36,$C42),EXACT($E38,$E44),EXACT($G38,$G44)),K38,"日額の交通費を記載（定期利用の場合は月額)")))</f>
        <v/>
      </c>
      <c r="L44" s="59" t="str">
        <f t="shared" si="60"/>
        <v/>
      </c>
      <c r="M44" s="59">
        <f>$M$6</f>
        <v>221916.66666666701</v>
      </c>
      <c r="N44" s="59">
        <f>IFERROR(IF($C42="-","",IF(E44="","",IF(G44="正規職員",M44-M43,MIN(MIN(L44:M44),M43-N43)))),0)</f>
        <v>0</v>
      </c>
      <c r="O44" s="61" t="str">
        <f t="shared" si="63"/>
        <v/>
      </c>
      <c r="P44" s="62">
        <f t="shared" si="64"/>
        <v>9</v>
      </c>
      <c r="Q44" s="62" t="e">
        <f>VLOOKUP($E44&amp;Q$5,'②-2勤務時間数入力'!$D$7:$Q$106,$P44,FALSE)</f>
        <v>#N/A</v>
      </c>
      <c r="R44" s="62" t="str">
        <f>IF(ISERROR(Q44),"×",IF(Q44="-","×","○"))</f>
        <v>×</v>
      </c>
      <c r="S44" s="62" t="e">
        <f>VLOOKUP($E44&amp;S$5,'②-2勤務時間数入力'!$D$7:$Q$106,$P44,FALSE)</f>
        <v>#N/A</v>
      </c>
      <c r="T44" s="62" t="str">
        <f>IF(ISERROR(S44),"×",IF(S44="-","×","○"))</f>
        <v>×</v>
      </c>
      <c r="U44" s="62" t="e">
        <f>VLOOKUP($E44&amp;U$5,'②-2勤務時間数入力'!$D$7:$Q$106,$P44,FALSE)</f>
        <v>#N/A</v>
      </c>
      <c r="V44" s="62" t="str">
        <f>IF(ISERROR(U44),"×",IF(U44="-","×","○"))</f>
        <v>×</v>
      </c>
      <c r="W44" s="62" t="e">
        <f>VLOOKUP($E44&amp;W$5,'②-2勤務時間数入力'!$D$7:$Q$106,$P44,FALSE)</f>
        <v>#N/A</v>
      </c>
      <c r="X44" s="62" t="str">
        <f>IF(ISERROR(W44),"×",IF(W44="-","×","○"))</f>
        <v>×</v>
      </c>
    </row>
    <row r="45" spans="1:24" ht="13.5" hidden="1" customHeight="1">
      <c r="A45" s="854"/>
      <c r="B45" s="857"/>
      <c r="C45" s="860"/>
      <c r="D45" s="870"/>
      <c r="E45" s="138" t="str">
        <f t="shared" ref="E45:F45" si="66">IF(E39="","",E39)</f>
        <v/>
      </c>
      <c r="F45" s="138" t="str">
        <f t="shared" si="66"/>
        <v/>
      </c>
      <c r="G45" s="180" t="str">
        <f t="shared" si="58"/>
        <v/>
      </c>
      <c r="H45" s="181" t="str">
        <f t="shared" si="59"/>
        <v/>
      </c>
      <c r="I45" s="139" t="str">
        <f>IF($E45="","",IF($G45="正規職員","-",IF(AND(EXACT($C36,$C42),EXACT($E39,$E45),EXACT($G39,$G45)),I39,"賃金単価を記載")))</f>
        <v/>
      </c>
      <c r="J45" s="139" t="str">
        <f t="shared" si="62"/>
        <v/>
      </c>
      <c r="K45" s="139" t="str">
        <f>IF($E45="","",IF($G45="正規職員","-",IF(AND(EXACT($C36,$C42),EXACT($E39,$E45),EXACT($G39,$G45)),K39,"日額の交通費を記載（定期利用の場合は月額)")))</f>
        <v/>
      </c>
      <c r="L45" s="59" t="str">
        <f t="shared" si="60"/>
        <v/>
      </c>
      <c r="M45" s="59">
        <f>$M$6</f>
        <v>221916.66666666701</v>
      </c>
      <c r="N45" s="59">
        <f>IFERROR(IF($C42="-","",IF(E45="","",IF(G45="正規職員",M45-M44,MIN(MIN(L45:M45),M44-N44)))),0)</f>
        <v>0</v>
      </c>
      <c r="O45" s="61" t="str">
        <f t="shared" si="63"/>
        <v/>
      </c>
      <c r="P45" s="62">
        <f t="shared" si="64"/>
        <v>9</v>
      </c>
      <c r="Q45" s="62" t="e">
        <f>VLOOKUP($E45&amp;Q$5,'②-2勤務時間数入力'!$D$7:$Q$106,$P45,FALSE)</f>
        <v>#N/A</v>
      </c>
      <c r="R45" s="62" t="str">
        <f>IF(ISERROR(Q45),"×",IF(Q45="-","×","○"))</f>
        <v>×</v>
      </c>
      <c r="S45" s="62" t="e">
        <f>VLOOKUP($E45&amp;S$5,'②-2勤務時間数入力'!$D$7:$Q$106,$P45,FALSE)</f>
        <v>#N/A</v>
      </c>
      <c r="T45" s="62" t="str">
        <f>IF(ISERROR(S45),"×",IF(S45="-","×","○"))</f>
        <v>×</v>
      </c>
      <c r="U45" s="62" t="e">
        <f>VLOOKUP($E45&amp;U$5,'②-2勤務時間数入力'!$D$7:$Q$106,$P45,FALSE)</f>
        <v>#N/A</v>
      </c>
      <c r="V45" s="62" t="str">
        <f>IF(ISERROR(U45),"×",IF(U45="-","×","○"))</f>
        <v>×</v>
      </c>
      <c r="W45" s="62" t="e">
        <f>VLOOKUP($E45&amp;W$5,'②-2勤務時間数入力'!$D$7:$Q$106,$P45,FALSE)</f>
        <v>#N/A</v>
      </c>
      <c r="X45" s="62" t="str">
        <f>IF(ISERROR(W45),"×",IF(W45="-","×","○"))</f>
        <v>×</v>
      </c>
    </row>
    <row r="46" spans="1:24" ht="13.5" hidden="1" customHeight="1">
      <c r="A46" s="854"/>
      <c r="B46" s="857"/>
      <c r="C46" s="860"/>
      <c r="D46" s="870"/>
      <c r="E46" s="138" t="str">
        <f t="shared" ref="E46:F46" si="67">IF(E40="","",E40)</f>
        <v/>
      </c>
      <c r="F46" s="138" t="str">
        <f t="shared" si="67"/>
        <v/>
      </c>
      <c r="G46" s="180" t="str">
        <f t="shared" si="58"/>
        <v/>
      </c>
      <c r="H46" s="181" t="str">
        <f t="shared" si="59"/>
        <v/>
      </c>
      <c r="I46" s="139" t="str">
        <f>IF($E46="","",IF($G46="正規職員","-",IF(AND(EXACT($C36,$C42),EXACT($E40,$E46),EXACT($G40,$G46)),I40,"賃金単価を記載")))</f>
        <v/>
      </c>
      <c r="J46" s="139" t="str">
        <f t="shared" si="62"/>
        <v/>
      </c>
      <c r="K46" s="139" t="str">
        <f>IF($E46="","",IF($G46="正規職員","-",IF(AND(EXACT($C36,$C42),EXACT($E40,$E46),EXACT($G40,$G46)),K40,"日額の交通費を記載（定期利用の場合は月額)")))</f>
        <v/>
      </c>
      <c r="L46" s="59" t="str">
        <f t="shared" si="60"/>
        <v/>
      </c>
      <c r="M46" s="59">
        <f>$M$6</f>
        <v>221916.66666666701</v>
      </c>
      <c r="N46" s="59">
        <f>IFERROR(IF($C42="-","",IF(E46="","",IF(G46="正規職員",M46-M45,MIN(MIN(L46:M46),M45-N45)))),0)</f>
        <v>0</v>
      </c>
      <c r="O46" s="61" t="str">
        <f t="shared" si="63"/>
        <v/>
      </c>
      <c r="P46" s="62">
        <f t="shared" si="64"/>
        <v>9</v>
      </c>
      <c r="Q46" s="62" t="e">
        <f>VLOOKUP($E46&amp;Q$5,'②-2勤務時間数入力'!$D$7:$Q$106,$P46,FALSE)</f>
        <v>#N/A</v>
      </c>
      <c r="R46" s="62" t="str">
        <f>IF(ISERROR(Q46),"×",IF(Q46="-","×","○"))</f>
        <v>×</v>
      </c>
      <c r="S46" s="62" t="e">
        <f>VLOOKUP($E46&amp;S$5,'②-2勤務時間数入力'!$D$7:$Q$106,$P46,FALSE)</f>
        <v>#N/A</v>
      </c>
      <c r="T46" s="62" t="str">
        <f>IF(ISERROR(S46),"×",IF(S46="-","×","○"))</f>
        <v>×</v>
      </c>
      <c r="U46" s="62" t="e">
        <f>VLOOKUP($E46&amp;U$5,'②-2勤務時間数入力'!$D$7:$Q$106,$P46,FALSE)</f>
        <v>#N/A</v>
      </c>
      <c r="V46" s="62" t="str">
        <f>IF(ISERROR(U46),"×",IF(U46="-","×","○"))</f>
        <v>×</v>
      </c>
      <c r="W46" s="62" t="e">
        <f>VLOOKUP($E46&amp;W$5,'②-2勤務時間数入力'!$D$7:$Q$106,$P46,FALSE)</f>
        <v>#N/A</v>
      </c>
      <c r="X46" s="62" t="str">
        <f>IF(ISERROR(W46),"×",IF(W46="-","×","○"))</f>
        <v>×</v>
      </c>
    </row>
    <row r="47" spans="1:24" ht="13.5" hidden="1" customHeight="1">
      <c r="A47" s="855"/>
      <c r="B47" s="858"/>
      <c r="C47" s="861"/>
      <c r="D47" s="871"/>
      <c r="E47" s="1" t="s">
        <v>279</v>
      </c>
      <c r="F47" s="1"/>
      <c r="G47" s="180" t="s">
        <v>273</v>
      </c>
      <c r="H47" s="432"/>
      <c r="I47" s="60" t="s">
        <v>273</v>
      </c>
      <c r="J47" s="60"/>
      <c r="K47" s="60"/>
      <c r="L47" s="60" t="s">
        <v>273</v>
      </c>
      <c r="M47" s="60" t="s">
        <v>273</v>
      </c>
      <c r="N47" s="59">
        <f>MIN(IFERROR(IF(C42=1,IF(AND(B42="配置",OR(D42="調理師等",D42="栄養士")),MAX(SUM(N42:N46)-①基本情報!L42+10000,0),SUM(N42:N46)),0),0),$M$6)</f>
        <v>0</v>
      </c>
      <c r="O47" s="61" t="e">
        <f>IF(SUM(N42:N46)&gt;#REF!*$M$6,MIN($M$6,SUM(N42:N46)-ROUNDDOWN(#REF!*$M$6,0)),0)</f>
        <v>#REF!</v>
      </c>
      <c r="P47" s="62"/>
      <c r="Q47" s="62"/>
      <c r="R47" s="62"/>
      <c r="S47" s="62"/>
      <c r="T47" s="62"/>
      <c r="U47" s="62"/>
      <c r="V47" s="62"/>
      <c r="W47" s="62"/>
      <c r="X47" s="62"/>
    </row>
    <row r="48" spans="1:24" ht="13.5" hidden="1" customHeight="1">
      <c r="A48" s="843">
        <v>11</v>
      </c>
      <c r="B48" s="856" t="e">
        <f>IF(①基本情報!M40="有",①基本情報!M41,"無")</f>
        <v>#N/A</v>
      </c>
      <c r="C48" s="859" t="e">
        <f>IF(判定!AU16="NG","-",1)</f>
        <v>#DIV/0!</v>
      </c>
      <c r="D48" s="869" t="str">
        <f>IFERROR(INDEX($L$83:$M$88,MATCH(判定!AU16,$L$83:$L$88,0),2),"-")</f>
        <v>-</v>
      </c>
      <c r="E48" s="138" t="str">
        <f>IF(E42="","",E42)</f>
        <v/>
      </c>
      <c r="F48" s="138" t="str">
        <f>IF(F42="","",F42)</f>
        <v/>
      </c>
      <c r="G48" s="180" t="str">
        <f t="shared" ref="G48:G52" si="68">IF(E48="","",IF(R48="○",Q$5,IF(T48="○",S$5,IF(V48="○",U$5,IF(X48="○",W$5,"ERROR")))))</f>
        <v/>
      </c>
      <c r="H48" s="181" t="str">
        <f t="shared" ref="H48:H52" si="69">IF(E48="","",IF(R48="○",Q48,IF(T48="○",S48,IF(V48="○",U48,IF(X48="○",W48,"ERROR")))))</f>
        <v/>
      </c>
      <c r="I48" s="139" t="str">
        <f>IF($E48="","",IF($G48="正規職員","-",IF(AND(EXACT($C42,$C48),EXACT($E42,$E48),EXACT($G42,$G48)),I42,"賃金単価を記載")))</f>
        <v/>
      </c>
      <c r="J48" s="139" t="str">
        <f>IF($E48="","",IF($G48="正規職員","-","勤務日数を記載（定期利用の場合、1と記載)"))</f>
        <v/>
      </c>
      <c r="K48" s="139" t="str">
        <f>IF($E48="","",IF($G48="正規職員","-",IF(AND(EXACT($C42,$C48),EXACT($E42,$E48),EXACT($G42,$G48)),K42,"日額の交通費を記載（定期利用の場合は月額)")))</f>
        <v/>
      </c>
      <c r="L48" s="59" t="str">
        <f t="shared" ref="L48:L52" si="70">IF($E48="","",IF($G48="正規職員","-",(H48*I48+J48*K48)))</f>
        <v/>
      </c>
      <c r="M48" s="59">
        <f>$M$6</f>
        <v>221916.66666666701</v>
      </c>
      <c r="N48" s="59">
        <f>IFERROR(IF($C48="-","",IF(E48="",0,IF(G48="正規職員",M48,MIN(L48:M48)))),0)</f>
        <v>0</v>
      </c>
      <c r="O48" s="61" t="str">
        <f>IF(E48="","",IF(COUNTIFS(E48,"*給食室*")=1,"○","エラー"))</f>
        <v/>
      </c>
      <c r="P48" s="62">
        <v>10</v>
      </c>
      <c r="Q48" s="62" t="e">
        <f>VLOOKUP($E48&amp;Q$5,'②-2勤務時間数入力'!$D$7:$Q$106,$P48,FALSE)</f>
        <v>#N/A</v>
      </c>
      <c r="R48" s="62" t="str">
        <f>IF(ISERROR(Q48),"×",IF(Q48="-","×","○"))</f>
        <v>×</v>
      </c>
      <c r="S48" s="62" t="e">
        <f>VLOOKUP($E48&amp;S$5,'②-2勤務時間数入力'!$D$7:$Q$106,$P48,FALSE)</f>
        <v>#N/A</v>
      </c>
      <c r="T48" s="62" t="str">
        <f>IF(ISERROR(S48),"×",IF(S48="-","×","○"))</f>
        <v>×</v>
      </c>
      <c r="U48" s="62" t="e">
        <f>VLOOKUP($E48&amp;U$5,'②-2勤務時間数入力'!$D$7:$Q$106,$P48,FALSE)</f>
        <v>#N/A</v>
      </c>
      <c r="V48" s="62" t="str">
        <f>IF(ISERROR(U48),"×",IF(U48="-","×","○"))</f>
        <v>×</v>
      </c>
      <c r="W48" s="62" t="e">
        <f>VLOOKUP($E48&amp;W$5,'②-2勤務時間数入力'!$D$7:$Q$106,$P48,FALSE)</f>
        <v>#N/A</v>
      </c>
      <c r="X48" s="62" t="str">
        <f>IF(ISERROR(W48),"×",IF(W48="-","×","○"))</f>
        <v>×</v>
      </c>
    </row>
    <row r="49" spans="1:24" ht="13.5" hidden="1" customHeight="1">
      <c r="A49" s="854"/>
      <c r="B49" s="857"/>
      <c r="C49" s="860"/>
      <c r="D49" s="870"/>
      <c r="E49" s="138" t="str">
        <f t="shared" ref="E49:F49" si="71">IF(E43="","",E43)</f>
        <v/>
      </c>
      <c r="F49" s="138" t="str">
        <f t="shared" si="71"/>
        <v/>
      </c>
      <c r="G49" s="180" t="str">
        <f t="shared" si="68"/>
        <v/>
      </c>
      <c r="H49" s="181" t="str">
        <f t="shared" si="69"/>
        <v/>
      </c>
      <c r="I49" s="139" t="str">
        <f>IF($E49="","",IF($G49="正規職員","-",IF(AND(EXACT($C42,$C48),EXACT($E43,$E49),EXACT($G43,$G49)),I43,"賃金単価を記載")))</f>
        <v/>
      </c>
      <c r="J49" s="139" t="str">
        <f t="shared" ref="J49:J52" si="72">IF($E49="","",IF($G49="正規職員","-","勤務日数を記載（定期利用の場合、1と記載)"))</f>
        <v/>
      </c>
      <c r="K49" s="139" t="str">
        <f>IF($E49="","",IF($G49="正規職員","-",IF(AND(EXACT($C42,$C48),EXACT($E43,$E49),EXACT($G43,$G49)),K43,"日額の交通費を記載（定期利用の場合は月額)")))</f>
        <v/>
      </c>
      <c r="L49" s="59" t="str">
        <f t="shared" si="70"/>
        <v/>
      </c>
      <c r="M49" s="59">
        <f>$M$6</f>
        <v>221916.66666666701</v>
      </c>
      <c r="N49" s="59">
        <f>IFERROR(IF($C48="-","",IF(E49="","",IF(G49="正規職員",M49-M48,MIN(MIN(L49:M49),M48-N48)))),0)</f>
        <v>0</v>
      </c>
      <c r="O49" s="61" t="str">
        <f t="shared" ref="O49:O52" si="73">IF(E49="","",IF(COUNTIFS(E49,"*給食室*")=1,"○","エラー"))</f>
        <v/>
      </c>
      <c r="P49" s="62">
        <f t="shared" ref="P49:P52" si="74">P48</f>
        <v>10</v>
      </c>
      <c r="Q49" s="62" t="e">
        <f>VLOOKUP($E49&amp;Q$5,'②-2勤務時間数入力'!$D$7:$Q$106,$P49,FALSE)</f>
        <v>#N/A</v>
      </c>
      <c r="R49" s="62" t="str">
        <f>IF(ISERROR(Q49),"×",IF(Q49="-","×","○"))</f>
        <v>×</v>
      </c>
      <c r="S49" s="62" t="e">
        <f>VLOOKUP($E49&amp;S$5,'②-2勤務時間数入力'!$D$7:$Q$106,$P49,FALSE)</f>
        <v>#N/A</v>
      </c>
      <c r="T49" s="62" t="str">
        <f>IF(ISERROR(S49),"×",IF(S49="-","×","○"))</f>
        <v>×</v>
      </c>
      <c r="U49" s="62" t="e">
        <f>VLOOKUP($E49&amp;U$5,'②-2勤務時間数入力'!$D$7:$Q$106,$P49,FALSE)</f>
        <v>#N/A</v>
      </c>
      <c r="V49" s="62" t="str">
        <f>IF(ISERROR(U49),"×",IF(U49="-","×","○"))</f>
        <v>×</v>
      </c>
      <c r="W49" s="62" t="e">
        <f>VLOOKUP($E49&amp;W$5,'②-2勤務時間数入力'!$D$7:$Q$106,$P49,FALSE)</f>
        <v>#N/A</v>
      </c>
      <c r="X49" s="62" t="str">
        <f>IF(ISERROR(W49),"×",IF(W49="-","×","○"))</f>
        <v>×</v>
      </c>
    </row>
    <row r="50" spans="1:24" ht="13.5" hidden="1" customHeight="1">
      <c r="A50" s="854"/>
      <c r="B50" s="857"/>
      <c r="C50" s="860"/>
      <c r="D50" s="870"/>
      <c r="E50" s="138" t="str">
        <f t="shared" ref="E50:F50" si="75">IF(E44="","",E44)</f>
        <v/>
      </c>
      <c r="F50" s="138" t="str">
        <f t="shared" si="75"/>
        <v/>
      </c>
      <c r="G50" s="180" t="str">
        <f t="shared" si="68"/>
        <v/>
      </c>
      <c r="H50" s="181" t="str">
        <f t="shared" si="69"/>
        <v/>
      </c>
      <c r="I50" s="139" t="str">
        <f>IF($E50="","",IF($G50="正規職員","-",IF(AND(EXACT($C42,$C48),EXACT($E44,$E50),EXACT($G44,$G50)),I44,"賃金単価を記載")))</f>
        <v/>
      </c>
      <c r="J50" s="139" t="str">
        <f t="shared" si="72"/>
        <v/>
      </c>
      <c r="K50" s="139" t="str">
        <f>IF($E50="","",IF($G50="正規職員","-",IF(AND(EXACT($C42,$C48),EXACT($E44,$E50),EXACT($G44,$G50)),K44,"日額の交通費を記載（定期利用の場合は月額)")))</f>
        <v/>
      </c>
      <c r="L50" s="59" t="str">
        <f t="shared" si="70"/>
        <v/>
      </c>
      <c r="M50" s="59">
        <f>$M$6</f>
        <v>221916.66666666701</v>
      </c>
      <c r="N50" s="59">
        <f>IFERROR(IF($C48="-","",IF(E50="","",IF(G50="正規職員",M50-M49,MIN(MIN(L50:M50),M49-N49)))),0)</f>
        <v>0</v>
      </c>
      <c r="O50" s="61" t="str">
        <f t="shared" si="73"/>
        <v/>
      </c>
      <c r="P50" s="62">
        <f t="shared" si="74"/>
        <v>10</v>
      </c>
      <c r="Q50" s="62" t="e">
        <f>VLOOKUP($E50&amp;Q$5,'②-2勤務時間数入力'!$D$7:$Q$106,$P50,FALSE)</f>
        <v>#N/A</v>
      </c>
      <c r="R50" s="62" t="str">
        <f>IF(ISERROR(Q50),"×",IF(Q50="-","×","○"))</f>
        <v>×</v>
      </c>
      <c r="S50" s="62" t="e">
        <f>VLOOKUP($E50&amp;S$5,'②-2勤務時間数入力'!$D$7:$Q$106,$P50,FALSE)</f>
        <v>#N/A</v>
      </c>
      <c r="T50" s="62" t="str">
        <f>IF(ISERROR(S50),"×",IF(S50="-","×","○"))</f>
        <v>×</v>
      </c>
      <c r="U50" s="62" t="e">
        <f>VLOOKUP($E50&amp;U$5,'②-2勤務時間数入力'!$D$7:$Q$106,$P50,FALSE)</f>
        <v>#N/A</v>
      </c>
      <c r="V50" s="62" t="str">
        <f>IF(ISERROR(U50),"×",IF(U50="-","×","○"))</f>
        <v>×</v>
      </c>
      <c r="W50" s="62" t="e">
        <f>VLOOKUP($E50&amp;W$5,'②-2勤務時間数入力'!$D$7:$Q$106,$P50,FALSE)</f>
        <v>#N/A</v>
      </c>
      <c r="X50" s="62" t="str">
        <f>IF(ISERROR(W50),"×",IF(W50="-","×","○"))</f>
        <v>×</v>
      </c>
    </row>
    <row r="51" spans="1:24" ht="13.5" hidden="1" customHeight="1">
      <c r="A51" s="854"/>
      <c r="B51" s="857"/>
      <c r="C51" s="860"/>
      <c r="D51" s="870"/>
      <c r="E51" s="138" t="str">
        <f t="shared" ref="E51:F51" si="76">IF(E45="","",E45)</f>
        <v/>
      </c>
      <c r="F51" s="138" t="str">
        <f t="shared" si="76"/>
        <v/>
      </c>
      <c r="G51" s="180" t="str">
        <f t="shared" si="68"/>
        <v/>
      </c>
      <c r="H51" s="181" t="str">
        <f t="shared" si="69"/>
        <v/>
      </c>
      <c r="I51" s="139" t="str">
        <f>IF($E51="","",IF($G51="正規職員","-",IF(AND(EXACT($C42,$C48),EXACT($E45,$E51),EXACT($G45,$G51)),I45,"賃金単価を記載")))</f>
        <v/>
      </c>
      <c r="J51" s="139" t="str">
        <f t="shared" si="72"/>
        <v/>
      </c>
      <c r="K51" s="139" t="str">
        <f>IF($E51="","",IF($G51="正規職員","-",IF(AND(EXACT($C42,$C48),EXACT($E45,$E51),EXACT($G45,$G51)),K45,"日額の交通費を記載（定期利用の場合は月額)")))</f>
        <v/>
      </c>
      <c r="L51" s="59" t="str">
        <f t="shared" si="70"/>
        <v/>
      </c>
      <c r="M51" s="59">
        <f>$M$6</f>
        <v>221916.66666666701</v>
      </c>
      <c r="N51" s="59">
        <f>IFERROR(IF($C48="-","",IF(E51="","",IF(G51="正規職員",M51-M50,MIN(MIN(L51:M51),M50-N50)))),0)</f>
        <v>0</v>
      </c>
      <c r="O51" s="61" t="str">
        <f t="shared" si="73"/>
        <v/>
      </c>
      <c r="P51" s="62">
        <f t="shared" si="74"/>
        <v>10</v>
      </c>
      <c r="Q51" s="62" t="e">
        <f>VLOOKUP($E51&amp;Q$5,'②-2勤務時間数入力'!$D$7:$Q$106,$P51,FALSE)</f>
        <v>#N/A</v>
      </c>
      <c r="R51" s="62" t="str">
        <f>IF(ISERROR(Q51),"×",IF(Q51="-","×","○"))</f>
        <v>×</v>
      </c>
      <c r="S51" s="62" t="e">
        <f>VLOOKUP($E51&amp;S$5,'②-2勤務時間数入力'!$D$7:$Q$106,$P51,FALSE)</f>
        <v>#N/A</v>
      </c>
      <c r="T51" s="62" t="str">
        <f>IF(ISERROR(S51),"×",IF(S51="-","×","○"))</f>
        <v>×</v>
      </c>
      <c r="U51" s="62" t="e">
        <f>VLOOKUP($E51&amp;U$5,'②-2勤務時間数入力'!$D$7:$Q$106,$P51,FALSE)</f>
        <v>#N/A</v>
      </c>
      <c r="V51" s="62" t="str">
        <f>IF(ISERROR(U51),"×",IF(U51="-","×","○"))</f>
        <v>×</v>
      </c>
      <c r="W51" s="62" t="e">
        <f>VLOOKUP($E51&amp;W$5,'②-2勤務時間数入力'!$D$7:$Q$106,$P51,FALSE)</f>
        <v>#N/A</v>
      </c>
      <c r="X51" s="62" t="str">
        <f>IF(ISERROR(W51),"×",IF(W51="-","×","○"))</f>
        <v>×</v>
      </c>
    </row>
    <row r="52" spans="1:24" ht="13.5" hidden="1" customHeight="1">
      <c r="A52" s="854"/>
      <c r="B52" s="857"/>
      <c r="C52" s="860"/>
      <c r="D52" s="870"/>
      <c r="E52" s="138" t="str">
        <f t="shared" ref="E52:F52" si="77">IF(E46="","",E46)</f>
        <v/>
      </c>
      <c r="F52" s="138" t="str">
        <f t="shared" si="77"/>
        <v/>
      </c>
      <c r="G52" s="180" t="str">
        <f t="shared" si="68"/>
        <v/>
      </c>
      <c r="H52" s="181" t="str">
        <f t="shared" si="69"/>
        <v/>
      </c>
      <c r="I52" s="139" t="str">
        <f>IF($E52="","",IF($G52="正規職員","-",IF(AND(EXACT($C42,$C48),EXACT($E46,$E52),EXACT($G46,$G52)),I46,"賃金単価を記載")))</f>
        <v/>
      </c>
      <c r="J52" s="139" t="str">
        <f t="shared" si="72"/>
        <v/>
      </c>
      <c r="K52" s="139" t="str">
        <f>IF($E52="","",IF($G52="正規職員","-",IF(AND(EXACT($C42,$C48),EXACT($E46,$E52),EXACT($G46,$G52)),K46,"日額の交通費を記載（定期利用の場合は月額)")))</f>
        <v/>
      </c>
      <c r="L52" s="59" t="str">
        <f t="shared" si="70"/>
        <v/>
      </c>
      <c r="M52" s="59">
        <f>$M$6</f>
        <v>221916.66666666701</v>
      </c>
      <c r="N52" s="59">
        <f>IFERROR(IF($C48="-","",IF(E52="","",IF(G52="正規職員",M52-M51,MIN(MIN(L52:M52),M51-N51)))),0)</f>
        <v>0</v>
      </c>
      <c r="O52" s="61" t="str">
        <f t="shared" si="73"/>
        <v/>
      </c>
      <c r="P52" s="62">
        <f t="shared" si="74"/>
        <v>10</v>
      </c>
      <c r="Q52" s="62" t="e">
        <f>VLOOKUP($E52&amp;Q$5,'②-2勤務時間数入力'!$D$7:$Q$106,$P52,FALSE)</f>
        <v>#N/A</v>
      </c>
      <c r="R52" s="62" t="str">
        <f>IF(ISERROR(Q52),"×",IF(Q52="-","×","○"))</f>
        <v>×</v>
      </c>
      <c r="S52" s="62" t="e">
        <f>VLOOKUP($E52&amp;S$5,'②-2勤務時間数入力'!$D$7:$Q$106,$P52,FALSE)</f>
        <v>#N/A</v>
      </c>
      <c r="T52" s="62" t="str">
        <f>IF(ISERROR(S52),"×",IF(S52="-","×","○"))</f>
        <v>×</v>
      </c>
      <c r="U52" s="62" t="e">
        <f>VLOOKUP($E52&amp;U$5,'②-2勤務時間数入力'!$D$7:$Q$106,$P52,FALSE)</f>
        <v>#N/A</v>
      </c>
      <c r="V52" s="62" t="str">
        <f>IF(ISERROR(U52),"×",IF(U52="-","×","○"))</f>
        <v>×</v>
      </c>
      <c r="W52" s="62" t="e">
        <f>VLOOKUP($E52&amp;W$5,'②-2勤務時間数入力'!$D$7:$Q$106,$P52,FALSE)</f>
        <v>#N/A</v>
      </c>
      <c r="X52" s="62" t="str">
        <f>IF(ISERROR(W52),"×",IF(W52="-","×","○"))</f>
        <v>×</v>
      </c>
    </row>
    <row r="53" spans="1:24" ht="13.5" hidden="1" customHeight="1">
      <c r="A53" s="855"/>
      <c r="B53" s="858"/>
      <c r="C53" s="861"/>
      <c r="D53" s="871"/>
      <c r="E53" s="1" t="s">
        <v>280</v>
      </c>
      <c r="F53" s="1"/>
      <c r="G53" s="180" t="s">
        <v>273</v>
      </c>
      <c r="H53" s="432"/>
      <c r="I53" s="60" t="s">
        <v>273</v>
      </c>
      <c r="J53" s="60"/>
      <c r="K53" s="60"/>
      <c r="L53" s="60" t="s">
        <v>273</v>
      </c>
      <c r="M53" s="60" t="s">
        <v>273</v>
      </c>
      <c r="N53" s="59">
        <f>MIN(IFERROR(IF(C48=1,IF(AND(B48="配置",OR(D48="調理師等",D48="栄養士")),MAX(SUM(N48:N52)-①基本情報!M42+10000,0),SUM(N48:N52)),0),0),$M$6)</f>
        <v>0</v>
      </c>
      <c r="O53" s="61" t="e">
        <f>IF(SUM(N48:N52)&gt;#REF!*$M$6,MIN($M$6,SUM(N48:N52)-ROUNDDOWN(#REF!*$M$6,0)),0)</f>
        <v>#REF!</v>
      </c>
      <c r="P53" s="62"/>
      <c r="Q53" s="62"/>
      <c r="R53" s="62"/>
      <c r="S53" s="62"/>
      <c r="T53" s="62"/>
      <c r="U53" s="62"/>
      <c r="V53" s="62"/>
      <c r="W53" s="62"/>
      <c r="X53" s="62"/>
    </row>
    <row r="54" spans="1:24" ht="13.5" hidden="1" customHeight="1">
      <c r="A54" s="843">
        <v>12</v>
      </c>
      <c r="B54" s="856" t="e">
        <f>IF(①基本情報!N40="有",①基本情報!N41,"無")</f>
        <v>#N/A</v>
      </c>
      <c r="C54" s="859" t="e">
        <f>IF(判定!AU17="NG","-",1)</f>
        <v>#DIV/0!</v>
      </c>
      <c r="D54" s="869" t="str">
        <f>IFERROR(INDEX($L$83:$M$88,MATCH(判定!AU17,$L$83:$L$88,0),2),"-")</f>
        <v>-</v>
      </c>
      <c r="E54" s="138" t="str">
        <f>IF(E48="","",E48)</f>
        <v/>
      </c>
      <c r="F54" s="138" t="str">
        <f>IF(F48="","",F48)</f>
        <v/>
      </c>
      <c r="G54" s="180" t="str">
        <f t="shared" ref="G54:G58" si="78">IF(E54="","",IF(R54="○",Q$5,IF(T54="○",S$5,IF(V54="○",U$5,IF(X54="○",W$5,"ERROR")))))</f>
        <v/>
      </c>
      <c r="H54" s="181" t="str">
        <f t="shared" ref="H54:H58" si="79">IF(E54="","",IF(R54="○",Q54,IF(T54="○",S54,IF(V54="○",U54,IF(X54="○",W54,"ERROR")))))</f>
        <v/>
      </c>
      <c r="I54" s="139" t="str">
        <f>IF($E54="","",IF($G54="正規職員","-",IF(AND(EXACT($C48,$C54),EXACT($E48,$E54),EXACT($G48,$G54)),I48,"賃金単価を記載")))</f>
        <v/>
      </c>
      <c r="J54" s="139" t="str">
        <f>IF($E54="","",IF($G54="正規職員","-","勤務日数を記載（定期利用の場合、1と記載)"))</f>
        <v/>
      </c>
      <c r="K54" s="139" t="str">
        <f>IF($E54="","",IF($G54="正規職員","-",IF(AND(EXACT($C48,$C54),EXACT($E48,$E54),EXACT($G48,$G54)),K48,"日額の交通費を記載（定期利用の場合は月額)")))</f>
        <v/>
      </c>
      <c r="L54" s="59" t="str">
        <f t="shared" ref="L54:L58" si="80">IF($E54="","",IF($G54="正規職員","-",(H54*I54+J54*K54)))</f>
        <v/>
      </c>
      <c r="M54" s="59">
        <f>$M$6</f>
        <v>221916.66666666701</v>
      </c>
      <c r="N54" s="59">
        <f>IFERROR(IF($C54="-","",IF(E54="",0,IF(G54="正規職員",M54,MIN(L54:M54)))),0)</f>
        <v>0</v>
      </c>
      <c r="O54" s="61" t="str">
        <f>IF(E54="","",IF(COUNTIFS(E54,"*給食室*")=1,"○","エラー"))</f>
        <v/>
      </c>
      <c r="P54" s="62">
        <v>11</v>
      </c>
      <c r="Q54" s="62" t="e">
        <f>VLOOKUP($E54&amp;Q$5,'②-2勤務時間数入力'!$D$7:$Q$106,$P54,FALSE)</f>
        <v>#N/A</v>
      </c>
      <c r="R54" s="62" t="str">
        <f>IF(ISERROR(Q54),"×",IF(Q54="-","×","○"))</f>
        <v>×</v>
      </c>
      <c r="S54" s="62" t="e">
        <f>VLOOKUP($E54&amp;S$5,'②-2勤務時間数入力'!$D$7:$Q$106,$P54,FALSE)</f>
        <v>#N/A</v>
      </c>
      <c r="T54" s="62" t="str">
        <f>IF(ISERROR(S54),"×",IF(S54="-","×","○"))</f>
        <v>×</v>
      </c>
      <c r="U54" s="62" t="e">
        <f>VLOOKUP($E54&amp;U$5,'②-2勤務時間数入力'!$D$7:$Q$106,$P54,FALSE)</f>
        <v>#N/A</v>
      </c>
      <c r="V54" s="62" t="str">
        <f>IF(ISERROR(U54),"×",IF(U54="-","×","○"))</f>
        <v>×</v>
      </c>
      <c r="W54" s="62" t="e">
        <f>VLOOKUP($E54&amp;W$5,'②-2勤務時間数入力'!$D$7:$Q$106,$P54,FALSE)</f>
        <v>#N/A</v>
      </c>
      <c r="X54" s="62" t="str">
        <f>IF(ISERROR(W54),"×",IF(W54="-","×","○"))</f>
        <v>×</v>
      </c>
    </row>
    <row r="55" spans="1:24" ht="13.5" hidden="1" customHeight="1">
      <c r="A55" s="854"/>
      <c r="B55" s="857"/>
      <c r="C55" s="860"/>
      <c r="D55" s="870"/>
      <c r="E55" s="138" t="str">
        <f t="shared" ref="E55:F55" si="81">IF(E49="","",E49)</f>
        <v/>
      </c>
      <c r="F55" s="138" t="str">
        <f t="shared" si="81"/>
        <v/>
      </c>
      <c r="G55" s="180" t="str">
        <f t="shared" si="78"/>
        <v/>
      </c>
      <c r="H55" s="181" t="str">
        <f t="shared" si="79"/>
        <v/>
      </c>
      <c r="I55" s="139" t="str">
        <f>IF($E55="","",IF($G55="正規職員","-",IF(AND(EXACT($C48,$C54),EXACT($E49,$E55),EXACT($G49,$G55)),I49,"賃金単価を記載")))</f>
        <v/>
      </c>
      <c r="J55" s="139" t="str">
        <f t="shared" ref="J55:J58" si="82">IF($E55="","",IF($G55="正規職員","-","勤務日数を記載（定期利用の場合、1と記載)"))</f>
        <v/>
      </c>
      <c r="K55" s="139" t="str">
        <f>IF($E55="","",IF($G55="正規職員","-",IF(AND(EXACT($C48,$C54),EXACT($E49,$E55),EXACT($G49,$G55)),K49,"日額の交通費を記載（定期利用の場合は月額)")))</f>
        <v/>
      </c>
      <c r="L55" s="59" t="str">
        <f t="shared" si="80"/>
        <v/>
      </c>
      <c r="M55" s="59">
        <f>$M$6</f>
        <v>221916.66666666701</v>
      </c>
      <c r="N55" s="59">
        <f>IFERROR(IF($C54="-","",IF(E55="","",IF(G55="正規職員",M55-M54,MIN(MIN(L55:M55),M54-N54)))),0)</f>
        <v>0</v>
      </c>
      <c r="O55" s="61" t="str">
        <f t="shared" ref="O55:O58" si="83">IF(E55="","",IF(COUNTIFS(E55,"*給食室*")=1,"○","エラー"))</f>
        <v/>
      </c>
      <c r="P55" s="62">
        <f t="shared" ref="P55:P58" si="84">P54</f>
        <v>11</v>
      </c>
      <c r="Q55" s="62" t="e">
        <f>VLOOKUP($E55&amp;Q$5,'②-2勤務時間数入力'!$D$7:$Q$106,$P55,FALSE)</f>
        <v>#N/A</v>
      </c>
      <c r="R55" s="62" t="str">
        <f>IF(ISERROR(Q55),"×",IF(Q55="-","×","○"))</f>
        <v>×</v>
      </c>
      <c r="S55" s="62" t="e">
        <f>VLOOKUP($E55&amp;S$5,'②-2勤務時間数入力'!$D$7:$Q$106,$P55,FALSE)</f>
        <v>#N/A</v>
      </c>
      <c r="T55" s="62" t="str">
        <f>IF(ISERROR(S55),"×",IF(S55="-","×","○"))</f>
        <v>×</v>
      </c>
      <c r="U55" s="62" t="e">
        <f>VLOOKUP($E55&amp;U$5,'②-2勤務時間数入力'!$D$7:$Q$106,$P55,FALSE)</f>
        <v>#N/A</v>
      </c>
      <c r="V55" s="62" t="str">
        <f>IF(ISERROR(U55),"×",IF(U55="-","×","○"))</f>
        <v>×</v>
      </c>
      <c r="W55" s="62" t="e">
        <f>VLOOKUP($E55&amp;W$5,'②-2勤務時間数入力'!$D$7:$Q$106,$P55,FALSE)</f>
        <v>#N/A</v>
      </c>
      <c r="X55" s="62" t="str">
        <f>IF(ISERROR(W55),"×",IF(W55="-","×","○"))</f>
        <v>×</v>
      </c>
    </row>
    <row r="56" spans="1:24" ht="13.5" hidden="1" customHeight="1">
      <c r="A56" s="854"/>
      <c r="B56" s="857"/>
      <c r="C56" s="860"/>
      <c r="D56" s="870"/>
      <c r="E56" s="138" t="str">
        <f t="shared" ref="E56:F56" si="85">IF(E50="","",E50)</f>
        <v/>
      </c>
      <c r="F56" s="138" t="str">
        <f t="shared" si="85"/>
        <v/>
      </c>
      <c r="G56" s="180" t="str">
        <f t="shared" si="78"/>
        <v/>
      </c>
      <c r="H56" s="181" t="str">
        <f t="shared" si="79"/>
        <v/>
      </c>
      <c r="I56" s="139" t="str">
        <f>IF($E56="","",IF($G56="正規職員","-",IF(AND(EXACT($C48,$C54),EXACT($E50,$E56),EXACT($G50,$G56)),I50,"賃金単価を記載")))</f>
        <v/>
      </c>
      <c r="J56" s="139" t="str">
        <f t="shared" si="82"/>
        <v/>
      </c>
      <c r="K56" s="139" t="str">
        <f>IF($E56="","",IF($G56="正規職員","-",IF(AND(EXACT($C48,$C54),EXACT($E50,$E56),EXACT($G50,$G56)),K50,"日額の交通費を記載（定期利用の場合は月額)")))</f>
        <v/>
      </c>
      <c r="L56" s="59" t="str">
        <f t="shared" si="80"/>
        <v/>
      </c>
      <c r="M56" s="59">
        <f>$M$6</f>
        <v>221916.66666666701</v>
      </c>
      <c r="N56" s="59">
        <f>IFERROR(IF($C54="-","",IF(E56="","",IF(G56="正規職員",M56-M55,MIN(MIN(L56:M56),M55-N55)))),0)</f>
        <v>0</v>
      </c>
      <c r="O56" s="61" t="str">
        <f t="shared" si="83"/>
        <v/>
      </c>
      <c r="P56" s="62">
        <f t="shared" si="84"/>
        <v>11</v>
      </c>
      <c r="Q56" s="62" t="e">
        <f>VLOOKUP($E56&amp;Q$5,'②-2勤務時間数入力'!$D$7:$Q$106,$P56,FALSE)</f>
        <v>#N/A</v>
      </c>
      <c r="R56" s="62" t="str">
        <f>IF(ISERROR(Q56),"×",IF(Q56="-","×","○"))</f>
        <v>×</v>
      </c>
      <c r="S56" s="62" t="e">
        <f>VLOOKUP($E56&amp;S$5,'②-2勤務時間数入力'!$D$7:$Q$106,$P56,FALSE)</f>
        <v>#N/A</v>
      </c>
      <c r="T56" s="62" t="str">
        <f>IF(ISERROR(S56),"×",IF(S56="-","×","○"))</f>
        <v>×</v>
      </c>
      <c r="U56" s="62" t="e">
        <f>VLOOKUP($E56&amp;U$5,'②-2勤務時間数入力'!$D$7:$Q$106,$P56,FALSE)</f>
        <v>#N/A</v>
      </c>
      <c r="V56" s="62" t="str">
        <f>IF(ISERROR(U56),"×",IF(U56="-","×","○"))</f>
        <v>×</v>
      </c>
      <c r="W56" s="62" t="e">
        <f>VLOOKUP($E56&amp;W$5,'②-2勤務時間数入力'!$D$7:$Q$106,$P56,FALSE)</f>
        <v>#N/A</v>
      </c>
      <c r="X56" s="62" t="str">
        <f>IF(ISERROR(W56),"×",IF(W56="-","×","○"))</f>
        <v>×</v>
      </c>
    </row>
    <row r="57" spans="1:24" ht="13.5" hidden="1" customHeight="1">
      <c r="A57" s="854"/>
      <c r="B57" s="857"/>
      <c r="C57" s="860"/>
      <c r="D57" s="870"/>
      <c r="E57" s="138" t="str">
        <f t="shared" ref="E57:F57" si="86">IF(E51="","",E51)</f>
        <v/>
      </c>
      <c r="F57" s="138" t="str">
        <f t="shared" si="86"/>
        <v/>
      </c>
      <c r="G57" s="180" t="str">
        <f t="shared" si="78"/>
        <v/>
      </c>
      <c r="H57" s="181" t="str">
        <f t="shared" si="79"/>
        <v/>
      </c>
      <c r="I57" s="139" t="str">
        <f>IF($E57="","",IF($G57="正規職員","-",IF(AND(EXACT($C48,$C54),EXACT($E51,$E57),EXACT($G51,$G57)),I51,"賃金単価を記載")))</f>
        <v/>
      </c>
      <c r="J57" s="139" t="str">
        <f t="shared" si="82"/>
        <v/>
      </c>
      <c r="K57" s="139" t="str">
        <f>IF($E57="","",IF($G57="正規職員","-",IF(AND(EXACT($C48,$C54),EXACT($E51,$E57),EXACT($G51,$G57)),K51,"日額の交通費を記載（定期利用の場合は月額)")))</f>
        <v/>
      </c>
      <c r="L57" s="59" t="str">
        <f t="shared" si="80"/>
        <v/>
      </c>
      <c r="M57" s="59">
        <f>$M$6</f>
        <v>221916.66666666701</v>
      </c>
      <c r="N57" s="59">
        <f>IFERROR(IF($C54="-","",IF(E57="","",IF(G57="正規職員",M57-M56,MIN(MIN(L57:M57),M56-N56)))),0)</f>
        <v>0</v>
      </c>
      <c r="O57" s="61" t="str">
        <f t="shared" si="83"/>
        <v/>
      </c>
      <c r="P57" s="62">
        <f t="shared" si="84"/>
        <v>11</v>
      </c>
      <c r="Q57" s="62" t="e">
        <f>VLOOKUP($E57&amp;Q$5,'②-2勤務時間数入力'!$D$7:$Q$106,$P57,FALSE)</f>
        <v>#N/A</v>
      </c>
      <c r="R57" s="62" t="str">
        <f>IF(ISERROR(Q57),"×",IF(Q57="-","×","○"))</f>
        <v>×</v>
      </c>
      <c r="S57" s="62" t="e">
        <f>VLOOKUP($E57&amp;S$5,'②-2勤務時間数入力'!$D$7:$Q$106,$P57,FALSE)</f>
        <v>#N/A</v>
      </c>
      <c r="T57" s="62" t="str">
        <f>IF(ISERROR(S57),"×",IF(S57="-","×","○"))</f>
        <v>×</v>
      </c>
      <c r="U57" s="62" t="e">
        <f>VLOOKUP($E57&amp;U$5,'②-2勤務時間数入力'!$D$7:$Q$106,$P57,FALSE)</f>
        <v>#N/A</v>
      </c>
      <c r="V57" s="62" t="str">
        <f>IF(ISERROR(U57),"×",IF(U57="-","×","○"))</f>
        <v>×</v>
      </c>
      <c r="W57" s="62" t="e">
        <f>VLOOKUP($E57&amp;W$5,'②-2勤務時間数入力'!$D$7:$Q$106,$P57,FALSE)</f>
        <v>#N/A</v>
      </c>
      <c r="X57" s="62" t="str">
        <f>IF(ISERROR(W57),"×",IF(W57="-","×","○"))</f>
        <v>×</v>
      </c>
    </row>
    <row r="58" spans="1:24" ht="13.5" hidden="1" customHeight="1">
      <c r="A58" s="854"/>
      <c r="B58" s="857"/>
      <c r="C58" s="860"/>
      <c r="D58" s="870"/>
      <c r="E58" s="138" t="str">
        <f t="shared" ref="E58:F58" si="87">IF(E52="","",E52)</f>
        <v/>
      </c>
      <c r="F58" s="138" t="str">
        <f t="shared" si="87"/>
        <v/>
      </c>
      <c r="G58" s="180" t="str">
        <f t="shared" si="78"/>
        <v/>
      </c>
      <c r="H58" s="181" t="str">
        <f t="shared" si="79"/>
        <v/>
      </c>
      <c r="I58" s="139" t="str">
        <f>IF($E58="","",IF($G58="正規職員","-",IF(AND(EXACT($C48,$C54),EXACT($E52,$E58),EXACT($G52,$G58)),I52,"賃金単価を記載")))</f>
        <v/>
      </c>
      <c r="J58" s="139" t="str">
        <f t="shared" si="82"/>
        <v/>
      </c>
      <c r="K58" s="139" t="str">
        <f>IF($E58="","",IF($G58="正規職員","-",IF(AND(EXACT($C48,$C54),EXACT($E52,$E58),EXACT($G52,$G58)),K52,"日額の交通費を記載（定期利用の場合は月額)")))</f>
        <v/>
      </c>
      <c r="L58" s="59" t="str">
        <f t="shared" si="80"/>
        <v/>
      </c>
      <c r="M58" s="59">
        <f>$M$6</f>
        <v>221916.66666666701</v>
      </c>
      <c r="N58" s="59">
        <f>IFERROR(IF($C54="-","",IF(E58="","",IF(G58="正規職員",M58-M57,MIN(MIN(L58:M58),M57-N57)))),0)</f>
        <v>0</v>
      </c>
      <c r="O58" s="61" t="str">
        <f t="shared" si="83"/>
        <v/>
      </c>
      <c r="P58" s="62">
        <f t="shared" si="84"/>
        <v>11</v>
      </c>
      <c r="Q58" s="62" t="e">
        <f>VLOOKUP($E58&amp;Q$5,'②-2勤務時間数入力'!$D$7:$Q$106,$P58,FALSE)</f>
        <v>#N/A</v>
      </c>
      <c r="R58" s="62" t="str">
        <f>IF(ISERROR(Q58),"×",IF(Q58="-","×","○"))</f>
        <v>×</v>
      </c>
      <c r="S58" s="62" t="e">
        <f>VLOOKUP($E58&amp;S$5,'②-2勤務時間数入力'!$D$7:$Q$106,$P58,FALSE)</f>
        <v>#N/A</v>
      </c>
      <c r="T58" s="62" t="str">
        <f>IF(ISERROR(S58),"×",IF(S58="-","×","○"))</f>
        <v>×</v>
      </c>
      <c r="U58" s="62" t="e">
        <f>VLOOKUP($E58&amp;U$5,'②-2勤務時間数入力'!$D$7:$Q$106,$P58,FALSE)</f>
        <v>#N/A</v>
      </c>
      <c r="V58" s="62" t="str">
        <f>IF(ISERROR(U58),"×",IF(U58="-","×","○"))</f>
        <v>×</v>
      </c>
      <c r="W58" s="62" t="e">
        <f>VLOOKUP($E58&amp;W$5,'②-2勤務時間数入力'!$D$7:$Q$106,$P58,FALSE)</f>
        <v>#N/A</v>
      </c>
      <c r="X58" s="62" t="str">
        <f>IF(ISERROR(W58),"×",IF(W58="-","×","○"))</f>
        <v>×</v>
      </c>
    </row>
    <row r="59" spans="1:24" ht="13.5" hidden="1" customHeight="1">
      <c r="A59" s="855"/>
      <c r="B59" s="858"/>
      <c r="C59" s="861"/>
      <c r="D59" s="871"/>
      <c r="E59" s="1" t="s">
        <v>281</v>
      </c>
      <c r="F59" s="1"/>
      <c r="G59" s="180" t="s">
        <v>273</v>
      </c>
      <c r="H59" s="432"/>
      <c r="I59" s="60" t="s">
        <v>273</v>
      </c>
      <c r="J59" s="60"/>
      <c r="K59" s="60"/>
      <c r="L59" s="60" t="s">
        <v>273</v>
      </c>
      <c r="M59" s="60" t="s">
        <v>273</v>
      </c>
      <c r="N59" s="59">
        <f>MIN(IFERROR(IF(C54=1,IF(AND(B54="配置",OR(D54="調理師等",D54="栄養士")),MAX(SUM(N54:N58)-①基本情報!N42+10000,0),SUM(N54:N58)),0),0),$M$6)</f>
        <v>0</v>
      </c>
      <c r="O59" s="61" t="e">
        <f>IF(SUM(N54:N58)&gt;#REF!*$M$6,MIN($M$6,SUM(N54:N58)-ROUNDDOWN(#REF!*$M$6,0)),0)</f>
        <v>#REF!</v>
      </c>
      <c r="P59" s="62"/>
      <c r="Q59" s="62"/>
      <c r="R59" s="62"/>
      <c r="S59" s="62"/>
      <c r="T59" s="62"/>
      <c r="U59" s="62"/>
      <c r="V59" s="62"/>
      <c r="W59" s="62"/>
      <c r="X59" s="62"/>
    </row>
    <row r="60" spans="1:24" ht="13.5" hidden="1" customHeight="1">
      <c r="A60" s="843">
        <v>1</v>
      </c>
      <c r="B60" s="856" t="e">
        <f>IF(①基本情報!O40="有",①基本情報!O41,"無")</f>
        <v>#N/A</v>
      </c>
      <c r="C60" s="859" t="e">
        <f>IF(判定!AU18="NG","-",1)</f>
        <v>#DIV/0!</v>
      </c>
      <c r="D60" s="869" t="str">
        <f>IFERROR(INDEX($L$83:$M$88,MATCH(判定!AU18,$L$83:$L$88,0),2),"-")</f>
        <v>-</v>
      </c>
      <c r="E60" s="138" t="str">
        <f>IF(E54="","",E54)</f>
        <v/>
      </c>
      <c r="F60" s="138" t="str">
        <f>IF(F54="","",F54)</f>
        <v/>
      </c>
      <c r="G60" s="180" t="str">
        <f t="shared" ref="G60:G64" si="88">IF(E60="","",IF(R60="○",Q$5,IF(T60="○",S$5,IF(V60="○",U$5,IF(X60="○",W$5,"ERROR")))))</f>
        <v/>
      </c>
      <c r="H60" s="181" t="str">
        <f t="shared" ref="H60:H64" si="89">IF(E60="","",IF(R60="○",Q60,IF(T60="○",S60,IF(V60="○",U60,IF(X60="○",W60,"ERROR")))))</f>
        <v/>
      </c>
      <c r="I60" s="139" t="str">
        <f>IF($E60="","",IF($G60="正規職員","-",IF(AND(EXACT($C54,$C60),EXACT($E54,$E60),EXACT($G54,$G60)),I54,"賃金単価を記載")))</f>
        <v/>
      </c>
      <c r="J60" s="139" t="str">
        <f>IF($E60="","",IF($G60="正規職員","-","勤務日数を記載（定期利用の場合、1と記載)"))</f>
        <v/>
      </c>
      <c r="K60" s="139" t="str">
        <f>IF($E60="","",IF($G60="正規職員","-",IF(AND(EXACT($C54,$C60),EXACT($E54,$E60),EXACT($G54,$G60)),K54,"日額の交通費を記載（定期利用の場合は月額)")))</f>
        <v/>
      </c>
      <c r="L60" s="59" t="str">
        <f t="shared" ref="L60:L64" si="90">IF($E60="","",IF($G60="正規職員","-",(H60*I60+J60*K60)))</f>
        <v/>
      </c>
      <c r="M60" s="59">
        <f>$M$6</f>
        <v>221916.66666666701</v>
      </c>
      <c r="N60" s="59">
        <f>IFERROR(IF($C60="-","",IF(E60="",0,IF(G60="正規職員",M60,MIN(L60:M60)))),0)</f>
        <v>0</v>
      </c>
      <c r="O60" s="61" t="str">
        <f>IF(E60="","",IF(COUNTIFS(E60,"*給食室*")=1,"○","エラー"))</f>
        <v/>
      </c>
      <c r="P60" s="62">
        <v>12</v>
      </c>
      <c r="Q60" s="62" t="e">
        <f>VLOOKUP($E60&amp;Q$5,'②-2勤務時間数入力'!$D$7:$Q$106,$P60,FALSE)</f>
        <v>#N/A</v>
      </c>
      <c r="R60" s="62" t="str">
        <f>IF(ISERROR(Q60),"×",IF(Q60="-","×","○"))</f>
        <v>×</v>
      </c>
      <c r="S60" s="62" t="e">
        <f>VLOOKUP($E60&amp;S$5,'②-2勤務時間数入力'!$D$7:$Q$106,$P60,FALSE)</f>
        <v>#N/A</v>
      </c>
      <c r="T60" s="62" t="str">
        <f>IF(ISERROR(S60),"×",IF(S60="-","×","○"))</f>
        <v>×</v>
      </c>
      <c r="U60" s="62" t="e">
        <f>VLOOKUP($E60&amp;U$5,'②-2勤務時間数入力'!$D$7:$Q$106,$P60,FALSE)</f>
        <v>#N/A</v>
      </c>
      <c r="V60" s="62" t="str">
        <f>IF(ISERROR(U60),"×",IF(U60="-","×","○"))</f>
        <v>×</v>
      </c>
      <c r="W60" s="62" t="e">
        <f>VLOOKUP($E60&amp;W$5,'②-2勤務時間数入力'!$D$7:$Q$106,$P60,FALSE)</f>
        <v>#N/A</v>
      </c>
      <c r="X60" s="62" t="str">
        <f>IF(ISERROR(W60),"×",IF(W60="-","×","○"))</f>
        <v>×</v>
      </c>
    </row>
    <row r="61" spans="1:24" ht="13.5" hidden="1" customHeight="1">
      <c r="A61" s="854"/>
      <c r="B61" s="857"/>
      <c r="C61" s="860"/>
      <c r="D61" s="870"/>
      <c r="E61" s="138" t="str">
        <f t="shared" ref="E61:F61" si="91">IF(E55="","",E55)</f>
        <v/>
      </c>
      <c r="F61" s="138" t="str">
        <f t="shared" si="91"/>
        <v/>
      </c>
      <c r="G61" s="180" t="str">
        <f t="shared" si="88"/>
        <v/>
      </c>
      <c r="H61" s="181" t="str">
        <f t="shared" si="89"/>
        <v/>
      </c>
      <c r="I61" s="139" t="str">
        <f>IF($E61="","",IF($G61="正規職員","-",IF(AND(EXACT($C54,$C60),EXACT($E55,$E61),EXACT($G55,$G61)),I55,"賃金単価を記載")))</f>
        <v/>
      </c>
      <c r="J61" s="139" t="str">
        <f t="shared" ref="J61:J64" si="92">IF($E61="","",IF($G61="正規職員","-","勤務日数を記載（定期利用の場合、1と記載)"))</f>
        <v/>
      </c>
      <c r="K61" s="139" t="str">
        <f>IF($E61="","",IF($G61="正規職員","-",IF(AND(EXACT($C54,$C60),EXACT($E55,$E61),EXACT($G55,$G61)),K55,"日額の交通費を記載（定期利用の場合は月額)")))</f>
        <v/>
      </c>
      <c r="L61" s="59" t="str">
        <f t="shared" si="90"/>
        <v/>
      </c>
      <c r="M61" s="59">
        <f>$M$6</f>
        <v>221916.66666666701</v>
      </c>
      <c r="N61" s="59">
        <f>IFERROR(IF($C60="-","",IF(E61="","",IF(G61="正規職員",M61-M60,MIN(MIN(L61:M61),M60-N60)))),0)</f>
        <v>0</v>
      </c>
      <c r="O61" s="61" t="str">
        <f t="shared" ref="O61:O64" si="93">IF(E61="","",IF(COUNTIFS(E61,"*給食室*")=1,"○","エラー"))</f>
        <v/>
      </c>
      <c r="P61" s="62">
        <f t="shared" ref="P61:P64" si="94">P60</f>
        <v>12</v>
      </c>
      <c r="Q61" s="62" t="e">
        <f>VLOOKUP($E61&amp;Q$5,'②-2勤務時間数入力'!$D$7:$Q$106,$P61,FALSE)</f>
        <v>#N/A</v>
      </c>
      <c r="R61" s="62" t="str">
        <f>IF(ISERROR(Q61),"×",IF(Q61="-","×","○"))</f>
        <v>×</v>
      </c>
      <c r="S61" s="62" t="e">
        <f>VLOOKUP($E61&amp;S$5,'②-2勤務時間数入力'!$D$7:$Q$106,$P61,FALSE)</f>
        <v>#N/A</v>
      </c>
      <c r="T61" s="62" t="str">
        <f>IF(ISERROR(S61),"×",IF(S61="-","×","○"))</f>
        <v>×</v>
      </c>
      <c r="U61" s="62" t="e">
        <f>VLOOKUP($E61&amp;U$5,'②-2勤務時間数入力'!$D$7:$Q$106,$P61,FALSE)</f>
        <v>#N/A</v>
      </c>
      <c r="V61" s="62" t="str">
        <f>IF(ISERROR(U61),"×",IF(U61="-","×","○"))</f>
        <v>×</v>
      </c>
      <c r="W61" s="62" t="e">
        <f>VLOOKUP($E61&amp;W$5,'②-2勤務時間数入力'!$D$7:$Q$106,$P61,FALSE)</f>
        <v>#N/A</v>
      </c>
      <c r="X61" s="62" t="str">
        <f>IF(ISERROR(W61),"×",IF(W61="-","×","○"))</f>
        <v>×</v>
      </c>
    </row>
    <row r="62" spans="1:24" ht="13.5" hidden="1" customHeight="1">
      <c r="A62" s="854"/>
      <c r="B62" s="857"/>
      <c r="C62" s="860"/>
      <c r="D62" s="870"/>
      <c r="E62" s="138" t="str">
        <f t="shared" ref="E62:F62" si="95">IF(E56="","",E56)</f>
        <v/>
      </c>
      <c r="F62" s="138" t="str">
        <f t="shared" si="95"/>
        <v/>
      </c>
      <c r="G62" s="180" t="str">
        <f t="shared" si="88"/>
        <v/>
      </c>
      <c r="H62" s="181" t="str">
        <f t="shared" si="89"/>
        <v/>
      </c>
      <c r="I62" s="139" t="str">
        <f>IF($E62="","",IF($G62="正規職員","-",IF(AND(EXACT($C54,$C60),EXACT($E56,$E62),EXACT($G56,$G62)),I56,"賃金単価を記載")))</f>
        <v/>
      </c>
      <c r="J62" s="139" t="str">
        <f t="shared" si="92"/>
        <v/>
      </c>
      <c r="K62" s="139" t="str">
        <f>IF($E62="","",IF($G62="正規職員","-",IF(AND(EXACT($C54,$C60),EXACT($E56,$E62),EXACT($G56,$G62)),K56,"日額の交通費を記載（定期利用の場合は月額)")))</f>
        <v/>
      </c>
      <c r="L62" s="59" t="str">
        <f t="shared" si="90"/>
        <v/>
      </c>
      <c r="M62" s="59">
        <f>$M$6</f>
        <v>221916.66666666701</v>
      </c>
      <c r="N62" s="59">
        <f>IFERROR(IF($C60="-","",IF(E62="","",IF(G62="正規職員",M62-M61,MIN(MIN(L62:M62),M61-N61)))),0)</f>
        <v>0</v>
      </c>
      <c r="O62" s="61" t="str">
        <f t="shared" si="93"/>
        <v/>
      </c>
      <c r="P62" s="62">
        <f t="shared" si="94"/>
        <v>12</v>
      </c>
      <c r="Q62" s="62" t="e">
        <f>VLOOKUP($E62&amp;Q$5,'②-2勤務時間数入力'!$D$7:$Q$106,$P62,FALSE)</f>
        <v>#N/A</v>
      </c>
      <c r="R62" s="62" t="str">
        <f>IF(ISERROR(Q62),"×",IF(Q62="-","×","○"))</f>
        <v>×</v>
      </c>
      <c r="S62" s="62" t="e">
        <f>VLOOKUP($E62&amp;S$5,'②-2勤務時間数入力'!$D$7:$Q$106,$P62,FALSE)</f>
        <v>#N/A</v>
      </c>
      <c r="T62" s="62" t="str">
        <f>IF(ISERROR(S62),"×",IF(S62="-","×","○"))</f>
        <v>×</v>
      </c>
      <c r="U62" s="62" t="e">
        <f>VLOOKUP($E62&amp;U$5,'②-2勤務時間数入力'!$D$7:$Q$106,$P62,FALSE)</f>
        <v>#N/A</v>
      </c>
      <c r="V62" s="62" t="str">
        <f>IF(ISERROR(U62),"×",IF(U62="-","×","○"))</f>
        <v>×</v>
      </c>
      <c r="W62" s="62" t="e">
        <f>VLOOKUP($E62&amp;W$5,'②-2勤務時間数入力'!$D$7:$Q$106,$P62,FALSE)</f>
        <v>#N/A</v>
      </c>
      <c r="X62" s="62" t="str">
        <f>IF(ISERROR(W62),"×",IF(W62="-","×","○"))</f>
        <v>×</v>
      </c>
    </row>
    <row r="63" spans="1:24" ht="13.5" hidden="1" customHeight="1">
      <c r="A63" s="854"/>
      <c r="B63" s="857"/>
      <c r="C63" s="860"/>
      <c r="D63" s="870"/>
      <c r="E63" s="138" t="str">
        <f t="shared" ref="E63:F63" si="96">IF(E57="","",E57)</f>
        <v/>
      </c>
      <c r="F63" s="138" t="str">
        <f t="shared" si="96"/>
        <v/>
      </c>
      <c r="G63" s="180" t="str">
        <f t="shared" si="88"/>
        <v/>
      </c>
      <c r="H63" s="181" t="str">
        <f t="shared" si="89"/>
        <v/>
      </c>
      <c r="I63" s="139" t="str">
        <f>IF($E63="","",IF($G63="正規職員","-",IF(AND(EXACT($C54,$C60),EXACT($E57,$E63),EXACT($G57,$G63)),I57,"賃金単価を記載")))</f>
        <v/>
      </c>
      <c r="J63" s="139" t="str">
        <f t="shared" si="92"/>
        <v/>
      </c>
      <c r="K63" s="139" t="str">
        <f>IF($E63="","",IF($G63="正規職員","-",IF(AND(EXACT($C54,$C60),EXACT($E57,$E63),EXACT($G57,$G63)),K57,"日額の交通費を記載（定期利用の場合は月額)")))</f>
        <v/>
      </c>
      <c r="L63" s="59" t="str">
        <f t="shared" si="90"/>
        <v/>
      </c>
      <c r="M63" s="59">
        <f>$M$6</f>
        <v>221916.66666666701</v>
      </c>
      <c r="N63" s="59">
        <f>IFERROR(IF($C60="-","",IF(E63="","",IF(G63="正規職員",M63-M62,MIN(MIN(L63:M63),M62-N62)))),0)</f>
        <v>0</v>
      </c>
      <c r="O63" s="61" t="str">
        <f t="shared" si="93"/>
        <v/>
      </c>
      <c r="P63" s="62">
        <f t="shared" si="94"/>
        <v>12</v>
      </c>
      <c r="Q63" s="62" t="e">
        <f>VLOOKUP($E63&amp;Q$5,'②-2勤務時間数入力'!$D$7:$Q$106,$P63,FALSE)</f>
        <v>#N/A</v>
      </c>
      <c r="R63" s="62" t="str">
        <f>IF(ISERROR(Q63),"×",IF(Q63="-","×","○"))</f>
        <v>×</v>
      </c>
      <c r="S63" s="62" t="e">
        <f>VLOOKUP($E63&amp;S$5,'②-2勤務時間数入力'!$D$7:$Q$106,$P63,FALSE)</f>
        <v>#N/A</v>
      </c>
      <c r="T63" s="62" t="str">
        <f>IF(ISERROR(S63),"×",IF(S63="-","×","○"))</f>
        <v>×</v>
      </c>
      <c r="U63" s="62" t="e">
        <f>VLOOKUP($E63&amp;U$5,'②-2勤務時間数入力'!$D$7:$Q$106,$P63,FALSE)</f>
        <v>#N/A</v>
      </c>
      <c r="V63" s="62" t="str">
        <f>IF(ISERROR(U63),"×",IF(U63="-","×","○"))</f>
        <v>×</v>
      </c>
      <c r="W63" s="62" t="e">
        <f>VLOOKUP($E63&amp;W$5,'②-2勤務時間数入力'!$D$7:$Q$106,$P63,FALSE)</f>
        <v>#N/A</v>
      </c>
      <c r="X63" s="62" t="str">
        <f>IF(ISERROR(W63),"×",IF(W63="-","×","○"))</f>
        <v>×</v>
      </c>
    </row>
    <row r="64" spans="1:24" ht="13.5" hidden="1" customHeight="1">
      <c r="A64" s="854"/>
      <c r="B64" s="857"/>
      <c r="C64" s="860"/>
      <c r="D64" s="870"/>
      <c r="E64" s="138" t="str">
        <f t="shared" ref="E64:F64" si="97">IF(E58="","",E58)</f>
        <v/>
      </c>
      <c r="F64" s="138" t="str">
        <f t="shared" si="97"/>
        <v/>
      </c>
      <c r="G64" s="180" t="str">
        <f t="shared" si="88"/>
        <v/>
      </c>
      <c r="H64" s="181" t="str">
        <f t="shared" si="89"/>
        <v/>
      </c>
      <c r="I64" s="139" t="str">
        <f>IF($E64="","",IF($G64="正規職員","-",IF(AND(EXACT($C54,$C60),EXACT($E58,$E64),EXACT($G58,$G64)),I58,"賃金単価を記載")))</f>
        <v/>
      </c>
      <c r="J64" s="139" t="str">
        <f t="shared" si="92"/>
        <v/>
      </c>
      <c r="K64" s="139" t="str">
        <f>IF($E64="","",IF($G64="正規職員","-",IF(AND(EXACT($C54,$C60),EXACT($E58,$E64),EXACT($G58,$G64)),K58,"日額の交通費を記載（定期利用の場合は月額)")))</f>
        <v/>
      </c>
      <c r="L64" s="59" t="str">
        <f t="shared" si="90"/>
        <v/>
      </c>
      <c r="M64" s="59">
        <f>$M$6</f>
        <v>221916.66666666701</v>
      </c>
      <c r="N64" s="59">
        <f>IFERROR(IF($C60="-","",IF(E64="","",IF(G64="正規職員",M64-M63,MIN(MIN(L64:M64),M63-N63)))),0)</f>
        <v>0</v>
      </c>
      <c r="O64" s="61" t="str">
        <f t="shared" si="93"/>
        <v/>
      </c>
      <c r="P64" s="62">
        <f t="shared" si="94"/>
        <v>12</v>
      </c>
      <c r="Q64" s="62" t="e">
        <f>VLOOKUP($E64&amp;Q$5,'②-2勤務時間数入力'!$D$7:$Q$106,$P64,FALSE)</f>
        <v>#N/A</v>
      </c>
      <c r="R64" s="62" t="str">
        <f>IF(ISERROR(Q64),"×",IF(Q64="-","×","○"))</f>
        <v>×</v>
      </c>
      <c r="S64" s="62" t="e">
        <f>VLOOKUP($E64&amp;S$5,'②-2勤務時間数入力'!$D$7:$Q$106,$P64,FALSE)</f>
        <v>#N/A</v>
      </c>
      <c r="T64" s="62" t="str">
        <f>IF(ISERROR(S64),"×",IF(S64="-","×","○"))</f>
        <v>×</v>
      </c>
      <c r="U64" s="62" t="e">
        <f>VLOOKUP($E64&amp;U$5,'②-2勤務時間数入力'!$D$7:$Q$106,$P64,FALSE)</f>
        <v>#N/A</v>
      </c>
      <c r="V64" s="62" t="str">
        <f>IF(ISERROR(U64),"×",IF(U64="-","×","○"))</f>
        <v>×</v>
      </c>
      <c r="W64" s="62" t="e">
        <f>VLOOKUP($E64&amp;W$5,'②-2勤務時間数入力'!$D$7:$Q$106,$P64,FALSE)</f>
        <v>#N/A</v>
      </c>
      <c r="X64" s="62" t="str">
        <f>IF(ISERROR(W64),"×",IF(W64="-","×","○"))</f>
        <v>×</v>
      </c>
    </row>
    <row r="65" spans="1:24" ht="13.5" hidden="1" customHeight="1">
      <c r="A65" s="855"/>
      <c r="B65" s="858"/>
      <c r="C65" s="861"/>
      <c r="D65" s="871"/>
      <c r="E65" s="1" t="s">
        <v>282</v>
      </c>
      <c r="F65" s="1"/>
      <c r="G65" s="180" t="s">
        <v>273</v>
      </c>
      <c r="H65" s="432"/>
      <c r="I65" s="60" t="s">
        <v>273</v>
      </c>
      <c r="J65" s="60"/>
      <c r="K65" s="60"/>
      <c r="L65" s="60" t="s">
        <v>273</v>
      </c>
      <c r="M65" s="60" t="s">
        <v>273</v>
      </c>
      <c r="N65" s="59">
        <f>MIN(IFERROR(IF(C60=1,IF(AND(B60="配置",OR(D60="調理師等",D60="栄養士")),MAX(SUM(N60:N64)-①基本情報!O42+10000,0),SUM(N60:N64)),0),0),$M$6)</f>
        <v>0</v>
      </c>
      <c r="O65" s="61" t="e">
        <f>IF(SUM(N60:N64)&gt;#REF!*$M$6,MIN($M$6,SUM(N60:N64)-ROUNDDOWN(#REF!*$M$6,0)),0)</f>
        <v>#REF!</v>
      </c>
      <c r="P65" s="62"/>
      <c r="Q65" s="62"/>
      <c r="R65" s="62"/>
      <c r="S65" s="62"/>
      <c r="T65" s="62"/>
      <c r="U65" s="62"/>
      <c r="V65" s="62"/>
      <c r="W65" s="62"/>
      <c r="X65" s="62"/>
    </row>
    <row r="66" spans="1:24" ht="13.5" hidden="1" customHeight="1">
      <c r="A66" s="843">
        <v>2</v>
      </c>
      <c r="B66" s="856" t="e">
        <f>IF(①基本情報!P40="有",①基本情報!P41,"無")</f>
        <v>#N/A</v>
      </c>
      <c r="C66" s="859" t="e">
        <f>IF(判定!AU19="NG","-",1)</f>
        <v>#DIV/0!</v>
      </c>
      <c r="D66" s="869" t="str">
        <f>IFERROR(INDEX($L$83:$M$88,MATCH(判定!AU19,$L$83:$L$88,0),2),"-")</f>
        <v>-</v>
      </c>
      <c r="E66" s="138" t="str">
        <f>IF(E60="","",E60)</f>
        <v/>
      </c>
      <c r="F66" s="138" t="str">
        <f>IF(F60="","",F60)</f>
        <v/>
      </c>
      <c r="G66" s="180" t="str">
        <f t="shared" ref="G66:G70" si="98">IF(E66="","",IF(R66="○",Q$5,IF(T66="○",S$5,IF(V66="○",U$5,IF(X66="○",W$5,"ERROR")))))</f>
        <v/>
      </c>
      <c r="H66" s="181" t="str">
        <f t="shared" ref="H66:H70" si="99">IF(E66="","",IF(R66="○",Q66,IF(T66="○",S66,IF(V66="○",U66,IF(X66="○",W66,"ERROR")))))</f>
        <v/>
      </c>
      <c r="I66" s="139" t="str">
        <f>IF($E66="","",IF($G66="正規職員","-",IF(AND(EXACT($C60,$C66),EXACT($E60,$E66),EXACT($G60,$G66)),I60,"賃金単価を記載")))</f>
        <v/>
      </c>
      <c r="J66" s="139" t="str">
        <f>IF($E66="","",IF($G66="正規職員","-","勤務日数を記載（定期利用の場合、1と記載)"))</f>
        <v/>
      </c>
      <c r="K66" s="139" t="str">
        <f>IF($E66="","",IF($G66="正規職員","-",IF(AND(EXACT($C60,$C66),EXACT($E60,$E66),EXACT($G60,$G66)),K60,"日額の交通費を記載（定期利用の場合は月額)")))</f>
        <v/>
      </c>
      <c r="L66" s="59" t="str">
        <f t="shared" ref="L66:L70" si="100">IF($E66="","",IF($G66="正規職員","-",(H66*I66+J66*K66)))</f>
        <v/>
      </c>
      <c r="M66" s="59">
        <f>$M$6</f>
        <v>221916.66666666701</v>
      </c>
      <c r="N66" s="59">
        <f>IFERROR(IF($C66="-","",IF(E66="",0,IF(G66="正規職員",M66,MIN(L66:M66)))),0)</f>
        <v>0</v>
      </c>
      <c r="O66" s="61" t="str">
        <f>IF(E66="","",IF(COUNTIFS(E66,"*給食室*")=1,"○","エラー"))</f>
        <v/>
      </c>
      <c r="P66" s="62">
        <v>13</v>
      </c>
      <c r="Q66" s="62" t="e">
        <f>VLOOKUP($E66&amp;Q$5,'②-2勤務時間数入力'!$D$7:$Q$106,$P66,FALSE)</f>
        <v>#N/A</v>
      </c>
      <c r="R66" s="62" t="str">
        <f>IF(ISERROR(Q66),"×",IF(Q66="-","×","○"))</f>
        <v>×</v>
      </c>
      <c r="S66" s="62" t="e">
        <f>VLOOKUP($E66&amp;S$5,'②-2勤務時間数入力'!$D$7:$Q$106,$P66,FALSE)</f>
        <v>#N/A</v>
      </c>
      <c r="T66" s="62" t="str">
        <f>IF(ISERROR(S66),"×",IF(S66="-","×","○"))</f>
        <v>×</v>
      </c>
      <c r="U66" s="62" t="e">
        <f>VLOOKUP($E66&amp;U$5,'②-2勤務時間数入力'!$D$7:$Q$106,$P66,FALSE)</f>
        <v>#N/A</v>
      </c>
      <c r="V66" s="62" t="str">
        <f>IF(ISERROR(U66),"×",IF(U66="-","×","○"))</f>
        <v>×</v>
      </c>
      <c r="W66" s="62" t="e">
        <f>VLOOKUP($E66&amp;W$5,'②-2勤務時間数入力'!$D$7:$Q$106,$P66,FALSE)</f>
        <v>#N/A</v>
      </c>
      <c r="X66" s="62" t="str">
        <f>IF(ISERROR(W66),"×",IF(W66="-","×","○"))</f>
        <v>×</v>
      </c>
    </row>
    <row r="67" spans="1:24" ht="13.5" hidden="1" customHeight="1">
      <c r="A67" s="854"/>
      <c r="B67" s="857"/>
      <c r="C67" s="860"/>
      <c r="D67" s="870"/>
      <c r="E67" s="138" t="str">
        <f t="shared" ref="E67:F67" si="101">IF(E61="","",E61)</f>
        <v/>
      </c>
      <c r="F67" s="138" t="str">
        <f t="shared" si="101"/>
        <v/>
      </c>
      <c r="G67" s="180" t="str">
        <f t="shared" si="98"/>
        <v/>
      </c>
      <c r="H67" s="181" t="str">
        <f t="shared" si="99"/>
        <v/>
      </c>
      <c r="I67" s="139" t="str">
        <f>IF($E67="","",IF($G67="正規職員","-",IF(AND(EXACT($C60,$C66),EXACT($E61,$E67),EXACT($G61,$G67)),I61,"賃金単価を記載")))</f>
        <v/>
      </c>
      <c r="J67" s="139" t="str">
        <f t="shared" ref="J67:J70" si="102">IF($E67="","",IF($G67="正規職員","-","勤務日数を記載（定期利用の場合、1と記載)"))</f>
        <v/>
      </c>
      <c r="K67" s="139" t="str">
        <f>IF($E67="","",IF($G67="正規職員","-",IF(AND(EXACT($C60,$C66),EXACT($E61,$E67),EXACT($G61,$G67)),K61,"日額の交通費を記載（定期利用の場合は月額)")))</f>
        <v/>
      </c>
      <c r="L67" s="59" t="str">
        <f t="shared" si="100"/>
        <v/>
      </c>
      <c r="M67" s="59">
        <f>$M$6</f>
        <v>221916.66666666701</v>
      </c>
      <c r="N67" s="59">
        <f>IFERROR(IF($C66="-","",IF(E67="","",IF(G67="正規職員",M67-M66,MIN(MIN(L67:M67),M66-N66)))),0)</f>
        <v>0</v>
      </c>
      <c r="O67" s="61" t="str">
        <f t="shared" ref="O67:O70" si="103">IF(E67="","",IF(COUNTIFS(E67,"*給食室*")=1,"○","エラー"))</f>
        <v/>
      </c>
      <c r="P67" s="62">
        <f t="shared" ref="P67:P70" si="104">P66</f>
        <v>13</v>
      </c>
      <c r="Q67" s="62" t="e">
        <f>VLOOKUP($E67&amp;Q$5,'②-2勤務時間数入力'!$D$7:$Q$106,$P67,FALSE)</f>
        <v>#N/A</v>
      </c>
      <c r="R67" s="62" t="str">
        <f>IF(ISERROR(Q67),"×",IF(Q67="-","×","○"))</f>
        <v>×</v>
      </c>
      <c r="S67" s="62" t="e">
        <f>VLOOKUP($E67&amp;S$5,'②-2勤務時間数入力'!$D$7:$Q$106,$P67,FALSE)</f>
        <v>#N/A</v>
      </c>
      <c r="T67" s="62" t="str">
        <f>IF(ISERROR(S67),"×",IF(S67="-","×","○"))</f>
        <v>×</v>
      </c>
      <c r="U67" s="62" t="e">
        <f>VLOOKUP($E67&amp;U$5,'②-2勤務時間数入力'!$D$7:$Q$106,$P67,FALSE)</f>
        <v>#N/A</v>
      </c>
      <c r="V67" s="62" t="str">
        <f>IF(ISERROR(U67),"×",IF(U67="-","×","○"))</f>
        <v>×</v>
      </c>
      <c r="W67" s="62" t="e">
        <f>VLOOKUP($E67&amp;W$5,'②-2勤務時間数入力'!$D$7:$Q$106,$P67,FALSE)</f>
        <v>#N/A</v>
      </c>
      <c r="X67" s="62" t="str">
        <f>IF(ISERROR(W67),"×",IF(W67="-","×","○"))</f>
        <v>×</v>
      </c>
    </row>
    <row r="68" spans="1:24" ht="13.5" hidden="1" customHeight="1">
      <c r="A68" s="854"/>
      <c r="B68" s="857"/>
      <c r="C68" s="860"/>
      <c r="D68" s="870"/>
      <c r="E68" s="138" t="str">
        <f t="shared" ref="E68:F68" si="105">IF(E62="","",E62)</f>
        <v/>
      </c>
      <c r="F68" s="138" t="str">
        <f t="shared" si="105"/>
        <v/>
      </c>
      <c r="G68" s="180" t="str">
        <f t="shared" si="98"/>
        <v/>
      </c>
      <c r="H68" s="181" t="str">
        <f t="shared" si="99"/>
        <v/>
      </c>
      <c r="I68" s="139" t="str">
        <f>IF($E68="","",IF($G68="正規職員","-",IF(AND(EXACT($C60,$C66),EXACT($E62,$E68),EXACT($G62,$G68)),I62,"賃金単価を記載")))</f>
        <v/>
      </c>
      <c r="J68" s="139" t="str">
        <f t="shared" si="102"/>
        <v/>
      </c>
      <c r="K68" s="139" t="str">
        <f>IF($E68="","",IF($G68="正規職員","-",IF(AND(EXACT($C60,$C66),EXACT($E62,$E68),EXACT($G62,$G68)),K62,"日額の交通費を記載（定期利用の場合は月額)")))</f>
        <v/>
      </c>
      <c r="L68" s="59" t="str">
        <f t="shared" si="100"/>
        <v/>
      </c>
      <c r="M68" s="59">
        <f>$M$6</f>
        <v>221916.66666666701</v>
      </c>
      <c r="N68" s="59">
        <f>IFERROR(IF($C66="-","",IF(E68="","",IF(G68="正規職員",M68-M67,MIN(MIN(L68:M68),M67-N67)))),0)</f>
        <v>0</v>
      </c>
      <c r="O68" s="61" t="str">
        <f t="shared" si="103"/>
        <v/>
      </c>
      <c r="P68" s="62">
        <f t="shared" si="104"/>
        <v>13</v>
      </c>
      <c r="Q68" s="62" t="e">
        <f>VLOOKUP($E68&amp;Q$5,'②-2勤務時間数入力'!$D$7:$Q$106,$P68,FALSE)</f>
        <v>#N/A</v>
      </c>
      <c r="R68" s="62" t="str">
        <f>IF(ISERROR(Q68),"×",IF(Q68="-","×","○"))</f>
        <v>×</v>
      </c>
      <c r="S68" s="62" t="e">
        <f>VLOOKUP($E68&amp;S$5,'②-2勤務時間数入力'!$D$7:$Q$106,$P68,FALSE)</f>
        <v>#N/A</v>
      </c>
      <c r="T68" s="62" t="str">
        <f>IF(ISERROR(S68),"×",IF(S68="-","×","○"))</f>
        <v>×</v>
      </c>
      <c r="U68" s="62" t="e">
        <f>VLOOKUP($E68&amp;U$5,'②-2勤務時間数入力'!$D$7:$Q$106,$P68,FALSE)</f>
        <v>#N/A</v>
      </c>
      <c r="V68" s="62" t="str">
        <f>IF(ISERROR(U68),"×",IF(U68="-","×","○"))</f>
        <v>×</v>
      </c>
      <c r="W68" s="62" t="e">
        <f>VLOOKUP($E68&amp;W$5,'②-2勤務時間数入力'!$D$7:$Q$106,$P68,FALSE)</f>
        <v>#N/A</v>
      </c>
      <c r="X68" s="62" t="str">
        <f>IF(ISERROR(W68),"×",IF(W68="-","×","○"))</f>
        <v>×</v>
      </c>
    </row>
    <row r="69" spans="1:24" ht="13.5" hidden="1" customHeight="1">
      <c r="A69" s="854"/>
      <c r="B69" s="857"/>
      <c r="C69" s="860"/>
      <c r="D69" s="870"/>
      <c r="E69" s="138" t="str">
        <f t="shared" ref="E69:F69" si="106">IF(E63="","",E63)</f>
        <v/>
      </c>
      <c r="F69" s="138" t="str">
        <f t="shared" si="106"/>
        <v/>
      </c>
      <c r="G69" s="180" t="str">
        <f t="shared" si="98"/>
        <v/>
      </c>
      <c r="H69" s="181" t="str">
        <f t="shared" si="99"/>
        <v/>
      </c>
      <c r="I69" s="139" t="str">
        <f>IF($E69="","",IF($G69="正規職員","-",IF(AND(EXACT($C60,$C66),EXACT($E63,$E69),EXACT($G63,$G69)),I63,"賃金単価を記載")))</f>
        <v/>
      </c>
      <c r="J69" s="139" t="str">
        <f t="shared" si="102"/>
        <v/>
      </c>
      <c r="K69" s="139" t="str">
        <f>IF($E69="","",IF($G69="正規職員","-",IF(AND(EXACT($C60,$C66),EXACT($E63,$E69),EXACT($G63,$G69)),K63,"日額の交通費を記載（定期利用の場合は月額)")))</f>
        <v/>
      </c>
      <c r="L69" s="59" t="str">
        <f t="shared" si="100"/>
        <v/>
      </c>
      <c r="M69" s="59">
        <f>$M$6</f>
        <v>221916.66666666701</v>
      </c>
      <c r="N69" s="59">
        <f>IFERROR(IF($C66="-","",IF(E69="","",IF(G69="正規職員",M69-M68,MIN(MIN(L69:M69),M68-N68)))),0)</f>
        <v>0</v>
      </c>
      <c r="O69" s="61" t="str">
        <f t="shared" si="103"/>
        <v/>
      </c>
      <c r="P69" s="62">
        <f t="shared" si="104"/>
        <v>13</v>
      </c>
      <c r="Q69" s="62" t="e">
        <f>VLOOKUP($E69&amp;Q$5,'②-2勤務時間数入力'!$D$7:$Q$106,$P69,FALSE)</f>
        <v>#N/A</v>
      </c>
      <c r="R69" s="62" t="str">
        <f>IF(ISERROR(Q69),"×",IF(Q69="-","×","○"))</f>
        <v>×</v>
      </c>
      <c r="S69" s="62" t="e">
        <f>VLOOKUP($E69&amp;S$5,'②-2勤務時間数入力'!$D$7:$Q$106,$P69,FALSE)</f>
        <v>#N/A</v>
      </c>
      <c r="T69" s="62" t="str">
        <f>IF(ISERROR(S69),"×",IF(S69="-","×","○"))</f>
        <v>×</v>
      </c>
      <c r="U69" s="62" t="e">
        <f>VLOOKUP($E69&amp;U$5,'②-2勤務時間数入力'!$D$7:$Q$106,$P69,FALSE)</f>
        <v>#N/A</v>
      </c>
      <c r="V69" s="62" t="str">
        <f>IF(ISERROR(U69),"×",IF(U69="-","×","○"))</f>
        <v>×</v>
      </c>
      <c r="W69" s="62" t="e">
        <f>VLOOKUP($E69&amp;W$5,'②-2勤務時間数入力'!$D$7:$Q$106,$P69,FALSE)</f>
        <v>#N/A</v>
      </c>
      <c r="X69" s="62" t="str">
        <f>IF(ISERROR(W69),"×",IF(W69="-","×","○"))</f>
        <v>×</v>
      </c>
    </row>
    <row r="70" spans="1:24" ht="13.5" hidden="1" customHeight="1">
      <c r="A70" s="854"/>
      <c r="B70" s="857"/>
      <c r="C70" s="860"/>
      <c r="D70" s="870"/>
      <c r="E70" s="138" t="str">
        <f t="shared" ref="E70:F70" si="107">IF(E64="","",E64)</f>
        <v/>
      </c>
      <c r="F70" s="138" t="str">
        <f t="shared" si="107"/>
        <v/>
      </c>
      <c r="G70" s="180" t="str">
        <f t="shared" si="98"/>
        <v/>
      </c>
      <c r="H70" s="181" t="str">
        <f t="shared" si="99"/>
        <v/>
      </c>
      <c r="I70" s="139" t="str">
        <f>IF($E70="","",IF($G70="正規職員","-",IF(AND(EXACT($C60,$C66),EXACT($E64,$E70),EXACT($G64,$G70)),I64,"賃金単価を記載")))</f>
        <v/>
      </c>
      <c r="J70" s="139" t="str">
        <f t="shared" si="102"/>
        <v/>
      </c>
      <c r="K70" s="139" t="str">
        <f>IF($E70="","",IF($G70="正規職員","-",IF(AND(EXACT($C60,$C66),EXACT($E64,$E70),EXACT($G64,$G70)),K64,"日額の交通費を記載（定期利用の場合は月額)")))</f>
        <v/>
      </c>
      <c r="L70" s="59" t="str">
        <f t="shared" si="100"/>
        <v/>
      </c>
      <c r="M70" s="59">
        <f>$M$6</f>
        <v>221916.66666666701</v>
      </c>
      <c r="N70" s="59">
        <f>IFERROR(IF($C66="-","",IF(E70="","",IF(G70="正規職員",M70-M69,MIN(MIN(L70:M70),M69-N69)))),0)</f>
        <v>0</v>
      </c>
      <c r="O70" s="61" t="str">
        <f t="shared" si="103"/>
        <v/>
      </c>
      <c r="P70" s="62">
        <f t="shared" si="104"/>
        <v>13</v>
      </c>
      <c r="Q70" s="62" t="e">
        <f>VLOOKUP($E70&amp;Q$5,'②-2勤務時間数入力'!$D$7:$Q$106,$P70,FALSE)</f>
        <v>#N/A</v>
      </c>
      <c r="R70" s="62" t="str">
        <f>IF(ISERROR(Q70),"×",IF(Q70="-","×","○"))</f>
        <v>×</v>
      </c>
      <c r="S70" s="62" t="e">
        <f>VLOOKUP($E70&amp;S$5,'②-2勤務時間数入力'!$D$7:$Q$106,$P70,FALSE)</f>
        <v>#N/A</v>
      </c>
      <c r="T70" s="62" t="str">
        <f>IF(ISERROR(S70),"×",IF(S70="-","×","○"))</f>
        <v>×</v>
      </c>
      <c r="U70" s="62" t="e">
        <f>VLOOKUP($E70&amp;U$5,'②-2勤務時間数入力'!$D$7:$Q$106,$P70,FALSE)</f>
        <v>#N/A</v>
      </c>
      <c r="V70" s="62" t="str">
        <f>IF(ISERROR(U70),"×",IF(U70="-","×","○"))</f>
        <v>×</v>
      </c>
      <c r="W70" s="62" t="e">
        <f>VLOOKUP($E70&amp;W$5,'②-2勤務時間数入力'!$D$7:$Q$106,$P70,FALSE)</f>
        <v>#N/A</v>
      </c>
      <c r="X70" s="62" t="str">
        <f>IF(ISERROR(W70),"×",IF(W70="-","×","○"))</f>
        <v>×</v>
      </c>
    </row>
    <row r="71" spans="1:24" ht="13.5" hidden="1" customHeight="1">
      <c r="A71" s="855"/>
      <c r="B71" s="858"/>
      <c r="C71" s="861"/>
      <c r="D71" s="871"/>
      <c r="E71" s="1" t="s">
        <v>283</v>
      </c>
      <c r="F71" s="1"/>
      <c r="G71" s="180" t="s">
        <v>273</v>
      </c>
      <c r="H71" s="432"/>
      <c r="I71" s="60" t="s">
        <v>273</v>
      </c>
      <c r="J71" s="60"/>
      <c r="K71" s="60"/>
      <c r="L71" s="60" t="s">
        <v>273</v>
      </c>
      <c r="M71" s="60" t="s">
        <v>273</v>
      </c>
      <c r="N71" s="59">
        <f>MIN(IFERROR(IF(C66=1,IF(AND(B66="配置",OR(D66="調理師等",D66="栄養士")),MAX(SUM(N66:N70)-①基本情報!P42+10000,0),SUM(N66:N70)),0),0),$M$6)</f>
        <v>0</v>
      </c>
      <c r="O71" s="61" t="e">
        <f>IF(SUM(N66:N70)&gt;#REF!*$M$6,MIN($M$6,SUM(N66:N70)-ROUNDDOWN(#REF!*$M$6,0)),0)</f>
        <v>#REF!</v>
      </c>
      <c r="P71" s="62"/>
      <c r="Q71" s="62"/>
      <c r="R71" s="62"/>
      <c r="S71" s="62"/>
      <c r="T71" s="62"/>
      <c r="U71" s="62"/>
      <c r="V71" s="62"/>
      <c r="W71" s="62"/>
      <c r="X71" s="62"/>
    </row>
    <row r="72" spans="1:24" ht="13.5" hidden="1" customHeight="1">
      <c r="A72" s="843">
        <v>3</v>
      </c>
      <c r="B72" s="856" t="e">
        <f>IF(①基本情報!Q40="有",①基本情報!Q41,"無")</f>
        <v>#N/A</v>
      </c>
      <c r="C72" s="859" t="e">
        <f>IF(判定!AU20="NG","-",1)</f>
        <v>#DIV/0!</v>
      </c>
      <c r="D72" s="869" t="str">
        <f>IFERROR(INDEX($L$83:$M$88,MATCH(判定!AU20,$L$83:$L$88,0),2),"-")</f>
        <v>-</v>
      </c>
      <c r="E72" s="138" t="str">
        <f>IF(E66="","",E66)</f>
        <v/>
      </c>
      <c r="F72" s="138" t="str">
        <f>IF(F66="","",F66)</f>
        <v/>
      </c>
      <c r="G72" s="180" t="str">
        <f>IF(E72="","",IF(R72="○",Q$5,IF(T72="○",S$5,IF(V72="○",U$5,IF(X72="○",W$5,"ERROR")))))</f>
        <v/>
      </c>
      <c r="H72" s="181" t="str">
        <f t="shared" ref="H72:H76" si="108">IF(E72="","",IF(R72="○",Q72,IF(T72="○",S72,IF(V72="○",U72,IF(X72="○",W72,"ERROR")))))</f>
        <v/>
      </c>
      <c r="I72" s="139" t="str">
        <f>IF($E72="","",IF($G72="正規職員","-",IF(AND(EXACT($C66,$C72),EXACT($E66,$E72),EXACT($G66,$G72)),I66,"賃金単価を記載")))</f>
        <v/>
      </c>
      <c r="J72" s="139" t="str">
        <f>IF($E72="","",IF($G72="正規職員","-","勤務日数を記載（定期利用の場合、1と記載)"))</f>
        <v/>
      </c>
      <c r="K72" s="139" t="str">
        <f>IF($E72="","",IF($G72="正規職員","-",IF(AND(EXACT($C66,$C72),EXACT($E66,$E72),EXACT($G66,$G72)),K66,"日額の交通費を記載（定期利用の場合は月額)")))</f>
        <v/>
      </c>
      <c r="L72" s="59" t="str">
        <f t="shared" ref="L72:L76" si="109">IF($E72="","",IF($G72="正規職員","-",(H72*I72+J72*K72)))</f>
        <v/>
      </c>
      <c r="M72" s="59">
        <f>$M$6</f>
        <v>221916.66666666701</v>
      </c>
      <c r="N72" s="59">
        <f>IFERROR(IF($C72="-","",IF(E72="",0,IF(G72="正規職員",M72,MIN(L72:M72)))),0)</f>
        <v>0</v>
      </c>
      <c r="O72" s="61" t="str">
        <f>IF(E72="","",IF(COUNTIFS(E72,"*給食室*")=1,"○","エラー"))</f>
        <v/>
      </c>
      <c r="P72" s="62">
        <v>14</v>
      </c>
      <c r="Q72" s="62" t="e">
        <f>VLOOKUP($E72&amp;Q$5,'②-2勤務時間数入力'!$D$7:$Q$106,$P72,FALSE)</f>
        <v>#N/A</v>
      </c>
      <c r="R72" s="62" t="str">
        <f>IF(ISERROR(Q72),"×",IF(Q72="-","×","○"))</f>
        <v>×</v>
      </c>
      <c r="S72" s="62" t="e">
        <f>VLOOKUP($E72&amp;S$5,'②-2勤務時間数入力'!$D$7:$Q$106,$P72,FALSE)</f>
        <v>#N/A</v>
      </c>
      <c r="T72" s="62" t="str">
        <f>IF(ISERROR(S72),"×",IF(S72="-","×","○"))</f>
        <v>×</v>
      </c>
      <c r="U72" s="62" t="e">
        <f>VLOOKUP($E72&amp;U$5,'②-2勤務時間数入力'!$D$7:$Q$106,$P72,FALSE)</f>
        <v>#N/A</v>
      </c>
      <c r="V72" s="62" t="str">
        <f>IF(ISERROR(U72),"×",IF(U72="-","×","○"))</f>
        <v>×</v>
      </c>
      <c r="W72" s="62" t="e">
        <f>VLOOKUP($E72&amp;W$5,'②-2勤務時間数入力'!$D$7:$Q$106,$P72,FALSE)</f>
        <v>#N/A</v>
      </c>
      <c r="X72" s="62" t="str">
        <f>IF(ISERROR(W72),"×",IF(W72="-","×","○"))</f>
        <v>×</v>
      </c>
    </row>
    <row r="73" spans="1:24" ht="13.5" hidden="1" customHeight="1">
      <c r="A73" s="854"/>
      <c r="B73" s="857"/>
      <c r="C73" s="860"/>
      <c r="D73" s="870"/>
      <c r="E73" s="138" t="str">
        <f t="shared" ref="E73:F73" si="110">IF(E67="","",E67)</f>
        <v/>
      </c>
      <c r="F73" s="138" t="str">
        <f t="shared" si="110"/>
        <v/>
      </c>
      <c r="G73" s="180" t="str">
        <f t="shared" ref="G73:G76" si="111">IF(E73="","",IF(R73="○",Q$5,IF(T73="○",S$5,IF(V73="○",U$5,IF(X73="○",W$5,"ERROR")))))</f>
        <v/>
      </c>
      <c r="H73" s="181" t="str">
        <f t="shared" si="108"/>
        <v/>
      </c>
      <c r="I73" s="139" t="str">
        <f>IF($E73="","",IF($G73="正規職員","-",IF(AND(EXACT($C66,$C72),EXACT($E67,$E73),EXACT($G67,$G73)),I67,"賃金単価を記載")))</f>
        <v/>
      </c>
      <c r="J73" s="139" t="str">
        <f t="shared" ref="J73:J76" si="112">IF($E73="","",IF($G73="正規職員","-","勤務日数を記載（定期利用の場合、1と記載)"))</f>
        <v/>
      </c>
      <c r="K73" s="139" t="str">
        <f>IF($E73="","",IF($G73="正規職員","-",IF(AND(EXACT($C66,$C72),EXACT($E67,$E73),EXACT($G67,$G73)),K67,"日額の交通費を記載（定期利用の場合は月額)")))</f>
        <v/>
      </c>
      <c r="L73" s="59" t="str">
        <f t="shared" si="109"/>
        <v/>
      </c>
      <c r="M73" s="59">
        <f>$M$6</f>
        <v>221916.66666666701</v>
      </c>
      <c r="N73" s="59">
        <f>IFERROR(IF($C72="-","",IF(E73="","",IF(G73="正規職員",M73-M72,MIN(MIN(L73:M73),M72-N72)))),0)</f>
        <v>0</v>
      </c>
      <c r="O73" s="61" t="str">
        <f t="shared" ref="O73:O76" si="113">IF(E73="","",IF(COUNTIFS(E73,"*給食室*")=1,"○","エラー"))</f>
        <v/>
      </c>
      <c r="P73" s="62">
        <f t="shared" ref="P73:P76" si="114">P72</f>
        <v>14</v>
      </c>
      <c r="Q73" s="62" t="e">
        <f>VLOOKUP($E73&amp;Q$5,'②-2勤務時間数入力'!$D$7:$Q$106,$P73,FALSE)</f>
        <v>#N/A</v>
      </c>
      <c r="R73" s="62" t="str">
        <f>IF(ISERROR(Q73),"×",IF(Q73="-","×","○"))</f>
        <v>×</v>
      </c>
      <c r="S73" s="62" t="e">
        <f>VLOOKUP($E73&amp;S$5,'②-2勤務時間数入力'!$D$7:$Q$106,$P73,FALSE)</f>
        <v>#N/A</v>
      </c>
      <c r="T73" s="62" t="str">
        <f>IF(ISERROR(S73),"×",IF(S73="-","×","○"))</f>
        <v>×</v>
      </c>
      <c r="U73" s="62" t="e">
        <f>VLOOKUP($E73&amp;U$5,'②-2勤務時間数入力'!$D$7:$Q$106,$P73,FALSE)</f>
        <v>#N/A</v>
      </c>
      <c r="V73" s="62" t="str">
        <f>IF(ISERROR(U73),"×",IF(U73="-","×","○"))</f>
        <v>×</v>
      </c>
      <c r="W73" s="62" t="e">
        <f>VLOOKUP($E73&amp;W$5,'②-2勤務時間数入力'!$D$7:$Q$106,$P73,FALSE)</f>
        <v>#N/A</v>
      </c>
      <c r="X73" s="62" t="str">
        <f>IF(ISERROR(W73),"×",IF(W73="-","×","○"))</f>
        <v>×</v>
      </c>
    </row>
    <row r="74" spans="1:24" ht="13.5" hidden="1" customHeight="1">
      <c r="A74" s="854"/>
      <c r="B74" s="857"/>
      <c r="C74" s="860"/>
      <c r="D74" s="870"/>
      <c r="E74" s="138" t="str">
        <f t="shared" ref="E74:F74" si="115">IF(E68="","",E68)</f>
        <v/>
      </c>
      <c r="F74" s="138" t="str">
        <f t="shared" si="115"/>
        <v/>
      </c>
      <c r="G74" s="180" t="str">
        <f t="shared" si="111"/>
        <v/>
      </c>
      <c r="H74" s="181" t="str">
        <f t="shared" si="108"/>
        <v/>
      </c>
      <c r="I74" s="139" t="str">
        <f>IF($E74="","",IF($G74="正規職員","-",IF(AND(EXACT($C66,$C72),EXACT($E68,$E74),EXACT($G68,$G74)),I68,"賃金単価を記載")))</f>
        <v/>
      </c>
      <c r="J74" s="139" t="str">
        <f>IF($E74="","",IF($G74="正規職員","-","勤務日数を記載（定期利用の場合、1と記載)"))</f>
        <v/>
      </c>
      <c r="K74" s="139" t="str">
        <f>IF($E74="","",IF($G74="正規職員","-",IF(AND(EXACT($C66,$C72),EXACT($E68,$E74),EXACT($G68,$G74)),K68,"日額の交通費を記載（定期利用の場合は月額)")))</f>
        <v/>
      </c>
      <c r="L74" s="59" t="str">
        <f t="shared" si="109"/>
        <v/>
      </c>
      <c r="M74" s="59">
        <f>$M$6</f>
        <v>221916.66666666701</v>
      </c>
      <c r="N74" s="59">
        <f>IFERROR(IF($C72="-","",IF(E74="","",IF(G74="正規職員",M74-M73,MIN(MIN(L74:M74),M73-N73)))),0)</f>
        <v>0</v>
      </c>
      <c r="O74" s="61" t="str">
        <f t="shared" si="113"/>
        <v/>
      </c>
      <c r="P74" s="62">
        <f t="shared" si="114"/>
        <v>14</v>
      </c>
      <c r="Q74" s="62" t="e">
        <f>VLOOKUP($E74&amp;Q$5,'②-2勤務時間数入力'!$D$7:$Q$106,$P74,FALSE)</f>
        <v>#N/A</v>
      </c>
      <c r="R74" s="62" t="str">
        <f>IF(ISERROR(Q74),"×",IF(Q74="-","×","○"))</f>
        <v>×</v>
      </c>
      <c r="S74" s="62" t="e">
        <f>VLOOKUP($E74&amp;S$5,'②-2勤務時間数入力'!$D$7:$Q$106,$P74,FALSE)</f>
        <v>#N/A</v>
      </c>
      <c r="T74" s="62" t="str">
        <f>IF(ISERROR(S74),"×",IF(S74="-","×","○"))</f>
        <v>×</v>
      </c>
      <c r="U74" s="62" t="e">
        <f>VLOOKUP($E74&amp;U$5,'②-2勤務時間数入力'!$D$7:$Q$106,$P74,FALSE)</f>
        <v>#N/A</v>
      </c>
      <c r="V74" s="62" t="str">
        <f>IF(ISERROR(U74),"×",IF(U74="-","×","○"))</f>
        <v>×</v>
      </c>
      <c r="W74" s="62" t="e">
        <f>VLOOKUP($E74&amp;W$5,'②-2勤務時間数入力'!$D$7:$Q$106,$P74,FALSE)</f>
        <v>#N/A</v>
      </c>
      <c r="X74" s="62" t="str">
        <f>IF(ISERROR(W74),"×",IF(W74="-","×","○"))</f>
        <v>×</v>
      </c>
    </row>
    <row r="75" spans="1:24" ht="13.5" hidden="1" customHeight="1">
      <c r="A75" s="854"/>
      <c r="B75" s="857"/>
      <c r="C75" s="860"/>
      <c r="D75" s="870"/>
      <c r="E75" s="138" t="str">
        <f t="shared" ref="E75:F75" si="116">IF(E69="","",E69)</f>
        <v/>
      </c>
      <c r="F75" s="138" t="str">
        <f t="shared" si="116"/>
        <v/>
      </c>
      <c r="G75" s="180" t="str">
        <f t="shared" si="111"/>
        <v/>
      </c>
      <c r="H75" s="181" t="str">
        <f t="shared" si="108"/>
        <v/>
      </c>
      <c r="I75" s="139" t="str">
        <f>IF($E75="","",IF($G75="正規職員","-",IF(AND(EXACT($C66,$C72),EXACT($E69,$E75),EXACT($G69,$G75)),I69,"賃金単価を記載")))</f>
        <v/>
      </c>
      <c r="J75" s="139" t="str">
        <f t="shared" si="112"/>
        <v/>
      </c>
      <c r="K75" s="139" t="str">
        <f>IF($E75="","",IF($G75="正規職員","-",IF(AND(EXACT($C66,$C72),EXACT($E69,$E75),EXACT($G69,$G75)),K69,"日額の交通費を記載（定期利用の場合は月額)")))</f>
        <v/>
      </c>
      <c r="L75" s="59" t="str">
        <f t="shared" si="109"/>
        <v/>
      </c>
      <c r="M75" s="59">
        <f>$M$6</f>
        <v>221916.66666666701</v>
      </c>
      <c r="N75" s="59">
        <f>IFERROR(IF($C72="-","",IF(E75="","",IF(G75="正規職員",M75-M74,MIN(MIN(L75:M75),M74-N74)))),0)</f>
        <v>0</v>
      </c>
      <c r="O75" s="61" t="str">
        <f t="shared" si="113"/>
        <v/>
      </c>
      <c r="P75" s="62">
        <f t="shared" si="114"/>
        <v>14</v>
      </c>
      <c r="Q75" s="62" t="e">
        <f>VLOOKUP($E75&amp;Q$5,'②-2勤務時間数入力'!$D$7:$Q$106,$P75,FALSE)</f>
        <v>#N/A</v>
      </c>
      <c r="R75" s="62" t="str">
        <f>IF(ISERROR(Q75),"×",IF(Q75="-","×","○"))</f>
        <v>×</v>
      </c>
      <c r="S75" s="62" t="e">
        <f>VLOOKUP($E75&amp;S$5,'②-2勤務時間数入力'!$D$7:$Q$106,$P75,FALSE)</f>
        <v>#N/A</v>
      </c>
      <c r="T75" s="62" t="str">
        <f>IF(ISERROR(S75),"×",IF(S75="-","×","○"))</f>
        <v>×</v>
      </c>
      <c r="U75" s="62" t="e">
        <f>VLOOKUP($E75&amp;U$5,'②-2勤務時間数入力'!$D$7:$Q$106,$P75,FALSE)</f>
        <v>#N/A</v>
      </c>
      <c r="V75" s="62" t="str">
        <f>IF(ISERROR(U75),"×",IF(U75="-","×","○"))</f>
        <v>×</v>
      </c>
      <c r="W75" s="62" t="e">
        <f>VLOOKUP($E75&amp;W$5,'②-2勤務時間数入力'!$D$7:$Q$106,$P75,FALSE)</f>
        <v>#N/A</v>
      </c>
      <c r="X75" s="62" t="str">
        <f>IF(ISERROR(W75),"×",IF(W75="-","×","○"))</f>
        <v>×</v>
      </c>
    </row>
    <row r="76" spans="1:24" ht="13.5" hidden="1" customHeight="1">
      <c r="A76" s="854"/>
      <c r="B76" s="857"/>
      <c r="C76" s="860"/>
      <c r="D76" s="870"/>
      <c r="E76" s="138" t="str">
        <f t="shared" ref="E76:F76" si="117">IF(E70="","",E70)</f>
        <v/>
      </c>
      <c r="F76" s="138" t="str">
        <f t="shared" si="117"/>
        <v/>
      </c>
      <c r="G76" s="180" t="str">
        <f t="shared" si="111"/>
        <v/>
      </c>
      <c r="H76" s="181" t="str">
        <f t="shared" si="108"/>
        <v/>
      </c>
      <c r="I76" s="139" t="str">
        <f>IF($E76="","",IF($G76="正規職員","-",IF(AND(EXACT($C66,$C72),EXACT($E70,$E76),EXACT($G70,$G76)),I70,"賃金単価を記載")))</f>
        <v/>
      </c>
      <c r="J76" s="139" t="str">
        <f t="shared" si="112"/>
        <v/>
      </c>
      <c r="K76" s="139" t="str">
        <f>IF($E76="","",IF($G76="正規職員","-",IF(AND(EXACT($C66,$C72),EXACT($E70,$E76),EXACT($G70,$G76)),K70,"日額の交通費を記載（定期利用の場合は月額)")))</f>
        <v/>
      </c>
      <c r="L76" s="59" t="str">
        <f t="shared" si="109"/>
        <v/>
      </c>
      <c r="M76" s="59">
        <f>$M$6</f>
        <v>221916.66666666701</v>
      </c>
      <c r="N76" s="59">
        <f>IFERROR(IF($C72="-","",IF(E76="","",IF(G76="正規職員",M76-M75,MIN(MIN(L76:M76),M75-N75)))),0)</f>
        <v>0</v>
      </c>
      <c r="O76" s="61" t="str">
        <f t="shared" si="113"/>
        <v/>
      </c>
      <c r="P76" s="62">
        <f t="shared" si="114"/>
        <v>14</v>
      </c>
      <c r="Q76" s="62" t="e">
        <f>VLOOKUP($E76&amp;Q$5,'②-2勤務時間数入力'!$D$7:$Q$106,$P76,FALSE)</f>
        <v>#N/A</v>
      </c>
      <c r="R76" s="62" t="str">
        <f>IF(ISERROR(Q76),"×",IF(Q76="-","×","○"))</f>
        <v>×</v>
      </c>
      <c r="S76" s="62" t="e">
        <f>VLOOKUP($E76&amp;S$5,'②-2勤務時間数入力'!$D$7:$Q$106,$P76,FALSE)</f>
        <v>#N/A</v>
      </c>
      <c r="T76" s="62" t="str">
        <f>IF(ISERROR(S76),"×",IF(S76="-","×","○"))</f>
        <v>×</v>
      </c>
      <c r="U76" s="62" t="e">
        <f>VLOOKUP($E76&amp;U$5,'②-2勤務時間数入力'!$D$7:$Q$106,$P76,FALSE)</f>
        <v>#N/A</v>
      </c>
      <c r="V76" s="62" t="str">
        <f>IF(ISERROR(U76),"×",IF(U76="-","×","○"))</f>
        <v>×</v>
      </c>
      <c r="W76" s="62" t="e">
        <f>VLOOKUP($E76&amp;W$5,'②-2勤務時間数入力'!$D$7:$Q$106,$P76,FALSE)</f>
        <v>#N/A</v>
      </c>
      <c r="X76" s="62" t="str">
        <f>IF(ISERROR(W76),"×",IF(W76="-","×","○"))</f>
        <v>×</v>
      </c>
    </row>
    <row r="77" spans="1:24" ht="13.5" hidden="1" customHeight="1">
      <c r="A77" s="855"/>
      <c r="B77" s="858"/>
      <c r="C77" s="861"/>
      <c r="D77" s="871"/>
      <c r="E77" s="1" t="s">
        <v>284</v>
      </c>
      <c r="F77" s="1"/>
      <c r="G77" s="180" t="s">
        <v>273</v>
      </c>
      <c r="H77" s="432"/>
      <c r="I77" s="60" t="s">
        <v>273</v>
      </c>
      <c r="J77" s="60"/>
      <c r="K77" s="60"/>
      <c r="L77" s="60" t="s">
        <v>273</v>
      </c>
      <c r="M77" s="60" t="s">
        <v>273</v>
      </c>
      <c r="N77" s="59">
        <f>MIN(IFERROR(IF(C72=1,IF(AND(B72="配置",OR(D72="調理師等",D72="栄養士")),MAX(SUM(N72:N76)-①基本情報!Q42+10000,0),SUM(N72:N76)),0),0),$M$6)</f>
        <v>0</v>
      </c>
      <c r="O77" s="61" t="e">
        <f>IF(SUM(N72:N76)&gt;#REF!*$M$6,MIN($M$6,SUM(N72:N76)-ROUNDDOWN(#REF!*$M$6,0)),0)</f>
        <v>#REF!</v>
      </c>
      <c r="P77" s="62"/>
      <c r="Q77" s="62"/>
      <c r="R77" s="62"/>
      <c r="S77" s="62"/>
      <c r="T77" s="62"/>
      <c r="U77" s="62"/>
      <c r="V77" s="62"/>
      <c r="W77" s="62"/>
      <c r="X77" s="62"/>
    </row>
    <row r="78" spans="1:24" ht="13.5" hidden="1" customHeight="1">
      <c r="A78" s="58" t="s">
        <v>264</v>
      </c>
      <c r="B78" s="58"/>
      <c r="C78" s="58"/>
      <c r="D78" s="58"/>
      <c r="E78" s="1"/>
      <c r="F78" s="1"/>
      <c r="G78" s="181"/>
      <c r="H78" s="181"/>
      <c r="I78" s="59"/>
      <c r="J78" s="59"/>
      <c r="K78" s="59"/>
      <c r="L78" s="59"/>
      <c r="M78" s="59"/>
      <c r="N78" s="63">
        <f>ROUNDDOWN(SUM(N11,N17,N23,N29,N35,N41,N47,N53,N59,N65,N71,N77),-3)</f>
        <v>0</v>
      </c>
    </row>
    <row r="79" spans="1:24">
      <c r="E79" s="61"/>
      <c r="F79" s="61"/>
      <c r="G79" s="61"/>
      <c r="H79" s="61"/>
      <c r="I79" s="61"/>
      <c r="J79" s="61"/>
      <c r="K79" s="61"/>
      <c r="L79" s="61"/>
      <c r="M79" s="61"/>
      <c r="N79" s="61"/>
    </row>
    <row r="81" spans="3:13" hidden="1"/>
    <row r="82" spans="3:13" hidden="1">
      <c r="D82" s="82" t="s">
        <v>349</v>
      </c>
      <c r="E82" s="82"/>
      <c r="F82" s="82"/>
      <c r="G82" s="82"/>
      <c r="H82" s="82"/>
      <c r="I82" s="82"/>
      <c r="M82" t="s">
        <v>799</v>
      </c>
    </row>
    <row r="83" spans="3:13" ht="38.25" hidden="1" customHeight="1">
      <c r="D83" s="82" t="s">
        <v>353</v>
      </c>
      <c r="E83" s="82"/>
      <c r="F83" s="82"/>
      <c r="G83" s="82"/>
      <c r="H83" s="82"/>
      <c r="I83" s="82"/>
      <c r="L83" t="s">
        <v>795</v>
      </c>
      <c r="M83" t="str">
        <f>'②-1職員名簿'!C144</f>
        <v>保育教諭等</v>
      </c>
    </row>
    <row r="84" spans="3:13" hidden="1">
      <c r="D84" s="82" t="s">
        <v>376</v>
      </c>
      <c r="E84" s="82"/>
      <c r="F84" s="82"/>
      <c r="G84" s="82"/>
      <c r="H84" s="82"/>
      <c r="I84" s="82"/>
      <c r="L84" t="s">
        <v>796</v>
      </c>
      <c r="M84" t="str">
        <f>'②-1職員名簿'!C145</f>
        <v>要件緩和</v>
      </c>
    </row>
    <row r="85" spans="3:13" ht="146.25" hidden="1" customHeight="1">
      <c r="D85" s="137" t="s">
        <v>323</v>
      </c>
      <c r="E85" s="853" t="s">
        <v>1081</v>
      </c>
      <c r="F85" s="853"/>
      <c r="G85" s="853"/>
      <c r="H85" s="853"/>
      <c r="I85" s="853"/>
      <c r="L85" t="s">
        <v>797</v>
      </c>
      <c r="M85" t="str">
        <f>'②-1職員名簿'!C146</f>
        <v>看護師等</v>
      </c>
    </row>
    <row r="86" spans="3:13" ht="79.5" hidden="1" customHeight="1">
      <c r="D86" s="137" t="s">
        <v>325</v>
      </c>
      <c r="E86" s="853" t="s">
        <v>1079</v>
      </c>
      <c r="F86" s="853"/>
      <c r="G86" s="853"/>
      <c r="H86" s="853"/>
      <c r="I86" s="853"/>
      <c r="L86" t="s">
        <v>798</v>
      </c>
      <c r="M86" t="str">
        <f>'②-1職員名簿'!C147</f>
        <v>栄養士</v>
      </c>
    </row>
    <row r="87" spans="3:13" ht="60" hidden="1" customHeight="1">
      <c r="D87" s="137" t="s">
        <v>355</v>
      </c>
      <c r="E87" s="853" t="s">
        <v>351</v>
      </c>
      <c r="F87" s="853"/>
      <c r="G87" s="853"/>
      <c r="H87" s="853"/>
      <c r="I87" s="853"/>
      <c r="L87" t="s">
        <v>802</v>
      </c>
      <c r="M87" t="str">
        <f>'②-1職員名簿'!C148</f>
        <v>調理師等</v>
      </c>
    </row>
    <row r="88" spans="3:13" ht="60" hidden="1" customHeight="1">
      <c r="D88" s="137" t="s">
        <v>722</v>
      </c>
      <c r="E88" s="853" t="s">
        <v>354</v>
      </c>
      <c r="F88" s="853"/>
      <c r="G88" s="853"/>
      <c r="H88" s="853"/>
      <c r="I88" s="853"/>
      <c r="L88" t="s">
        <v>803</v>
      </c>
      <c r="M88" t="str">
        <f>'②-1職員名簿'!C149</f>
        <v>教育・保育支援者</v>
      </c>
    </row>
    <row r="89" spans="3:13" ht="60" hidden="1" customHeight="1">
      <c r="D89" s="137" t="s">
        <v>723</v>
      </c>
      <c r="E89" s="853" t="s">
        <v>356</v>
      </c>
      <c r="F89" s="853"/>
      <c r="G89" s="853"/>
      <c r="H89" s="853"/>
      <c r="I89" s="853"/>
    </row>
    <row r="90" spans="3:13" hidden="1"/>
    <row r="92" spans="3:13">
      <c r="C92" s="248"/>
    </row>
  </sheetData>
  <sheetProtection algorithmName="SHA-512" hashValue="EXbhFSUgQEU0vauWhWIKagF+q39if7KC8nzE3bpoTEXPGiAFvibPNd9pfGr2YXlK8kb89HTgbE7J+j366/+PMg==" saltValue="Mrd8ucbwp5y5smQNXIC+qA==" spinCount="100000" sheet="1" selectLockedCells="1"/>
  <mergeCells count="60">
    <mergeCell ref="D18:D23"/>
    <mergeCell ref="D12:D17"/>
    <mergeCell ref="D72:D77"/>
    <mergeCell ref="D66:D71"/>
    <mergeCell ref="D60:D65"/>
    <mergeCell ref="D54:D59"/>
    <mergeCell ref="D48:D53"/>
    <mergeCell ref="D42:D47"/>
    <mergeCell ref="D36:D41"/>
    <mergeCell ref="D30:D35"/>
    <mergeCell ref="D24:D29"/>
    <mergeCell ref="A12:A17"/>
    <mergeCell ref="B12:B17"/>
    <mergeCell ref="C12:C17"/>
    <mergeCell ref="A1:N1"/>
    <mergeCell ref="G2:H2"/>
    <mergeCell ref="I2:N2"/>
    <mergeCell ref="W5:X5"/>
    <mergeCell ref="A6:A11"/>
    <mergeCell ref="B6:B11"/>
    <mergeCell ref="C6:C11"/>
    <mergeCell ref="Q5:R5"/>
    <mergeCell ref="S5:T5"/>
    <mergeCell ref="U5:V5"/>
    <mergeCell ref="D6:D11"/>
    <mergeCell ref="A18:A23"/>
    <mergeCell ref="B18:B23"/>
    <mergeCell ref="C18:C23"/>
    <mergeCell ref="A24:A29"/>
    <mergeCell ref="B24:B29"/>
    <mergeCell ref="C24:C29"/>
    <mergeCell ref="C30:C35"/>
    <mergeCell ref="A36:A41"/>
    <mergeCell ref="B36:B41"/>
    <mergeCell ref="C36:C41"/>
    <mergeCell ref="A30:A35"/>
    <mergeCell ref="B30:B35"/>
    <mergeCell ref="A72:A77"/>
    <mergeCell ref="B72:B77"/>
    <mergeCell ref="C72:C77"/>
    <mergeCell ref="A54:A59"/>
    <mergeCell ref="B54:B59"/>
    <mergeCell ref="C54:C59"/>
    <mergeCell ref="A60:A65"/>
    <mergeCell ref="B60:B65"/>
    <mergeCell ref="C60:C65"/>
    <mergeCell ref="A66:A71"/>
    <mergeCell ref="B66:B71"/>
    <mergeCell ref="C66:C71"/>
    <mergeCell ref="A42:A47"/>
    <mergeCell ref="B42:B47"/>
    <mergeCell ref="C42:C47"/>
    <mergeCell ref="A48:A53"/>
    <mergeCell ref="B48:B53"/>
    <mergeCell ref="C48:C53"/>
    <mergeCell ref="E89:I89"/>
    <mergeCell ref="E85:I85"/>
    <mergeCell ref="E86:I86"/>
    <mergeCell ref="E87:I87"/>
    <mergeCell ref="E88:I88"/>
  </mergeCells>
  <phoneticPr fontId="1"/>
  <conditionalFormatting sqref="E6:F10">
    <cfRule type="containsBlanks" dxfId="62" priority="11">
      <formula>LEN(TRIM(E6))=0</formula>
    </cfRule>
  </conditionalFormatting>
  <conditionalFormatting sqref="E12:F16">
    <cfRule type="containsBlanks" dxfId="61" priority="15">
      <formula>LEN(TRIM(E12))=0</formula>
    </cfRule>
  </conditionalFormatting>
  <conditionalFormatting sqref="E18:F22">
    <cfRule type="containsBlanks" dxfId="60" priority="10">
      <formula>LEN(TRIM(E18))=0</formula>
    </cfRule>
  </conditionalFormatting>
  <conditionalFormatting sqref="E24:F28">
    <cfRule type="containsBlanks" dxfId="59" priority="9">
      <formula>LEN(TRIM(E24))=0</formula>
    </cfRule>
  </conditionalFormatting>
  <conditionalFormatting sqref="E30:F34">
    <cfRule type="containsBlanks" dxfId="58" priority="8">
      <formula>LEN(TRIM(E30))=0</formula>
    </cfRule>
  </conditionalFormatting>
  <conditionalFormatting sqref="E36:F40">
    <cfRule type="containsBlanks" dxfId="57" priority="7">
      <formula>LEN(TRIM(E36))=0</formula>
    </cfRule>
  </conditionalFormatting>
  <conditionalFormatting sqref="E42:F46">
    <cfRule type="containsBlanks" dxfId="56" priority="6">
      <formula>LEN(TRIM(E42))=0</formula>
    </cfRule>
  </conditionalFormatting>
  <conditionalFormatting sqref="E48:F52">
    <cfRule type="containsBlanks" dxfId="55" priority="5">
      <formula>LEN(TRIM(E48))=0</formula>
    </cfRule>
  </conditionalFormatting>
  <conditionalFormatting sqref="E54:F58">
    <cfRule type="containsBlanks" dxfId="54" priority="4">
      <formula>LEN(TRIM(E54))=0</formula>
    </cfRule>
  </conditionalFormatting>
  <conditionalFormatting sqref="E60:F64">
    <cfRule type="containsBlanks" dxfId="53" priority="3">
      <formula>LEN(TRIM(E60))=0</formula>
    </cfRule>
  </conditionalFormatting>
  <conditionalFormatting sqref="E66:F70">
    <cfRule type="containsBlanks" dxfId="52" priority="2">
      <formula>LEN(TRIM(E66))=0</formula>
    </cfRule>
  </conditionalFormatting>
  <conditionalFormatting sqref="E72:F76">
    <cfRule type="containsBlanks" dxfId="51" priority="1">
      <formula>LEN(TRIM(E72))=0</formula>
    </cfRule>
  </conditionalFormatting>
  <conditionalFormatting sqref="I6:I77">
    <cfRule type="containsText" dxfId="50" priority="29" operator="containsText" text="賃金単価を記載">
      <formula>NOT(ISERROR(SEARCH("賃金単価を記載",I6)))</formula>
    </cfRule>
  </conditionalFormatting>
  <conditionalFormatting sqref="J6:J77">
    <cfRule type="containsText" dxfId="49" priority="16" operator="containsText" text="勤務日数を記載（定期利用の場合、1と記載)">
      <formula>NOT(ISERROR(SEARCH("勤務日数を記載（定期利用の場合、1と記載)",J6)))</formula>
    </cfRule>
  </conditionalFormatting>
  <conditionalFormatting sqref="K6:K78">
    <cfRule type="containsText" dxfId="48" priority="27" operator="containsText" text="日額の交通費を記載（定期利用の場合は月額)">
      <formula>NOT(ISERROR(SEARCH("日額の交通費を記載（定期利用の場合は月額)",K6)))</formula>
    </cfRule>
  </conditionalFormatting>
  <conditionalFormatting sqref="K12:K16">
    <cfRule type="containsText" dxfId="47" priority="14" operator="containsText" text="賃金単価を記載">
      <formula>NOT(ISERROR(SEARCH("賃金単価を記載",K12)))</formula>
    </cfRule>
  </conditionalFormatting>
  <conditionalFormatting sqref="K18:K22 K24:K28 K30:K34 K36:K40 K42:K46 K48:K52 K54:K58 K60:K64 K66:K70 K72:K76">
    <cfRule type="containsText" dxfId="46" priority="13" operator="containsText" text="賃金単価を記載">
      <formula>NOT(ISERROR(SEARCH("賃金単価を記載",K18)))</formula>
    </cfRule>
  </conditionalFormatting>
  <dataValidations xWindow="294" yWindow="440" count="2">
    <dataValidation type="list" allowBlank="1" showInputMessage="1" showErrorMessage="1" sqref="F6:F10" xr:uid="{D179025F-DA73-47EE-BD21-71E640684D6D}">
      <formula1>"○"</formula1>
    </dataValidation>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F12:F16 F18:F22 F24:F28 F30:F34 F36:F40 F42:F46 F48:F52 F54:F58 F60:F64 F66:F70 F72:F76 E11" xr:uid="{B7FDDB43-A538-4067-AA24-1E21D00F1AB6}"/>
  </dataValidations>
  <pageMargins left="0.70866141732283472" right="0.70866141732283472" top="0.74803149606299213" bottom="0.74803149606299213" header="0.31496062992125984" footer="0.31496062992125984"/>
  <pageSetup paperSize="9" scale="41" orientation="landscape" r:id="rId1"/>
  <drawing r:id="rId2"/>
  <legacyDrawing r:id="rId3"/>
  <extLst>
    <ext xmlns:x14="http://schemas.microsoft.com/office/spreadsheetml/2009/9/main" uri="{CCE6A557-97BC-4b89-ADB6-D9C93CAAB3DF}">
      <x14:dataValidations xmlns:xm="http://schemas.microsoft.com/office/excel/2006/main" xWindow="294" yWindow="440"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0056B115-6AC4-4447-BA3D-1221ED4BBF76}">
          <x14:formula1>
            <xm:f>'②-1職員名簿'!Y$7:Y$107</xm:f>
          </x14:formula1>
          <xm:sqref>E6:E10 E12:E77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065A-62BA-4779-93BA-CED3D8E72B83}">
  <sheetPr>
    <tabColor rgb="FF00B050"/>
  </sheetPr>
  <dimension ref="A1:X90"/>
  <sheetViews>
    <sheetView view="pageBreakPreview" zoomScale="85" zoomScaleNormal="115" zoomScaleSheetLayoutView="85" workbookViewId="0">
      <selection activeCell="E12" sqref="A12:XFD78"/>
    </sheetView>
  </sheetViews>
  <sheetFormatPr defaultRowHeight="18"/>
  <cols>
    <col min="1" max="1" width="5.58203125" customWidth="1"/>
    <col min="2" max="2" width="7.5" customWidth="1"/>
    <col min="3" max="3" width="4.75" customWidth="1"/>
    <col min="4" max="4" width="8.08203125" customWidth="1"/>
    <col min="5" max="5" width="27.5" customWidth="1"/>
    <col min="6" max="6" width="23.25" hidden="1" customWidth="1"/>
    <col min="7" max="7" width="10" customWidth="1"/>
    <col min="8" max="8" width="10.58203125" customWidth="1"/>
    <col min="9" max="13" width="11.25" customWidth="1"/>
    <col min="14" max="14" width="12.83203125" bestFit="1" customWidth="1"/>
    <col min="15" max="15" width="0" hidden="1" customWidth="1"/>
  </cols>
  <sheetData>
    <row r="1" spans="1:24" s="20" customFormat="1" ht="19">
      <c r="A1" s="847" t="s">
        <v>285</v>
      </c>
      <c r="B1" s="847"/>
      <c r="C1" s="847"/>
      <c r="D1" s="847"/>
      <c r="E1" s="847"/>
      <c r="F1" s="847"/>
      <c r="G1" s="847"/>
      <c r="H1" s="847"/>
      <c r="I1" s="847"/>
      <c r="J1" s="847"/>
      <c r="K1" s="847"/>
      <c r="L1" s="847"/>
      <c r="M1" s="847"/>
      <c r="N1" s="847"/>
      <c r="O1" s="197"/>
      <c r="P1" s="197"/>
      <c r="Q1" s="197"/>
      <c r="R1" s="197"/>
      <c r="S1" s="197"/>
    </row>
    <row r="2" spans="1:24" s="20" customFormat="1" ht="19">
      <c r="G2" s="867" t="s">
        <v>109</v>
      </c>
      <c r="H2" s="867"/>
      <c r="I2" s="868">
        <f>①基本情報!D6</f>
        <v>0</v>
      </c>
      <c r="J2" s="868"/>
      <c r="K2" s="868"/>
      <c r="L2" s="868"/>
      <c r="M2" s="868"/>
      <c r="N2" s="868"/>
      <c r="P2" s="20" t="s">
        <v>136</v>
      </c>
    </row>
    <row r="3" spans="1:24" s="20" customFormat="1" ht="48" customHeight="1">
      <c r="G3" s="65"/>
      <c r="H3" s="65"/>
      <c r="I3" s="66"/>
      <c r="J3" s="66"/>
      <c r="K3" s="66"/>
      <c r="L3" s="66"/>
      <c r="M3" s="66"/>
      <c r="N3" s="66"/>
    </row>
    <row r="4" spans="1:24">
      <c r="A4" s="56" t="s">
        <v>271</v>
      </c>
      <c r="B4" t="s">
        <v>986</v>
      </c>
    </row>
    <row r="5" spans="1:24" ht="36">
      <c r="B5" s="183" t="s">
        <v>670</v>
      </c>
      <c r="C5" s="249" t="s">
        <v>878</v>
      </c>
      <c r="D5" s="200" t="s">
        <v>829</v>
      </c>
      <c r="E5" s="198" t="s">
        <v>254</v>
      </c>
      <c r="F5" s="200" t="s">
        <v>1057</v>
      </c>
      <c r="G5" s="179" t="s">
        <v>255</v>
      </c>
      <c r="H5" s="179" t="s">
        <v>256</v>
      </c>
      <c r="I5" s="198" t="s">
        <v>257</v>
      </c>
      <c r="J5" s="198" t="s">
        <v>287</v>
      </c>
      <c r="K5" s="198" t="s">
        <v>288</v>
      </c>
      <c r="L5" s="198" t="s">
        <v>258</v>
      </c>
      <c r="M5" s="198" t="s">
        <v>259</v>
      </c>
      <c r="N5" s="198" t="s">
        <v>260</v>
      </c>
      <c r="P5" s="57" t="s">
        <v>261</v>
      </c>
      <c r="Q5" s="849" t="s">
        <v>204</v>
      </c>
      <c r="R5" s="850"/>
      <c r="S5" s="849" t="s">
        <v>205</v>
      </c>
      <c r="T5" s="850"/>
      <c r="U5" s="849" t="s">
        <v>262</v>
      </c>
      <c r="V5" s="850"/>
      <c r="W5" s="849" t="s">
        <v>263</v>
      </c>
      <c r="X5" s="850"/>
    </row>
    <row r="6" spans="1:24" ht="13.5" customHeight="1">
      <c r="A6" s="843">
        <v>4</v>
      </c>
      <c r="B6" s="862" t="str">
        <f>IF(①基本情報!F40="有",①基本情報!F41,"無")</f>
        <v>無</v>
      </c>
      <c r="C6" s="875" t="e">
        <f>IF(判定!AV9="NG","-",1)</f>
        <v>#DIV/0!</v>
      </c>
      <c r="D6" s="845" t="str">
        <f>IFERROR(INDEX($L$83:$M$88,MATCH(判定!AV9,$L$83:$L$88,0),2),"-")</f>
        <v>-</v>
      </c>
      <c r="E6" s="138"/>
      <c r="F6" s="269"/>
      <c r="G6" s="180" t="str">
        <f t="shared" ref="G6:G10" si="0">IF(E6="","",IF(R6="○",Q$5,IF(T6="○",S$5,IF(V6="○",U$5,IF(X6="○",W$5,"ERROR")))))</f>
        <v/>
      </c>
      <c r="H6" s="181" t="str">
        <f t="shared" ref="H6:H10" si="1">IF(E6="","",IF(R6="○",Q6,IF(T6="○",S6,IF(V6="○",U6,IF(X6="○",W6,"ERROR")))))</f>
        <v/>
      </c>
      <c r="I6" s="139" t="str">
        <f t="shared" ref="I6:I10" si="2">IF($E6="","",IF($G6="正規職員","-","賃金単価を記載"))</f>
        <v/>
      </c>
      <c r="J6" s="139" t="str">
        <f>IF($E6="","",IF($G6="正規職員","-","勤務日数を記載（定期利用の場合、1と記載)"))</f>
        <v/>
      </c>
      <c r="K6" s="139" t="str">
        <f>IF($E6="","",IF($G6="正規職員","-","日額の交通費を記載（定期利用の場合は月額)"))</f>
        <v/>
      </c>
      <c r="L6" s="59" t="str">
        <f t="shared" ref="L6:L10" si="3">IF($E6="","",IF($G6="正規職員","-",(H6*I6+J6*K6)))</f>
        <v/>
      </c>
      <c r="M6" s="277">
        <f>⑧一般加算１!M6</f>
        <v>221916.66666666701</v>
      </c>
      <c r="N6" s="59">
        <f>IFERROR(IF($C6="-","",IF(E6="",0,IF(G6="正規職員",M6,MIN(L6:M6)))),0)</f>
        <v>0</v>
      </c>
      <c r="O6" s="61" t="str">
        <f>IF(E6="","",IF(COUNTIFS(E6,"*給食室*")=1,"○","エラー"))</f>
        <v/>
      </c>
      <c r="P6" s="62">
        <v>3</v>
      </c>
      <c r="Q6" s="62" t="e">
        <f>VLOOKUP($E6&amp;Q$5,'②-2勤務時間数入力'!$D$7:$Q$106,$P6,FALSE)</f>
        <v>#N/A</v>
      </c>
      <c r="R6" s="62" t="str">
        <f>IF(ISERROR(Q6),"×",IF(Q6="-","×","○"))</f>
        <v>×</v>
      </c>
      <c r="S6" s="62" t="e">
        <f>VLOOKUP($E6&amp;S$5,'②-2勤務時間数入力'!$D$7:$Q$106,$P6,FALSE)</f>
        <v>#N/A</v>
      </c>
      <c r="T6" s="62" t="str">
        <f>IF(ISERROR(S6),"×",IF(S6="-","×","○"))</f>
        <v>×</v>
      </c>
      <c r="U6" s="62" t="e">
        <f>VLOOKUP($E6&amp;U$5,'②-2勤務時間数入力'!$D$7:$Q$106,$P6,FALSE)</f>
        <v>#N/A</v>
      </c>
      <c r="V6" s="62" t="str">
        <f>IF(ISERROR(U6),"×",IF(U6="-","×","○"))</f>
        <v>×</v>
      </c>
      <c r="W6" s="62" t="e">
        <f>VLOOKUP($E6&amp;W$5,'②-2勤務時間数入力'!$D$7:$Q$106,$P6,FALSE)</f>
        <v>#N/A</v>
      </c>
      <c r="X6" s="62" t="str">
        <f>IF(ISERROR(W6),"×",IF(W6="-","×","○"))</f>
        <v>×</v>
      </c>
    </row>
    <row r="7" spans="1:24" ht="13.5" customHeight="1">
      <c r="A7" s="854"/>
      <c r="B7" s="862"/>
      <c r="C7" s="876"/>
      <c r="D7" s="866"/>
      <c r="E7" s="138"/>
      <c r="F7" s="269"/>
      <c r="G7" s="180" t="str">
        <f t="shared" si="0"/>
        <v/>
      </c>
      <c r="H7" s="181" t="str">
        <f t="shared" si="1"/>
        <v/>
      </c>
      <c r="I7" s="139" t="str">
        <f t="shared" si="2"/>
        <v/>
      </c>
      <c r="J7" s="139" t="str">
        <f t="shared" ref="J7:J10" si="4">IF($E7="","",IF($G7="正規職員","-","勤務日数を記載（定期利用の場合、1と記載)"))</f>
        <v/>
      </c>
      <c r="K7" s="139" t="str">
        <f t="shared" ref="K7:K10" si="5">IF($E7="","",IF($G7="正規職員","-","日額の交通費を記載（定期利用の場合は月額)"))</f>
        <v/>
      </c>
      <c r="L7" s="59" t="str">
        <f t="shared" si="3"/>
        <v/>
      </c>
      <c r="M7" s="59">
        <f>$M$6</f>
        <v>221916.66666666701</v>
      </c>
      <c r="N7" s="59">
        <f>IFERROR(IF($C6="-","",IF(E7="","",IF(G7="正規職員",M7-M6,MIN(MIN(L7:M7),M6-N6)))),0)</f>
        <v>0</v>
      </c>
      <c r="O7" s="61" t="str">
        <f t="shared" ref="O7:O10" si="6">IF(E7="","",IF(COUNTIFS(E7,"*給食室*")=1,"○","エラー"))</f>
        <v/>
      </c>
      <c r="P7" s="62">
        <f>P6</f>
        <v>3</v>
      </c>
      <c r="Q7" s="62" t="e">
        <f>VLOOKUP($E7&amp;Q$5,'②-2勤務時間数入力'!$D$7:$Q$106,$P7,FALSE)</f>
        <v>#N/A</v>
      </c>
      <c r="R7" s="62" t="str">
        <f>IF(ISERROR(Q7),"×",IF(Q7="-","×","○"))</f>
        <v>×</v>
      </c>
      <c r="S7" s="62" t="e">
        <f>VLOOKUP($E7&amp;S$5,'②-2勤務時間数入力'!$D$7:$Q$106,$P7,FALSE)</f>
        <v>#N/A</v>
      </c>
      <c r="T7" s="62" t="str">
        <f>IF(ISERROR(S7),"×",IF(S7="-","×","○"))</f>
        <v>×</v>
      </c>
      <c r="U7" s="62" t="e">
        <f>VLOOKUP($E7&amp;U$5,'②-2勤務時間数入力'!$D$7:$Q$106,$P7,FALSE)</f>
        <v>#N/A</v>
      </c>
      <c r="V7" s="62" t="str">
        <f>IF(ISERROR(U7),"×",IF(U7="-","×","○"))</f>
        <v>×</v>
      </c>
      <c r="W7" s="62" t="e">
        <f>VLOOKUP($E7&amp;W$5,'②-2勤務時間数入力'!$D$7:$Q$106,$P7,FALSE)</f>
        <v>#N/A</v>
      </c>
      <c r="X7" s="62" t="str">
        <f>IF(ISERROR(W7),"×",IF(W7="-","×","○"))</f>
        <v>×</v>
      </c>
    </row>
    <row r="8" spans="1:24" ht="13.5" customHeight="1">
      <c r="A8" s="854"/>
      <c r="B8" s="862"/>
      <c r="C8" s="876"/>
      <c r="D8" s="866"/>
      <c r="E8" s="138"/>
      <c r="F8" s="269"/>
      <c r="G8" s="180" t="str">
        <f t="shared" si="0"/>
        <v/>
      </c>
      <c r="H8" s="181" t="str">
        <f t="shared" si="1"/>
        <v/>
      </c>
      <c r="I8" s="139" t="str">
        <f t="shared" si="2"/>
        <v/>
      </c>
      <c r="J8" s="139" t="str">
        <f t="shared" si="4"/>
        <v/>
      </c>
      <c r="K8" s="139" t="str">
        <f t="shared" si="5"/>
        <v/>
      </c>
      <c r="L8" s="59" t="str">
        <f t="shared" si="3"/>
        <v/>
      </c>
      <c r="M8" s="59">
        <f>$M$6</f>
        <v>221916.66666666701</v>
      </c>
      <c r="N8" s="59">
        <f>IFERROR(IF($C6="-","",IF(E8="","",IF(G8="正規職員",M8-M7,MIN(MIN(L8:M8),M7-N7)))),0)</f>
        <v>0</v>
      </c>
      <c r="O8" s="61" t="str">
        <f t="shared" si="6"/>
        <v/>
      </c>
      <c r="P8" s="62">
        <f t="shared" ref="P8:P9" si="7">P7</f>
        <v>3</v>
      </c>
      <c r="Q8" s="62" t="e">
        <f>VLOOKUP($E8&amp;Q$5,'②-2勤務時間数入力'!$D$7:$Q$106,$P8,FALSE)</f>
        <v>#N/A</v>
      </c>
      <c r="R8" s="62" t="str">
        <f>IF(ISERROR(Q8),"×",IF(Q8="-","×","○"))</f>
        <v>×</v>
      </c>
      <c r="S8" s="62" t="e">
        <f>VLOOKUP($E8&amp;S$5,'②-2勤務時間数入力'!$D$7:$Q$106,$P8,FALSE)</f>
        <v>#N/A</v>
      </c>
      <c r="T8" s="62" t="str">
        <f>IF(ISERROR(S8),"×",IF(S8="-","×","○"))</f>
        <v>×</v>
      </c>
      <c r="U8" s="62" t="e">
        <f>VLOOKUP($E8&amp;U$5,'②-2勤務時間数入力'!$D$7:$Q$106,$P8,FALSE)</f>
        <v>#N/A</v>
      </c>
      <c r="V8" s="62" t="str">
        <f>IF(ISERROR(U8),"×",IF(U8="-","×","○"))</f>
        <v>×</v>
      </c>
      <c r="W8" s="62" t="e">
        <f>VLOOKUP($E8&amp;W$5,'②-2勤務時間数入力'!$D$7:$Q$106,$P8,FALSE)</f>
        <v>#N/A</v>
      </c>
      <c r="X8" s="62" t="str">
        <f>IF(ISERROR(W8),"×",IF(W8="-","×","○"))</f>
        <v>×</v>
      </c>
    </row>
    <row r="9" spans="1:24" ht="13.5" customHeight="1">
      <c r="A9" s="854"/>
      <c r="B9" s="862"/>
      <c r="C9" s="876"/>
      <c r="D9" s="866"/>
      <c r="E9" s="138"/>
      <c r="F9" s="269"/>
      <c r="G9" s="180" t="str">
        <f t="shared" si="0"/>
        <v/>
      </c>
      <c r="H9" s="181" t="str">
        <f t="shared" si="1"/>
        <v/>
      </c>
      <c r="I9" s="139" t="str">
        <f t="shared" si="2"/>
        <v/>
      </c>
      <c r="J9" s="139" t="str">
        <f t="shared" si="4"/>
        <v/>
      </c>
      <c r="K9" s="139" t="str">
        <f t="shared" si="5"/>
        <v/>
      </c>
      <c r="L9" s="59" t="str">
        <f t="shared" si="3"/>
        <v/>
      </c>
      <c r="M9" s="59">
        <f>$M$6</f>
        <v>221916.66666666701</v>
      </c>
      <c r="N9" s="59">
        <f>IFERROR(IF($C6="-","",IF(E9="","",IF(G9="正規職員",M9-M8,MIN(MIN(L9:M9),M8-N8)))),0)</f>
        <v>0</v>
      </c>
      <c r="O9" s="61" t="str">
        <f t="shared" si="6"/>
        <v/>
      </c>
      <c r="P9" s="62">
        <f t="shared" si="7"/>
        <v>3</v>
      </c>
      <c r="Q9" s="62" t="e">
        <f>VLOOKUP($E9&amp;Q$5,'②-2勤務時間数入力'!$D$7:$Q$106,$P9,FALSE)</f>
        <v>#N/A</v>
      </c>
      <c r="R9" s="62" t="str">
        <f>IF(ISERROR(Q9),"×",IF(Q9="-","×","○"))</f>
        <v>×</v>
      </c>
      <c r="S9" s="62" t="e">
        <f>VLOOKUP($E9&amp;S$5,'②-2勤務時間数入力'!$D$7:$Q$106,$P9,FALSE)</f>
        <v>#N/A</v>
      </c>
      <c r="T9" s="62" t="str">
        <f>IF(ISERROR(S9),"×",IF(S9="-","×","○"))</f>
        <v>×</v>
      </c>
      <c r="U9" s="62" t="e">
        <f>VLOOKUP($E9&amp;U$5,'②-2勤務時間数入力'!$D$7:$Q$106,$P9,FALSE)</f>
        <v>#N/A</v>
      </c>
      <c r="V9" s="62" t="str">
        <f>IF(ISERROR(U9),"×",IF(U9="-","×","○"))</f>
        <v>×</v>
      </c>
      <c r="W9" s="62" t="e">
        <f>VLOOKUP($E9&amp;W$5,'②-2勤務時間数入力'!$D$7:$Q$106,$P9,FALSE)</f>
        <v>#N/A</v>
      </c>
      <c r="X9" s="62" t="str">
        <f>IF(ISERROR(W9),"×",IF(W9="-","×","○"))</f>
        <v>×</v>
      </c>
    </row>
    <row r="10" spans="1:24" ht="13.5" customHeight="1">
      <c r="A10" s="854"/>
      <c r="B10" s="862"/>
      <c r="C10" s="876"/>
      <c r="D10" s="866"/>
      <c r="E10" s="138"/>
      <c r="F10" s="269"/>
      <c r="G10" s="180" t="str">
        <f t="shared" si="0"/>
        <v/>
      </c>
      <c r="H10" s="181" t="str">
        <f t="shared" si="1"/>
        <v/>
      </c>
      <c r="I10" s="139" t="str">
        <f t="shared" si="2"/>
        <v/>
      </c>
      <c r="J10" s="139" t="str">
        <f t="shared" si="4"/>
        <v/>
      </c>
      <c r="K10" s="139" t="str">
        <f t="shared" si="5"/>
        <v/>
      </c>
      <c r="L10" s="59" t="str">
        <f t="shared" si="3"/>
        <v/>
      </c>
      <c r="M10" s="59">
        <f>$M$6</f>
        <v>221916.66666666701</v>
      </c>
      <c r="N10" s="59">
        <f>IFERROR(IF($C6="-","",IF(E10="","",IF(G10="正規職員",M10-M9,MIN(MIN(L10:M10),M9-N9)))),0)</f>
        <v>0</v>
      </c>
      <c r="O10" s="61" t="str">
        <f t="shared" si="6"/>
        <v/>
      </c>
      <c r="P10" s="62">
        <f>P9</f>
        <v>3</v>
      </c>
      <c r="Q10" s="62" t="e">
        <f>VLOOKUP($E10&amp;Q$5,'②-2勤務時間数入力'!$D$7:$Q$106,$P10,FALSE)</f>
        <v>#N/A</v>
      </c>
      <c r="R10" s="62" t="str">
        <f>IF(ISERROR(Q10),"×",IF(Q10="-","×","○"))</f>
        <v>×</v>
      </c>
      <c r="S10" s="62" t="e">
        <f>VLOOKUP($E10&amp;S$5,'②-2勤務時間数入力'!$D$7:$Q$106,$P10,FALSE)</f>
        <v>#N/A</v>
      </c>
      <c r="T10" s="62" t="str">
        <f>IF(ISERROR(S10),"×",IF(S10="-","×","○"))</f>
        <v>×</v>
      </c>
      <c r="U10" s="62" t="e">
        <f>VLOOKUP($E10&amp;U$5,'②-2勤務時間数入力'!$D$7:$Q$106,$P10,FALSE)</f>
        <v>#N/A</v>
      </c>
      <c r="V10" s="62" t="str">
        <f>IF(ISERROR(U10),"×",IF(U10="-","×","○"))</f>
        <v>×</v>
      </c>
      <c r="W10" s="62" t="e">
        <f>VLOOKUP($E10&amp;W$5,'②-2勤務時間数入力'!$D$7:$Q$106,$P10,FALSE)</f>
        <v>#N/A</v>
      </c>
      <c r="X10" s="62" t="str">
        <f>IF(ISERROR(W10),"×",IF(W10="-","×","○"))</f>
        <v>×</v>
      </c>
    </row>
    <row r="11" spans="1:24" ht="13.5" customHeight="1">
      <c r="A11" s="855"/>
      <c r="B11" s="862"/>
      <c r="C11" s="877"/>
      <c r="D11" s="846"/>
      <c r="E11" s="1" t="s">
        <v>272</v>
      </c>
      <c r="F11" s="1"/>
      <c r="G11" s="180" t="s">
        <v>273</v>
      </c>
      <c r="H11" s="67"/>
      <c r="I11" s="60" t="s">
        <v>273</v>
      </c>
      <c r="J11" s="60"/>
      <c r="K11" s="60"/>
      <c r="L11" s="60" t="s">
        <v>273</v>
      </c>
      <c r="M11" s="60" t="s">
        <v>273</v>
      </c>
      <c r="N11" s="59">
        <f>MIN(IFERROR(IF(C6=1,IF(AND(B6="配置",OR(D6="調理師等",D6="栄養士")),MAX(SUM(N6:N10)-①基本情報!F42+10000,0),SUM(N6:N10)),0),0),$M$6)</f>
        <v>0</v>
      </c>
      <c r="O11" s="61"/>
      <c r="P11" s="62"/>
      <c r="Q11" s="62"/>
      <c r="R11" s="62"/>
      <c r="S11" s="62"/>
      <c r="T11" s="62"/>
      <c r="U11" s="62"/>
      <c r="V11" s="62"/>
      <c r="W11" s="62"/>
      <c r="X11" s="62"/>
    </row>
    <row r="12" spans="1:24" ht="13.5" hidden="1" customHeight="1">
      <c r="A12" s="843">
        <v>5</v>
      </c>
      <c r="B12" s="856" t="e">
        <f>IF(①基本情報!G40="有",①基本情報!G41,"無")</f>
        <v>#N/A</v>
      </c>
      <c r="C12" s="875" t="e">
        <f>IF(判定!AV10="NG","-",1)</f>
        <v>#DIV/0!</v>
      </c>
      <c r="D12" s="872" t="str">
        <f>IFERROR(INDEX($L$83:$M$88,MATCH(判定!AV10,$L$83:$L$88,0),2),"-")</f>
        <v>-</v>
      </c>
      <c r="E12" s="138" t="str">
        <f>IF(E6="","",E6)</f>
        <v/>
      </c>
      <c r="F12" s="138" t="str">
        <f>IF(F6="","",F6)</f>
        <v/>
      </c>
      <c r="G12" s="180" t="str">
        <f t="shared" ref="G12:G16" si="8">IF(E12="","",IF(R12="○",Q$5,IF(T12="○",S$5,IF(V12="○",U$5,IF(X12="○",W$5,"ERROR")))))</f>
        <v/>
      </c>
      <c r="H12" s="181" t="str">
        <f t="shared" ref="H12:H16" si="9">IF(E12="","",IF(R12="○",Q12,IF(T12="○",S12,IF(V12="○",U12,IF(X12="○",W12,"ERROR")))))</f>
        <v/>
      </c>
      <c r="I12" s="139" t="str">
        <f>IF($E12="","",IF($G12="正規職員","-",IF(AND(EXACT($C6,$C12),EXACT($E6,$E12),EXACT($G6,$G12)),I6,"賃金単価を記載")))</f>
        <v/>
      </c>
      <c r="J12" s="139" t="str">
        <f>IF($E12="","",IF($G12="正規職員","-","勤務日数を記載（定期利用の場合、1と記載)"))</f>
        <v/>
      </c>
      <c r="K12" s="139" t="str">
        <f>IF($E12="","",IF($G12="正規職員","-",IF(AND(EXACT($C6,$C12),EXACT($E6,$E12),EXACT($G6,$G12)),K6,"日額の交通費を記載（定期利用の場合は月額)")))</f>
        <v/>
      </c>
      <c r="L12" s="59" t="str">
        <f t="shared" ref="L12:L16" si="10">IF($E12="","",IF($G12="正規職員","-",(H12*I12+J12*K12)))</f>
        <v/>
      </c>
      <c r="M12" s="59">
        <f>$M$6</f>
        <v>221916.66666666701</v>
      </c>
      <c r="N12" s="59">
        <f t="shared" ref="N12" si="11">IFERROR(IF($C12="-","",IF(E12="",0,IF(G12="正規職員",M12,MIN(L12:M12)))),0)</f>
        <v>0</v>
      </c>
      <c r="O12" s="61" t="str">
        <f>IF(E12="","",IF(COUNTIFS(E12,"*給食室*")=1,"○","エラー"))</f>
        <v/>
      </c>
      <c r="P12" s="62">
        <v>4</v>
      </c>
      <c r="Q12" s="62" t="e">
        <f>VLOOKUP($E12&amp;Q$5,'②-2勤務時間数入力'!$D$7:$Q$106,$P12,FALSE)</f>
        <v>#N/A</v>
      </c>
      <c r="R12" s="62" t="str">
        <f>IF(ISERROR(Q12),"×",IF(Q12="-","×","○"))</f>
        <v>×</v>
      </c>
      <c r="S12" s="62" t="e">
        <f>VLOOKUP($E12&amp;S$5,'②-2勤務時間数入力'!$D$7:$Q$106,$P12,FALSE)</f>
        <v>#N/A</v>
      </c>
      <c r="T12" s="62" t="str">
        <f>IF(ISERROR(S12),"×",IF(S12="-","×","○"))</f>
        <v>×</v>
      </c>
      <c r="U12" s="62" t="e">
        <f>VLOOKUP($E12&amp;U$5,'②-2勤務時間数入力'!$D$7:$Q$106,$P12,FALSE)</f>
        <v>#N/A</v>
      </c>
      <c r="V12" s="62" t="str">
        <f>IF(ISERROR(U12),"×",IF(U12="-","×","○"))</f>
        <v>×</v>
      </c>
      <c r="W12" s="62" t="e">
        <f>VLOOKUP($E12&amp;W$5,'②-2勤務時間数入力'!$D$7:$Q$106,$P12,FALSE)</f>
        <v>#N/A</v>
      </c>
      <c r="X12" s="62" t="str">
        <f>IF(ISERROR(W12),"×",IF(W12="-","×","○"))</f>
        <v>×</v>
      </c>
    </row>
    <row r="13" spans="1:24" ht="13.5" hidden="1" customHeight="1">
      <c r="A13" s="854"/>
      <c r="B13" s="857"/>
      <c r="C13" s="876"/>
      <c r="D13" s="873"/>
      <c r="E13" s="138" t="str">
        <f t="shared" ref="E13:F13" si="12">IF(E7="","",E7)</f>
        <v/>
      </c>
      <c r="F13" s="138" t="str">
        <f t="shared" si="12"/>
        <v/>
      </c>
      <c r="G13" s="180" t="str">
        <f t="shared" si="8"/>
        <v/>
      </c>
      <c r="H13" s="181" t="str">
        <f t="shared" si="9"/>
        <v/>
      </c>
      <c r="I13" s="139" t="str">
        <f>IF($E13="","",IF($G13="正規職員","-",IF(AND(EXACT($C6,$C12),EXACT($E7,$E13),EXACT($G7,$G13)),I7,"賃金単価を記載")))</f>
        <v/>
      </c>
      <c r="J13" s="139" t="str">
        <f t="shared" ref="J13:J16" si="13">IF($E13="","",IF($G13="正規職員","-","勤務日数を記載（定期利用の場合、1と記載)"))</f>
        <v/>
      </c>
      <c r="K13" s="139" t="str">
        <f>IF($E13="","",IF($G13="正規職員","-",IF(AND(EXACT($C6,$C12),EXACT($E7,$E13),EXACT($G7,$G13)),K7,"日額の交通費を記載（定期利用の場合は月額)")))</f>
        <v/>
      </c>
      <c r="L13" s="59" t="str">
        <f t="shared" si="10"/>
        <v/>
      </c>
      <c r="M13" s="59">
        <f>$M$6</f>
        <v>221916.66666666701</v>
      </c>
      <c r="N13" s="59">
        <f t="shared" ref="N13" si="14">IFERROR(IF($C12="-","",IF(E13="","",IF(G13="正規職員",M13-M12,MIN(MIN(L13:M13),M12-N12)))),0)</f>
        <v>0</v>
      </c>
      <c r="O13" s="61" t="str">
        <f t="shared" ref="O13:O16" si="15">IF(E13="","",IF(COUNTIFS(E13,"*給食室*")=1,"○","エラー"))</f>
        <v/>
      </c>
      <c r="P13" s="62">
        <f t="shared" ref="P13:P16" si="16">P12</f>
        <v>4</v>
      </c>
      <c r="Q13" s="62" t="e">
        <f>VLOOKUP($E13&amp;Q$5,'②-2勤務時間数入力'!$D$7:$Q$106,$P13,FALSE)</f>
        <v>#N/A</v>
      </c>
      <c r="R13" s="62" t="str">
        <f>IF(ISERROR(Q13),"×",IF(Q13="-","×","○"))</f>
        <v>×</v>
      </c>
      <c r="S13" s="62" t="e">
        <f>VLOOKUP($E13&amp;S$5,'②-2勤務時間数入力'!$D$7:$Q$106,$P13,FALSE)</f>
        <v>#N/A</v>
      </c>
      <c r="T13" s="62" t="str">
        <f>IF(ISERROR(S13),"×",IF(S13="-","×","○"))</f>
        <v>×</v>
      </c>
      <c r="U13" s="62" t="e">
        <f>VLOOKUP($E13&amp;U$5,'②-2勤務時間数入力'!$D$7:$Q$106,$P13,FALSE)</f>
        <v>#N/A</v>
      </c>
      <c r="V13" s="62" t="str">
        <f>IF(ISERROR(U13),"×",IF(U13="-","×","○"))</f>
        <v>×</v>
      </c>
      <c r="W13" s="62" t="e">
        <f>VLOOKUP($E13&amp;W$5,'②-2勤務時間数入力'!$D$7:$Q$106,$P13,FALSE)</f>
        <v>#N/A</v>
      </c>
      <c r="X13" s="62" t="str">
        <f>IF(ISERROR(W13),"×",IF(W13="-","×","○"))</f>
        <v>×</v>
      </c>
    </row>
    <row r="14" spans="1:24" ht="13.5" hidden="1" customHeight="1">
      <c r="A14" s="854"/>
      <c r="B14" s="857"/>
      <c r="C14" s="876"/>
      <c r="D14" s="873"/>
      <c r="E14" s="138" t="str">
        <f t="shared" ref="E14:F14" si="17">IF(E8="","",E8)</f>
        <v/>
      </c>
      <c r="F14" s="138" t="str">
        <f t="shared" si="17"/>
        <v/>
      </c>
      <c r="G14" s="180" t="str">
        <f t="shared" si="8"/>
        <v/>
      </c>
      <c r="H14" s="181" t="str">
        <f t="shared" si="9"/>
        <v/>
      </c>
      <c r="I14" s="139" t="str">
        <f>IF($E14="","",IF($G14="正規職員","-",IF(AND(EXACT($C6,$C12),EXACT($E8,$E14),EXACT($G8,$G14)),I8,"賃金単価を記載")))</f>
        <v/>
      </c>
      <c r="J14" s="139" t="str">
        <f t="shared" si="13"/>
        <v/>
      </c>
      <c r="K14" s="139" t="str">
        <f>IF($E14="","",IF($G14="正規職員","-",IF(AND(EXACT($C6,$C12),EXACT($E8,$E14),EXACT($G8,$G14)),K8,"日額の交通費を記載（定期利用の場合は月額)")))</f>
        <v/>
      </c>
      <c r="L14" s="59" t="str">
        <f t="shared" si="10"/>
        <v/>
      </c>
      <c r="M14" s="59">
        <f>$M$6</f>
        <v>221916.66666666701</v>
      </c>
      <c r="N14" s="59">
        <f t="shared" ref="N14" si="18">IFERROR(IF($C12="-","",IF(E14="","",IF(G14="正規職員",M14-M13,MIN(MIN(L14:M14),M13-N13)))),0)</f>
        <v>0</v>
      </c>
      <c r="O14" s="61" t="str">
        <f t="shared" si="15"/>
        <v/>
      </c>
      <c r="P14" s="62">
        <f t="shared" si="16"/>
        <v>4</v>
      </c>
      <c r="Q14" s="62" t="e">
        <f>VLOOKUP($E14&amp;Q$5,'②-2勤務時間数入力'!$D$7:$Q$106,$P14,FALSE)</f>
        <v>#N/A</v>
      </c>
      <c r="R14" s="62" t="str">
        <f>IF(ISERROR(Q14),"×",IF(Q14="-","×","○"))</f>
        <v>×</v>
      </c>
      <c r="S14" s="62" t="e">
        <f>VLOOKUP($E14&amp;S$5,'②-2勤務時間数入力'!$D$7:$Q$106,$P14,FALSE)</f>
        <v>#N/A</v>
      </c>
      <c r="T14" s="62" t="str">
        <f>IF(ISERROR(S14),"×",IF(S14="-","×","○"))</f>
        <v>×</v>
      </c>
      <c r="U14" s="62" t="e">
        <f>VLOOKUP($E14&amp;U$5,'②-2勤務時間数入力'!$D$7:$Q$106,$P14,FALSE)</f>
        <v>#N/A</v>
      </c>
      <c r="V14" s="62" t="str">
        <f>IF(ISERROR(U14),"×",IF(U14="-","×","○"))</f>
        <v>×</v>
      </c>
      <c r="W14" s="62" t="e">
        <f>VLOOKUP($E14&amp;W$5,'②-2勤務時間数入力'!$D$7:$Q$106,$P14,FALSE)</f>
        <v>#N/A</v>
      </c>
      <c r="X14" s="62" t="str">
        <f>IF(ISERROR(W14),"×",IF(W14="-","×","○"))</f>
        <v>×</v>
      </c>
    </row>
    <row r="15" spans="1:24" ht="13.5" hidden="1" customHeight="1">
      <c r="A15" s="854"/>
      <c r="B15" s="857"/>
      <c r="C15" s="876"/>
      <c r="D15" s="873"/>
      <c r="E15" s="138" t="str">
        <f t="shared" ref="E15:F15" si="19">IF(E9="","",E9)</f>
        <v/>
      </c>
      <c r="F15" s="138" t="str">
        <f t="shared" si="19"/>
        <v/>
      </c>
      <c r="G15" s="180" t="str">
        <f t="shared" si="8"/>
        <v/>
      </c>
      <c r="H15" s="181" t="str">
        <f t="shared" si="9"/>
        <v/>
      </c>
      <c r="I15" s="139" t="str">
        <f>IF($E15="","",IF($G15="正規職員","-",IF(AND(EXACT($C6,$C12),EXACT($E9,$E15),EXACT($G9,$G15)),I9,"賃金単価を記載")))</f>
        <v/>
      </c>
      <c r="J15" s="139" t="str">
        <f t="shared" si="13"/>
        <v/>
      </c>
      <c r="K15" s="139" t="str">
        <f>IF($E15="","",IF($G15="正規職員","-",IF(AND(EXACT($C6,$C12),EXACT($E9,$E15),EXACT($G9,$G15)),K9,"日額の交通費を記載（定期利用の場合は月額)")))</f>
        <v/>
      </c>
      <c r="L15" s="59" t="str">
        <f t="shared" si="10"/>
        <v/>
      </c>
      <c r="M15" s="59">
        <f>$M$6</f>
        <v>221916.66666666701</v>
      </c>
      <c r="N15" s="59">
        <f t="shared" ref="N15" si="20">IFERROR(IF($C12="-","",IF(E15="","",IF(G15="正規職員",M15-M14,MIN(MIN(L15:M15),M14-N14)))),0)</f>
        <v>0</v>
      </c>
      <c r="O15" s="61" t="str">
        <f t="shared" si="15"/>
        <v/>
      </c>
      <c r="P15" s="62">
        <f t="shared" si="16"/>
        <v>4</v>
      </c>
      <c r="Q15" s="62" t="e">
        <f>VLOOKUP($E15&amp;Q$5,'②-2勤務時間数入力'!$D$7:$Q$106,$P15,FALSE)</f>
        <v>#N/A</v>
      </c>
      <c r="R15" s="62" t="str">
        <f>IF(ISERROR(Q15),"×",IF(Q15="-","×","○"))</f>
        <v>×</v>
      </c>
      <c r="S15" s="62" t="e">
        <f>VLOOKUP($E15&amp;S$5,'②-2勤務時間数入力'!$D$7:$Q$106,$P15,FALSE)</f>
        <v>#N/A</v>
      </c>
      <c r="T15" s="62" t="str">
        <f>IF(ISERROR(S15),"×",IF(S15="-","×","○"))</f>
        <v>×</v>
      </c>
      <c r="U15" s="62" t="e">
        <f>VLOOKUP($E15&amp;U$5,'②-2勤務時間数入力'!$D$7:$Q$106,$P15,FALSE)</f>
        <v>#N/A</v>
      </c>
      <c r="V15" s="62" t="str">
        <f>IF(ISERROR(U15),"×",IF(U15="-","×","○"))</f>
        <v>×</v>
      </c>
      <c r="W15" s="62" t="e">
        <f>VLOOKUP($E15&amp;W$5,'②-2勤務時間数入力'!$D$7:$Q$106,$P15,FALSE)</f>
        <v>#N/A</v>
      </c>
      <c r="X15" s="62" t="str">
        <f>IF(ISERROR(W15),"×",IF(W15="-","×","○"))</f>
        <v>×</v>
      </c>
    </row>
    <row r="16" spans="1:24" ht="13.5" hidden="1" customHeight="1">
      <c r="A16" s="854"/>
      <c r="B16" s="857"/>
      <c r="C16" s="876"/>
      <c r="D16" s="873"/>
      <c r="E16" s="138" t="str">
        <f t="shared" ref="E16:F16" si="21">IF(E10="","",E10)</f>
        <v/>
      </c>
      <c r="F16" s="138" t="str">
        <f t="shared" si="21"/>
        <v/>
      </c>
      <c r="G16" s="180" t="str">
        <f t="shared" si="8"/>
        <v/>
      </c>
      <c r="H16" s="181" t="str">
        <f t="shared" si="9"/>
        <v/>
      </c>
      <c r="I16" s="139" t="str">
        <f>IF($E16="","",IF($G16="正規職員","-",IF(AND(EXACT($C6,$C12),EXACT($E10,$E16),EXACT($G10,$G16)),I10,"賃金単価を記載")))</f>
        <v/>
      </c>
      <c r="J16" s="139" t="str">
        <f t="shared" si="13"/>
        <v/>
      </c>
      <c r="K16" s="139" t="str">
        <f>IF($E16="","",IF($G16="正規職員","-",IF(AND(EXACT($C6,$C12),EXACT($E10,$E16),EXACT($G10,$G16)),K10,"日額の交通費を記載（定期利用の場合は月額)")))</f>
        <v/>
      </c>
      <c r="L16" s="59" t="str">
        <f t="shared" si="10"/>
        <v/>
      </c>
      <c r="M16" s="59">
        <f>$M$6</f>
        <v>221916.66666666701</v>
      </c>
      <c r="N16" s="59">
        <f t="shared" ref="N16" si="22">IFERROR(IF($C12="-","",IF(E16="","",IF(G16="正規職員",M16-M15,MIN(MIN(L16:M16),M15-N15)))),0)</f>
        <v>0</v>
      </c>
      <c r="O16" s="61" t="str">
        <f t="shared" si="15"/>
        <v/>
      </c>
      <c r="P16" s="62">
        <f t="shared" si="16"/>
        <v>4</v>
      </c>
      <c r="Q16" s="62" t="e">
        <f>VLOOKUP($E16&amp;Q$5,'②-2勤務時間数入力'!$D$7:$Q$106,$P16,FALSE)</f>
        <v>#N/A</v>
      </c>
      <c r="R16" s="62" t="str">
        <f>IF(ISERROR(Q16),"×",IF(Q16="-","×","○"))</f>
        <v>×</v>
      </c>
      <c r="S16" s="62" t="e">
        <f>VLOOKUP($E16&amp;S$5,'②-2勤務時間数入力'!$D$7:$Q$106,$P16,FALSE)</f>
        <v>#N/A</v>
      </c>
      <c r="T16" s="62" t="str">
        <f>IF(ISERROR(S16),"×",IF(S16="-","×","○"))</f>
        <v>×</v>
      </c>
      <c r="U16" s="62" t="e">
        <f>VLOOKUP($E16&amp;U$5,'②-2勤務時間数入力'!$D$7:$Q$106,$P16,FALSE)</f>
        <v>#N/A</v>
      </c>
      <c r="V16" s="62" t="str">
        <f>IF(ISERROR(U16),"×",IF(U16="-","×","○"))</f>
        <v>×</v>
      </c>
      <c r="W16" s="62" t="e">
        <f>VLOOKUP($E16&amp;W$5,'②-2勤務時間数入力'!$D$7:$Q$106,$P16,FALSE)</f>
        <v>#N/A</v>
      </c>
      <c r="X16" s="62" t="str">
        <f>IF(ISERROR(W16),"×",IF(W16="-","×","○"))</f>
        <v>×</v>
      </c>
    </row>
    <row r="17" spans="1:24" ht="13.5" hidden="1" customHeight="1">
      <c r="A17" s="855"/>
      <c r="B17" s="858"/>
      <c r="C17" s="877"/>
      <c r="D17" s="874"/>
      <c r="E17" s="1" t="s">
        <v>274</v>
      </c>
      <c r="F17" s="1"/>
      <c r="G17" s="180" t="s">
        <v>273</v>
      </c>
      <c r="H17" s="432"/>
      <c r="I17" s="60" t="s">
        <v>273</v>
      </c>
      <c r="J17" s="60"/>
      <c r="K17" s="60"/>
      <c r="L17" s="60" t="s">
        <v>273</v>
      </c>
      <c r="M17" s="60" t="s">
        <v>273</v>
      </c>
      <c r="N17" s="59">
        <f>MIN(IFERROR(IF(C12=1,IF(AND(B12="配置",OR(D12="調理師等",D12="栄養士")),MAX(SUM(N12:N16)-①基本情報!G42+10000,0),SUM(N12:N16)),0),0),$M$6)</f>
        <v>0</v>
      </c>
      <c r="O17" s="61" t="e">
        <f>IF(SUM(N12:N16)&gt;#REF!*$M$6,MIN($M$6,SUM(N12:N16)-ROUNDDOWN(#REF!*$M$6,0)),0)</f>
        <v>#REF!</v>
      </c>
      <c r="P17" s="62"/>
      <c r="Q17" s="62"/>
      <c r="R17" s="62"/>
      <c r="S17" s="62"/>
      <c r="T17" s="62"/>
      <c r="U17" s="62"/>
      <c r="V17" s="62"/>
      <c r="W17" s="62"/>
      <c r="X17" s="62"/>
    </row>
    <row r="18" spans="1:24" ht="13.5" hidden="1" customHeight="1">
      <c r="A18" s="843">
        <v>6</v>
      </c>
      <c r="B18" s="856" t="e">
        <f>IF(①基本情報!H40="有",①基本情報!H41,"無")</f>
        <v>#N/A</v>
      </c>
      <c r="C18" s="875" t="e">
        <f>IF(判定!AV11="NG","-",1)</f>
        <v>#DIV/0!</v>
      </c>
      <c r="D18" s="872" t="str">
        <f>IFERROR(INDEX($L$83:$M$88,MATCH(判定!AV11,$L$83:$L$88,0),2),"-")</f>
        <v>-</v>
      </c>
      <c r="E18" s="138" t="str">
        <f>IF(E12="","",E12)</f>
        <v/>
      </c>
      <c r="F18" s="138" t="str">
        <f>IF(F12="","",F12)</f>
        <v/>
      </c>
      <c r="G18" s="180" t="str">
        <f t="shared" ref="G18:G22" si="23">IF(E18="","",IF(R18="○",Q$5,IF(T18="○",S$5,IF(V18="○",U$5,IF(X18="○",W$5,"ERROR")))))</f>
        <v/>
      </c>
      <c r="H18" s="181" t="str">
        <f t="shared" ref="H18:H22" si="24">IF(E18="","",IF(R18="○",Q18,IF(T18="○",S18,IF(V18="○",U18,IF(X18="○",W18,"ERROR")))))</f>
        <v/>
      </c>
      <c r="I18" s="139" t="str">
        <f>IF($E18="","",IF($G18="正規職員","-",IF(AND(EXACT($C12,$C18),EXACT($E12,$E18),EXACT($G12,$G18)),I12,"賃金単価を記載")))</f>
        <v/>
      </c>
      <c r="J18" s="139" t="str">
        <f>IF($E18="","",IF($G18="正規職員","-","勤務日数を記載（定期利用の場合、1と記載)"))</f>
        <v/>
      </c>
      <c r="K18" s="139" t="str">
        <f>IF($E18="","",IF($G18="正規職員","-",IF(AND(EXACT($C12,$C18),EXACT($E12,$E18),EXACT($G12,$G18)),K12,"日額の交通費を記載（定期利用の場合は月額)")))</f>
        <v/>
      </c>
      <c r="L18" s="59" t="str">
        <f t="shared" ref="L18:L22" si="25">IF($E18="","",IF($G18="正規職員","-",(H18*I18+J18*K18)))</f>
        <v/>
      </c>
      <c r="M18" s="59">
        <f>$M$6</f>
        <v>221916.66666666701</v>
      </c>
      <c r="N18" s="59">
        <f t="shared" ref="N18" si="26">IFERROR(IF($C18="-","",IF(E18="",0,IF(G18="正規職員",M18,MIN(L18:M18)))),0)</f>
        <v>0</v>
      </c>
      <c r="O18" s="61" t="str">
        <f>IF(E18="","",IF(COUNTIFS(E18,"*給食室*")=1,"○","エラー"))</f>
        <v/>
      </c>
      <c r="P18" s="62">
        <v>5</v>
      </c>
      <c r="Q18" s="62" t="e">
        <f>VLOOKUP($E18&amp;Q$5,'②-2勤務時間数入力'!$D$7:$Q$106,$P18,FALSE)</f>
        <v>#N/A</v>
      </c>
      <c r="R18" s="62" t="str">
        <f>IF(ISERROR(Q18),"×",IF(Q18="-","×","○"))</f>
        <v>×</v>
      </c>
      <c r="S18" s="62" t="e">
        <f>VLOOKUP($E18&amp;S$5,'②-2勤務時間数入力'!$D$7:$Q$106,$P18,FALSE)</f>
        <v>#N/A</v>
      </c>
      <c r="T18" s="62" t="str">
        <f>IF(ISERROR(S18),"×",IF(S18="-","×","○"))</f>
        <v>×</v>
      </c>
      <c r="U18" s="62" t="e">
        <f>VLOOKUP($E18&amp;U$5,'②-2勤務時間数入力'!$D$7:$Q$106,$P18,FALSE)</f>
        <v>#N/A</v>
      </c>
      <c r="V18" s="62" t="str">
        <f>IF(ISERROR(U18),"×",IF(U18="-","×","○"))</f>
        <v>×</v>
      </c>
      <c r="W18" s="62" t="e">
        <f>VLOOKUP($E18&amp;W$5,'②-2勤務時間数入力'!$D$7:$Q$106,$P18,FALSE)</f>
        <v>#N/A</v>
      </c>
      <c r="X18" s="62" t="str">
        <f>IF(ISERROR(W18),"×",IF(W18="-","×","○"))</f>
        <v>×</v>
      </c>
    </row>
    <row r="19" spans="1:24" ht="13.5" hidden="1" customHeight="1">
      <c r="A19" s="854"/>
      <c r="B19" s="857"/>
      <c r="C19" s="876"/>
      <c r="D19" s="873"/>
      <c r="E19" s="138" t="str">
        <f t="shared" ref="E19:F19" si="27">IF(E13="","",E13)</f>
        <v/>
      </c>
      <c r="F19" s="138" t="str">
        <f t="shared" si="27"/>
        <v/>
      </c>
      <c r="G19" s="180" t="str">
        <f t="shared" si="23"/>
        <v/>
      </c>
      <c r="H19" s="181" t="str">
        <f t="shared" si="24"/>
        <v/>
      </c>
      <c r="I19" s="139" t="str">
        <f>IF($E19="","",IF($G19="正規職員","-",IF(AND(EXACT($C12,$C18),EXACT($E13,$E19),EXACT($G13,$G19)),I13,"賃金単価を記載")))</f>
        <v/>
      </c>
      <c r="J19" s="139" t="str">
        <f t="shared" ref="J19:J22" si="28">IF($E19="","",IF($G19="正規職員","-","勤務日数を記載（定期利用の場合、1と記載)"))</f>
        <v/>
      </c>
      <c r="K19" s="139" t="str">
        <f>IF($E19="","",IF($G19="正規職員","-",IF(AND(EXACT($C12,$C18),EXACT($E13,$E19),EXACT($G13,$G19)),K13,"日額の交通費を記載（定期利用の場合は月額)")))</f>
        <v/>
      </c>
      <c r="L19" s="59" t="str">
        <f t="shared" si="25"/>
        <v/>
      </c>
      <c r="M19" s="59">
        <f>$M$6</f>
        <v>221916.66666666701</v>
      </c>
      <c r="N19" s="59">
        <f t="shared" ref="N19" si="29">IFERROR(IF($C18="-","",IF(E19="","",IF(G19="正規職員",M19-M18,MIN(MIN(L19:M19),M18-N18)))),0)</f>
        <v>0</v>
      </c>
      <c r="O19" s="61" t="str">
        <f t="shared" ref="O19:O22" si="30">IF(E19="","",IF(COUNTIFS(E19,"*給食室*")=1,"○","エラー"))</f>
        <v/>
      </c>
      <c r="P19" s="62">
        <f t="shared" ref="P19:P22" si="31">P18</f>
        <v>5</v>
      </c>
      <c r="Q19" s="62" t="e">
        <f>VLOOKUP($E19&amp;Q$5,'②-2勤務時間数入力'!$D$7:$Q$106,$P19,FALSE)</f>
        <v>#N/A</v>
      </c>
      <c r="R19" s="62" t="str">
        <f>IF(ISERROR(Q19),"×",IF(Q19="-","×","○"))</f>
        <v>×</v>
      </c>
      <c r="S19" s="62" t="e">
        <f>VLOOKUP($E19&amp;S$5,'②-2勤務時間数入力'!$D$7:$Q$106,$P19,FALSE)</f>
        <v>#N/A</v>
      </c>
      <c r="T19" s="62" t="str">
        <f>IF(ISERROR(S19),"×",IF(S19="-","×","○"))</f>
        <v>×</v>
      </c>
      <c r="U19" s="62" t="e">
        <f>VLOOKUP($E19&amp;U$5,'②-2勤務時間数入力'!$D$7:$Q$106,$P19,FALSE)</f>
        <v>#N/A</v>
      </c>
      <c r="V19" s="62" t="str">
        <f>IF(ISERROR(U19),"×",IF(U19="-","×","○"))</f>
        <v>×</v>
      </c>
      <c r="W19" s="62" t="e">
        <f>VLOOKUP($E19&amp;W$5,'②-2勤務時間数入力'!$D$7:$Q$106,$P19,FALSE)</f>
        <v>#N/A</v>
      </c>
      <c r="X19" s="62" t="str">
        <f>IF(ISERROR(W19),"×",IF(W19="-","×","○"))</f>
        <v>×</v>
      </c>
    </row>
    <row r="20" spans="1:24" ht="13.5" hidden="1" customHeight="1">
      <c r="A20" s="854"/>
      <c r="B20" s="857"/>
      <c r="C20" s="876"/>
      <c r="D20" s="873"/>
      <c r="E20" s="138" t="str">
        <f t="shared" ref="E20:F20" si="32">IF(E14="","",E14)</f>
        <v/>
      </c>
      <c r="F20" s="138" t="str">
        <f t="shared" si="32"/>
        <v/>
      </c>
      <c r="G20" s="180" t="str">
        <f t="shared" si="23"/>
        <v/>
      </c>
      <c r="H20" s="181" t="str">
        <f t="shared" si="24"/>
        <v/>
      </c>
      <c r="I20" s="139" t="str">
        <f>IF($E20="","",IF($G20="正規職員","-",IF(AND(EXACT($C12,$C18),EXACT($E14,$E20),EXACT($G14,$G20)),I14,"賃金単価を記載")))</f>
        <v/>
      </c>
      <c r="J20" s="139" t="str">
        <f t="shared" si="28"/>
        <v/>
      </c>
      <c r="K20" s="139" t="str">
        <f>IF($E20="","",IF($G20="正規職員","-",IF(AND(EXACT($C12,$C18),EXACT($E14,$E20),EXACT($G14,$G20)),K14,"日額の交通費を記載（定期利用の場合は月額)")))</f>
        <v/>
      </c>
      <c r="L20" s="59" t="str">
        <f t="shared" si="25"/>
        <v/>
      </c>
      <c r="M20" s="59">
        <f>$M$6</f>
        <v>221916.66666666701</v>
      </c>
      <c r="N20" s="59">
        <f t="shared" ref="N20" si="33">IFERROR(IF($C18="-","",IF(E20="","",IF(G20="正規職員",M20-M19,MIN(MIN(L20:M20),M19-N19)))),0)</f>
        <v>0</v>
      </c>
      <c r="O20" s="61" t="str">
        <f t="shared" si="30"/>
        <v/>
      </c>
      <c r="P20" s="62">
        <f t="shared" si="31"/>
        <v>5</v>
      </c>
      <c r="Q20" s="62" t="e">
        <f>VLOOKUP($E20&amp;Q$5,'②-2勤務時間数入力'!$D$7:$Q$106,$P20,FALSE)</f>
        <v>#N/A</v>
      </c>
      <c r="R20" s="62" t="str">
        <f>IF(ISERROR(Q20),"×",IF(Q20="-","×","○"))</f>
        <v>×</v>
      </c>
      <c r="S20" s="62" t="e">
        <f>VLOOKUP($E20&amp;S$5,'②-2勤務時間数入力'!$D$7:$Q$106,$P20,FALSE)</f>
        <v>#N/A</v>
      </c>
      <c r="T20" s="62" t="str">
        <f>IF(ISERROR(S20),"×",IF(S20="-","×","○"))</f>
        <v>×</v>
      </c>
      <c r="U20" s="62" t="e">
        <f>VLOOKUP($E20&amp;U$5,'②-2勤務時間数入力'!$D$7:$Q$106,$P20,FALSE)</f>
        <v>#N/A</v>
      </c>
      <c r="V20" s="62" t="str">
        <f>IF(ISERROR(U20),"×",IF(U20="-","×","○"))</f>
        <v>×</v>
      </c>
      <c r="W20" s="62" t="e">
        <f>VLOOKUP($E20&amp;W$5,'②-2勤務時間数入力'!$D$7:$Q$106,$P20,FALSE)</f>
        <v>#N/A</v>
      </c>
      <c r="X20" s="62" t="str">
        <f>IF(ISERROR(W20),"×",IF(W20="-","×","○"))</f>
        <v>×</v>
      </c>
    </row>
    <row r="21" spans="1:24" ht="13.5" hidden="1" customHeight="1">
      <c r="A21" s="854"/>
      <c r="B21" s="857"/>
      <c r="C21" s="876"/>
      <c r="D21" s="873"/>
      <c r="E21" s="138" t="str">
        <f t="shared" ref="E21:F21" si="34">IF(E15="","",E15)</f>
        <v/>
      </c>
      <c r="F21" s="138" t="str">
        <f t="shared" si="34"/>
        <v/>
      </c>
      <c r="G21" s="180" t="str">
        <f t="shared" si="23"/>
        <v/>
      </c>
      <c r="H21" s="181" t="str">
        <f t="shared" si="24"/>
        <v/>
      </c>
      <c r="I21" s="139" t="str">
        <f>IF($E21="","",IF($G21="正規職員","-",IF(AND(EXACT($C12,$C18),EXACT($E15,$E21),EXACT($G15,$G21)),I15,"賃金単価を記載")))</f>
        <v/>
      </c>
      <c r="J21" s="139" t="str">
        <f t="shared" si="28"/>
        <v/>
      </c>
      <c r="K21" s="139" t="str">
        <f>IF($E21="","",IF($G21="正規職員","-",IF(AND(EXACT($C12,$C18),EXACT($E15,$E21),EXACT($G15,$G21)),K15,"日額の交通費を記載（定期利用の場合は月額)")))</f>
        <v/>
      </c>
      <c r="L21" s="59" t="str">
        <f t="shared" si="25"/>
        <v/>
      </c>
      <c r="M21" s="59">
        <f>$M$6</f>
        <v>221916.66666666701</v>
      </c>
      <c r="N21" s="59">
        <f t="shared" ref="N21" si="35">IFERROR(IF($C18="-","",IF(E21="","",IF(G21="正規職員",M21-M20,MIN(MIN(L21:M21),M20-N20)))),0)</f>
        <v>0</v>
      </c>
      <c r="O21" s="61" t="str">
        <f t="shared" si="30"/>
        <v/>
      </c>
      <c r="P21" s="62">
        <f t="shared" si="31"/>
        <v>5</v>
      </c>
      <c r="Q21" s="62" t="e">
        <f>VLOOKUP($E21&amp;Q$5,'②-2勤務時間数入力'!$D$7:$Q$106,$P21,FALSE)</f>
        <v>#N/A</v>
      </c>
      <c r="R21" s="62" t="str">
        <f>IF(ISERROR(Q21),"×",IF(Q21="-","×","○"))</f>
        <v>×</v>
      </c>
      <c r="S21" s="62" t="e">
        <f>VLOOKUP($E21&amp;S$5,'②-2勤務時間数入力'!$D$7:$Q$106,$P21,FALSE)</f>
        <v>#N/A</v>
      </c>
      <c r="T21" s="62" t="str">
        <f>IF(ISERROR(S21),"×",IF(S21="-","×","○"))</f>
        <v>×</v>
      </c>
      <c r="U21" s="62" t="e">
        <f>VLOOKUP($E21&amp;U$5,'②-2勤務時間数入力'!$D$7:$Q$106,$P21,FALSE)</f>
        <v>#N/A</v>
      </c>
      <c r="V21" s="62" t="str">
        <f>IF(ISERROR(U21),"×",IF(U21="-","×","○"))</f>
        <v>×</v>
      </c>
      <c r="W21" s="62" t="e">
        <f>VLOOKUP($E21&amp;W$5,'②-2勤務時間数入力'!$D$7:$Q$106,$P21,FALSE)</f>
        <v>#N/A</v>
      </c>
      <c r="X21" s="62" t="str">
        <f>IF(ISERROR(W21),"×",IF(W21="-","×","○"))</f>
        <v>×</v>
      </c>
    </row>
    <row r="22" spans="1:24" ht="13.5" hidden="1" customHeight="1">
      <c r="A22" s="854"/>
      <c r="B22" s="857"/>
      <c r="C22" s="876"/>
      <c r="D22" s="873"/>
      <c r="E22" s="138" t="str">
        <f t="shared" ref="E22:F22" si="36">IF(E16="","",E16)</f>
        <v/>
      </c>
      <c r="F22" s="138" t="str">
        <f t="shared" si="36"/>
        <v/>
      </c>
      <c r="G22" s="180" t="str">
        <f t="shared" si="23"/>
        <v/>
      </c>
      <c r="H22" s="181" t="str">
        <f t="shared" si="24"/>
        <v/>
      </c>
      <c r="I22" s="139" t="str">
        <f>IF($E22="","",IF($G22="正規職員","-",IF(AND(EXACT($C12,$C18),EXACT($E16,$E22),EXACT($G16,$G22)),I16,"賃金単価を記載")))</f>
        <v/>
      </c>
      <c r="J22" s="139" t="str">
        <f t="shared" si="28"/>
        <v/>
      </c>
      <c r="K22" s="139" t="str">
        <f>IF($E22="","",IF($G22="正規職員","-",IF(AND(EXACT($C12,$C18),EXACT($E16,$E22),EXACT($G16,$G22)),K16,"日額の交通費を記載（定期利用の場合は月額)")))</f>
        <v/>
      </c>
      <c r="L22" s="59" t="str">
        <f t="shared" si="25"/>
        <v/>
      </c>
      <c r="M22" s="59">
        <f>$M$6</f>
        <v>221916.66666666701</v>
      </c>
      <c r="N22" s="59">
        <f t="shared" ref="N22" si="37">IFERROR(IF($C18="-","",IF(E22="","",IF(G22="正規職員",M22-M21,MIN(MIN(L22:M22),M21-N21)))),0)</f>
        <v>0</v>
      </c>
      <c r="O22" s="61" t="str">
        <f t="shared" si="30"/>
        <v/>
      </c>
      <c r="P22" s="62">
        <f t="shared" si="31"/>
        <v>5</v>
      </c>
      <c r="Q22" s="62" t="e">
        <f>VLOOKUP($E22&amp;Q$5,'②-2勤務時間数入力'!$D$7:$Q$106,$P22,FALSE)</f>
        <v>#N/A</v>
      </c>
      <c r="R22" s="62" t="str">
        <f>IF(ISERROR(Q22),"×",IF(Q22="-","×","○"))</f>
        <v>×</v>
      </c>
      <c r="S22" s="62" t="e">
        <f>VLOOKUP($E22&amp;S$5,'②-2勤務時間数入力'!$D$7:$Q$106,$P22,FALSE)</f>
        <v>#N/A</v>
      </c>
      <c r="T22" s="62" t="str">
        <f>IF(ISERROR(S22),"×",IF(S22="-","×","○"))</f>
        <v>×</v>
      </c>
      <c r="U22" s="62" t="e">
        <f>VLOOKUP($E22&amp;U$5,'②-2勤務時間数入力'!$D$7:$Q$106,$P22,FALSE)</f>
        <v>#N/A</v>
      </c>
      <c r="V22" s="62" t="str">
        <f>IF(ISERROR(U22),"×",IF(U22="-","×","○"))</f>
        <v>×</v>
      </c>
      <c r="W22" s="62" t="e">
        <f>VLOOKUP($E22&amp;W$5,'②-2勤務時間数入力'!$D$7:$Q$106,$P22,FALSE)</f>
        <v>#N/A</v>
      </c>
      <c r="X22" s="62" t="str">
        <f>IF(ISERROR(W22),"×",IF(W22="-","×","○"))</f>
        <v>×</v>
      </c>
    </row>
    <row r="23" spans="1:24" ht="13.5" hidden="1" customHeight="1">
      <c r="A23" s="855"/>
      <c r="B23" s="858"/>
      <c r="C23" s="877"/>
      <c r="D23" s="874"/>
      <c r="E23" s="1" t="s">
        <v>275</v>
      </c>
      <c r="F23" s="1"/>
      <c r="G23" s="180" t="s">
        <v>273</v>
      </c>
      <c r="H23" s="432"/>
      <c r="I23" s="60" t="s">
        <v>273</v>
      </c>
      <c r="J23" s="60"/>
      <c r="K23" s="60"/>
      <c r="L23" s="60" t="s">
        <v>273</v>
      </c>
      <c r="M23" s="60" t="s">
        <v>273</v>
      </c>
      <c r="N23" s="59">
        <f>MIN(IFERROR(IF(C18=1,IF(AND(B18="配置",OR(D18="調理師等",D18="栄養士")),MAX(SUM(N18:N22)-①基本情報!H42+10000,0),SUM(N18:N22)),0),0),$M$6)</f>
        <v>0</v>
      </c>
      <c r="O23" s="61" t="e">
        <f>IF(SUM(N18:N22)&gt;#REF!*$M$6,MIN($M$6,SUM(N18:N22)-ROUNDDOWN(#REF!*$M$6,0)),0)</f>
        <v>#REF!</v>
      </c>
      <c r="P23" s="62"/>
      <c r="Q23" s="62"/>
      <c r="R23" s="62"/>
      <c r="S23" s="62"/>
      <c r="T23" s="62"/>
      <c r="U23" s="62"/>
      <c r="V23" s="62"/>
      <c r="W23" s="62"/>
      <c r="X23" s="62"/>
    </row>
    <row r="24" spans="1:24" ht="13.5" hidden="1" customHeight="1">
      <c r="A24" s="843">
        <v>7</v>
      </c>
      <c r="B24" s="856" t="e">
        <f>IF(①基本情報!I40="有",①基本情報!I41,"無")</f>
        <v>#N/A</v>
      </c>
      <c r="C24" s="875" t="e">
        <f>IF(判定!AV12="NG","-",1)</f>
        <v>#DIV/0!</v>
      </c>
      <c r="D24" s="872" t="str">
        <f>IFERROR(INDEX($L$83:$M$88,MATCH(判定!AV12,$L$83:$L$88,0),2),"-")</f>
        <v>-</v>
      </c>
      <c r="E24" s="138" t="str">
        <f>IF(E18="","",E18)</f>
        <v/>
      </c>
      <c r="F24" s="138" t="str">
        <f>IF(F18="","",F18)</f>
        <v/>
      </c>
      <c r="G24" s="180" t="str">
        <f t="shared" ref="G24:G28" si="38">IF(E24="","",IF(R24="○",Q$5,IF(T24="○",S$5,IF(V24="○",U$5,IF(X24="○",W$5,"ERROR")))))</f>
        <v/>
      </c>
      <c r="H24" s="181" t="str">
        <f t="shared" ref="H24:H28" si="39">IF(E24="","",IF(R24="○",Q24,IF(T24="○",S24,IF(V24="○",U24,IF(X24="○",W24,"ERROR")))))</f>
        <v/>
      </c>
      <c r="I24" s="139" t="str">
        <f>IF($E24="","",IF($G24="正規職員","-",IF(AND(EXACT($C18,$C24),EXACT($E18,$E24),EXACT($G18,$G24)),I18,"賃金単価を記載")))</f>
        <v/>
      </c>
      <c r="J24" s="139" t="str">
        <f>IF($E24="","",IF($G24="正規職員","-","勤務日数を記載（定期利用の場合、1と記載)"))</f>
        <v/>
      </c>
      <c r="K24" s="139" t="str">
        <f>IF($E24="","",IF($G24="正規職員","-",IF(AND(EXACT($C18,$C24),EXACT($E18,$E24),EXACT($G18,$G24)),K18,"日額の交通費を記載（定期利用の場合は月額)")))</f>
        <v/>
      </c>
      <c r="L24" s="59" t="str">
        <f t="shared" ref="L24:L28" si="40">IF($E24="","",IF($G24="正規職員","-",(H24*I24+J24*K24)))</f>
        <v/>
      </c>
      <c r="M24" s="59">
        <f>$M$6</f>
        <v>221916.66666666701</v>
      </c>
      <c r="N24" s="59">
        <f t="shared" ref="N24" si="41">IFERROR(IF($C24="-","",IF(E24="",0,IF(G24="正規職員",M24,MIN(L24:M24)))),0)</f>
        <v>0</v>
      </c>
      <c r="O24" s="61" t="str">
        <f>IF(E24="","",IF(COUNTIFS(E24,"*給食室*")=1,"○","エラー"))</f>
        <v/>
      </c>
      <c r="P24" s="62">
        <v>6</v>
      </c>
      <c r="Q24" s="62" t="e">
        <f>VLOOKUP($E24&amp;Q$5,'②-2勤務時間数入力'!$D$7:$Q$106,$P24,FALSE)</f>
        <v>#N/A</v>
      </c>
      <c r="R24" s="62" t="str">
        <f>IF(ISERROR(Q24),"×",IF(Q24="-","×","○"))</f>
        <v>×</v>
      </c>
      <c r="S24" s="62" t="e">
        <f>VLOOKUP($E24&amp;S$5,'②-2勤務時間数入力'!$D$7:$Q$106,$P24,FALSE)</f>
        <v>#N/A</v>
      </c>
      <c r="T24" s="62" t="str">
        <f>IF(ISERROR(S24),"×",IF(S24="-","×","○"))</f>
        <v>×</v>
      </c>
      <c r="U24" s="62" t="e">
        <f>VLOOKUP($E24&amp;U$5,'②-2勤務時間数入力'!$D$7:$Q$106,$P24,FALSE)</f>
        <v>#N/A</v>
      </c>
      <c r="V24" s="62" t="str">
        <f>IF(ISERROR(U24),"×",IF(U24="-","×","○"))</f>
        <v>×</v>
      </c>
      <c r="W24" s="62" t="e">
        <f>VLOOKUP($E24&amp;W$5,'②-2勤務時間数入力'!$D$7:$Q$106,$P24,FALSE)</f>
        <v>#N/A</v>
      </c>
      <c r="X24" s="62" t="str">
        <f>IF(ISERROR(W24),"×",IF(W24="-","×","○"))</f>
        <v>×</v>
      </c>
    </row>
    <row r="25" spans="1:24" ht="13.5" hidden="1" customHeight="1">
      <c r="A25" s="854"/>
      <c r="B25" s="857"/>
      <c r="C25" s="876"/>
      <c r="D25" s="873"/>
      <c r="E25" s="138" t="str">
        <f t="shared" ref="E25:F25" si="42">IF(E19="","",E19)</f>
        <v/>
      </c>
      <c r="F25" s="138" t="str">
        <f t="shared" si="42"/>
        <v/>
      </c>
      <c r="G25" s="180" t="str">
        <f t="shared" si="38"/>
        <v/>
      </c>
      <c r="H25" s="181" t="str">
        <f t="shared" si="39"/>
        <v/>
      </c>
      <c r="I25" s="139" t="str">
        <f>IF($E25="","",IF($G25="正規職員","-",IF(AND(EXACT($C18,$C24),EXACT($E19,$E25),EXACT($G19,$G25)),I19,"賃金単価を記載")))</f>
        <v/>
      </c>
      <c r="J25" s="139" t="str">
        <f t="shared" ref="J25:J28" si="43">IF($E25="","",IF($G25="正規職員","-","勤務日数を記載（定期利用の場合、1と記載)"))</f>
        <v/>
      </c>
      <c r="K25" s="139" t="str">
        <f>IF($E25="","",IF($G25="正規職員","-",IF(AND(EXACT($C18,$C24),EXACT($E19,$E25),EXACT($G19,$G25)),K19,"日額の交通費を記載（定期利用の場合は月額)")))</f>
        <v/>
      </c>
      <c r="L25" s="59" t="str">
        <f t="shared" si="40"/>
        <v/>
      </c>
      <c r="M25" s="59">
        <f>$M$6</f>
        <v>221916.66666666701</v>
      </c>
      <c r="N25" s="59">
        <f t="shared" ref="N25" si="44">IFERROR(IF($C24="-","",IF(E25="","",IF(G25="正規職員",M25-M24,MIN(MIN(L25:M25),M24-N24)))),0)</f>
        <v>0</v>
      </c>
      <c r="O25" s="61" t="str">
        <f t="shared" ref="O25:O28" si="45">IF(E25="","",IF(COUNTIFS(E25,"*給食室*")=1,"○","エラー"))</f>
        <v/>
      </c>
      <c r="P25" s="62">
        <f t="shared" ref="P25:P28" si="46">P24</f>
        <v>6</v>
      </c>
      <c r="Q25" s="62" t="e">
        <f>VLOOKUP($E25&amp;Q$5,'②-2勤務時間数入力'!$D$7:$Q$106,$P25,FALSE)</f>
        <v>#N/A</v>
      </c>
      <c r="R25" s="62" t="str">
        <f>IF(ISERROR(Q25),"×",IF(Q25="-","×","○"))</f>
        <v>×</v>
      </c>
      <c r="S25" s="62" t="e">
        <f>VLOOKUP($E25&amp;S$5,'②-2勤務時間数入力'!$D$7:$Q$106,$P25,FALSE)</f>
        <v>#N/A</v>
      </c>
      <c r="T25" s="62" t="str">
        <f>IF(ISERROR(S25),"×",IF(S25="-","×","○"))</f>
        <v>×</v>
      </c>
      <c r="U25" s="62" t="e">
        <f>VLOOKUP($E25&amp;U$5,'②-2勤務時間数入力'!$D$7:$Q$106,$P25,FALSE)</f>
        <v>#N/A</v>
      </c>
      <c r="V25" s="62" t="str">
        <f>IF(ISERROR(U25),"×",IF(U25="-","×","○"))</f>
        <v>×</v>
      </c>
      <c r="W25" s="62" t="e">
        <f>VLOOKUP($E25&amp;W$5,'②-2勤務時間数入力'!$D$7:$Q$106,$P25,FALSE)</f>
        <v>#N/A</v>
      </c>
      <c r="X25" s="62" t="str">
        <f>IF(ISERROR(W25),"×",IF(W25="-","×","○"))</f>
        <v>×</v>
      </c>
    </row>
    <row r="26" spans="1:24" ht="13.5" hidden="1" customHeight="1">
      <c r="A26" s="854"/>
      <c r="B26" s="857"/>
      <c r="C26" s="876"/>
      <c r="D26" s="873"/>
      <c r="E26" s="138" t="str">
        <f t="shared" ref="E26:F26" si="47">IF(E20="","",E20)</f>
        <v/>
      </c>
      <c r="F26" s="138" t="str">
        <f t="shared" si="47"/>
        <v/>
      </c>
      <c r="G26" s="180" t="str">
        <f t="shared" si="38"/>
        <v/>
      </c>
      <c r="H26" s="181" t="str">
        <f t="shared" si="39"/>
        <v/>
      </c>
      <c r="I26" s="139" t="str">
        <f>IF($E26="","",IF($G26="正規職員","-",IF(AND(EXACT($C18,$C24),EXACT($E20,$E26),EXACT($G20,$G26)),I20,"賃金単価を記載")))</f>
        <v/>
      </c>
      <c r="J26" s="139" t="str">
        <f t="shared" si="43"/>
        <v/>
      </c>
      <c r="K26" s="139" t="str">
        <f>IF($E26="","",IF($G26="正規職員","-",IF(AND(EXACT($C18,$C24),EXACT($E20,$E26),EXACT($G20,$G26)),K20,"日額の交通費を記載（定期利用の場合は月額)")))</f>
        <v/>
      </c>
      <c r="L26" s="59" t="str">
        <f t="shared" si="40"/>
        <v/>
      </c>
      <c r="M26" s="59">
        <f>$M$6</f>
        <v>221916.66666666701</v>
      </c>
      <c r="N26" s="59">
        <f t="shared" ref="N26" si="48">IFERROR(IF($C24="-","",IF(E26="","",IF(G26="正規職員",M26-M25,MIN(MIN(L26:M26),M25-N25)))),0)</f>
        <v>0</v>
      </c>
      <c r="O26" s="61" t="str">
        <f>IF(E26="","",IF(COUNTIFS(E26,"*給食室*")=1,"○","エラー"))</f>
        <v/>
      </c>
      <c r="P26" s="62">
        <f t="shared" si="46"/>
        <v>6</v>
      </c>
      <c r="Q26" s="62" t="e">
        <f>VLOOKUP($E26&amp;Q$5,'②-2勤務時間数入力'!$D$7:$Q$106,$P26,FALSE)</f>
        <v>#N/A</v>
      </c>
      <c r="R26" s="62" t="str">
        <f>IF(ISERROR(Q26),"×",IF(Q26="-","×","○"))</f>
        <v>×</v>
      </c>
      <c r="S26" s="62" t="e">
        <f>VLOOKUP($E26&amp;S$5,'②-2勤務時間数入力'!$D$7:$Q$106,$P26,FALSE)</f>
        <v>#N/A</v>
      </c>
      <c r="T26" s="62" t="str">
        <f>IF(ISERROR(S26),"×",IF(S26="-","×","○"))</f>
        <v>×</v>
      </c>
      <c r="U26" s="62" t="e">
        <f>VLOOKUP($E26&amp;U$5,'②-2勤務時間数入力'!$D$7:$Q$106,$P26,FALSE)</f>
        <v>#N/A</v>
      </c>
      <c r="V26" s="62" t="str">
        <f>IF(ISERROR(U26),"×",IF(U26="-","×","○"))</f>
        <v>×</v>
      </c>
      <c r="W26" s="62" t="e">
        <f>VLOOKUP($E26&amp;W$5,'②-2勤務時間数入力'!$D$7:$Q$106,$P26,FALSE)</f>
        <v>#N/A</v>
      </c>
      <c r="X26" s="62" t="str">
        <f>IF(ISERROR(W26),"×",IF(W26="-","×","○"))</f>
        <v>×</v>
      </c>
    </row>
    <row r="27" spans="1:24" ht="13.5" hidden="1" customHeight="1">
      <c r="A27" s="854"/>
      <c r="B27" s="857"/>
      <c r="C27" s="876"/>
      <c r="D27" s="873"/>
      <c r="E27" s="138" t="str">
        <f t="shared" ref="E27:F27" si="49">IF(E21="","",E21)</f>
        <v/>
      </c>
      <c r="F27" s="138" t="str">
        <f t="shared" si="49"/>
        <v/>
      </c>
      <c r="G27" s="180" t="str">
        <f t="shared" si="38"/>
        <v/>
      </c>
      <c r="H27" s="181" t="str">
        <f t="shared" si="39"/>
        <v/>
      </c>
      <c r="I27" s="139" t="str">
        <f>IF($E27="","",IF($G27="正規職員","-",IF(AND(EXACT($C18,$C24),EXACT($E21,$E27),EXACT($G21,$G27)),I21,"賃金単価を記載")))</f>
        <v/>
      </c>
      <c r="J27" s="139" t="str">
        <f t="shared" si="43"/>
        <v/>
      </c>
      <c r="K27" s="139" t="str">
        <f>IF($E27="","",IF($G27="正規職員","-",IF(AND(EXACT($C18,$C24),EXACT($E21,$E27),EXACT($G21,$G27)),K21,"日額の交通費を記載（定期利用の場合は月額)")))</f>
        <v/>
      </c>
      <c r="L27" s="59" t="str">
        <f t="shared" si="40"/>
        <v/>
      </c>
      <c r="M27" s="59">
        <f>$M$6</f>
        <v>221916.66666666701</v>
      </c>
      <c r="N27" s="59">
        <f t="shared" ref="N27" si="50">IFERROR(IF($C24="-","",IF(E27="","",IF(G27="正規職員",M27-M26,MIN(MIN(L27:M27),M26-N26)))),0)</f>
        <v>0</v>
      </c>
      <c r="O27" s="61" t="str">
        <f t="shared" si="45"/>
        <v/>
      </c>
      <c r="P27" s="62">
        <f t="shared" si="46"/>
        <v>6</v>
      </c>
      <c r="Q27" s="62" t="e">
        <f>VLOOKUP($E27&amp;Q$5,'②-2勤務時間数入力'!$D$7:$Q$106,$P27,FALSE)</f>
        <v>#N/A</v>
      </c>
      <c r="R27" s="62" t="str">
        <f>IF(ISERROR(Q27),"×",IF(Q27="-","×","○"))</f>
        <v>×</v>
      </c>
      <c r="S27" s="62" t="e">
        <f>VLOOKUP($E27&amp;S$5,'②-2勤務時間数入力'!$D$7:$Q$106,$P27,FALSE)</f>
        <v>#N/A</v>
      </c>
      <c r="T27" s="62" t="str">
        <f>IF(ISERROR(S27),"×",IF(S27="-","×","○"))</f>
        <v>×</v>
      </c>
      <c r="U27" s="62" t="e">
        <f>VLOOKUP($E27&amp;U$5,'②-2勤務時間数入力'!$D$7:$Q$106,$P27,FALSE)</f>
        <v>#N/A</v>
      </c>
      <c r="V27" s="62" t="str">
        <f>IF(ISERROR(U27),"×",IF(U27="-","×","○"))</f>
        <v>×</v>
      </c>
      <c r="W27" s="62" t="e">
        <f>VLOOKUP($E27&amp;W$5,'②-2勤務時間数入力'!$D$7:$Q$106,$P27,FALSE)</f>
        <v>#N/A</v>
      </c>
      <c r="X27" s="62" t="str">
        <f>IF(ISERROR(W27),"×",IF(W27="-","×","○"))</f>
        <v>×</v>
      </c>
    </row>
    <row r="28" spans="1:24" ht="13.5" hidden="1" customHeight="1">
      <c r="A28" s="854"/>
      <c r="B28" s="857"/>
      <c r="C28" s="876"/>
      <c r="D28" s="873"/>
      <c r="E28" s="138" t="str">
        <f t="shared" ref="E28:F28" si="51">IF(E22="","",E22)</f>
        <v/>
      </c>
      <c r="F28" s="138" t="str">
        <f t="shared" si="51"/>
        <v/>
      </c>
      <c r="G28" s="180" t="str">
        <f t="shared" si="38"/>
        <v/>
      </c>
      <c r="H28" s="181" t="str">
        <f t="shared" si="39"/>
        <v/>
      </c>
      <c r="I28" s="139" t="str">
        <f>IF($E28="","",IF($G28="正規職員","-",IF(AND(EXACT($C18,$C24),EXACT($E22,$E28),EXACT($G22,$G28)),I22,"賃金単価を記載")))</f>
        <v/>
      </c>
      <c r="J28" s="139" t="str">
        <f t="shared" si="43"/>
        <v/>
      </c>
      <c r="K28" s="139" t="str">
        <f>IF($E28="","",IF($G28="正規職員","-",IF(AND(EXACT($C18,$C24),EXACT($E22,$E28),EXACT($G22,$G28)),K22,"日額の交通費を記載（定期利用の場合は月額)")))</f>
        <v/>
      </c>
      <c r="L28" s="59" t="str">
        <f t="shared" si="40"/>
        <v/>
      </c>
      <c r="M28" s="59">
        <f>$M$6</f>
        <v>221916.66666666701</v>
      </c>
      <c r="N28" s="59">
        <f t="shared" ref="N28" si="52">IFERROR(IF($C24="-","",IF(E28="","",IF(G28="正規職員",M28-M27,MIN(MIN(L28:M28),M27-N27)))),0)</f>
        <v>0</v>
      </c>
      <c r="O28" s="61" t="str">
        <f t="shared" si="45"/>
        <v/>
      </c>
      <c r="P28" s="62">
        <f t="shared" si="46"/>
        <v>6</v>
      </c>
      <c r="Q28" s="62" t="e">
        <f>VLOOKUP($E28&amp;Q$5,'②-2勤務時間数入力'!$D$7:$Q$106,$P28,FALSE)</f>
        <v>#N/A</v>
      </c>
      <c r="R28" s="62" t="str">
        <f>IF(ISERROR(Q28),"×",IF(Q28="-","×","○"))</f>
        <v>×</v>
      </c>
      <c r="S28" s="62" t="e">
        <f>VLOOKUP($E28&amp;S$5,'②-2勤務時間数入力'!$D$7:$Q$106,$P28,FALSE)</f>
        <v>#N/A</v>
      </c>
      <c r="T28" s="62" t="str">
        <f>IF(ISERROR(S28),"×",IF(S28="-","×","○"))</f>
        <v>×</v>
      </c>
      <c r="U28" s="62" t="e">
        <f>VLOOKUP($E28&amp;U$5,'②-2勤務時間数入力'!$D$7:$Q$106,$P28,FALSE)</f>
        <v>#N/A</v>
      </c>
      <c r="V28" s="62" t="str">
        <f>IF(ISERROR(U28),"×",IF(U28="-","×","○"))</f>
        <v>×</v>
      </c>
      <c r="W28" s="62" t="e">
        <f>VLOOKUP($E28&amp;W$5,'②-2勤務時間数入力'!$D$7:$Q$106,$P28,FALSE)</f>
        <v>#N/A</v>
      </c>
      <c r="X28" s="62" t="str">
        <f>IF(ISERROR(W28),"×",IF(W28="-","×","○"))</f>
        <v>×</v>
      </c>
    </row>
    <row r="29" spans="1:24" ht="13.5" hidden="1" customHeight="1">
      <c r="A29" s="855"/>
      <c r="B29" s="858"/>
      <c r="C29" s="877"/>
      <c r="D29" s="874"/>
      <c r="E29" s="1" t="s">
        <v>276</v>
      </c>
      <c r="F29" s="1"/>
      <c r="G29" s="180" t="s">
        <v>273</v>
      </c>
      <c r="H29" s="432"/>
      <c r="I29" s="60" t="s">
        <v>273</v>
      </c>
      <c r="J29" s="60"/>
      <c r="K29" s="60"/>
      <c r="L29" s="60" t="s">
        <v>273</v>
      </c>
      <c r="M29" s="60" t="s">
        <v>273</v>
      </c>
      <c r="N29" s="59">
        <f>MIN(IFERROR(IF(C24=1,IF(AND(B24="配置",OR(D24="調理師等",D24="栄養士")),MAX(SUM(N24:N28)-①基本情報!I42+10000,0),SUM(N24:N28)),0),0),$M$6)</f>
        <v>0</v>
      </c>
      <c r="O29" s="61" t="e">
        <f>IF(SUM(N24:N28)&gt;#REF!*$M$6,MIN($M$6,SUM(N24:N28)-ROUNDDOWN(#REF!*$M$6,0)),0)</f>
        <v>#REF!</v>
      </c>
      <c r="P29" s="62"/>
      <c r="Q29" s="62"/>
      <c r="R29" s="62"/>
      <c r="S29" s="62"/>
      <c r="T29" s="62"/>
      <c r="U29" s="62"/>
      <c r="V29" s="62"/>
      <c r="W29" s="62"/>
      <c r="X29" s="62"/>
    </row>
    <row r="30" spans="1:24" ht="13.5" hidden="1" customHeight="1">
      <c r="A30" s="843">
        <v>8</v>
      </c>
      <c r="B30" s="856" t="e">
        <f>IF(①基本情報!J40="有",①基本情報!J41,"無")</f>
        <v>#N/A</v>
      </c>
      <c r="C30" s="875" t="e">
        <f>IF(判定!AV13="NG","-",1)</f>
        <v>#DIV/0!</v>
      </c>
      <c r="D30" s="872" t="str">
        <f>IFERROR(INDEX($L$83:$M$88,MATCH(判定!AV13,$L$83:$L$88,0),2),"-")</f>
        <v>-</v>
      </c>
      <c r="E30" s="138" t="str">
        <f>IF(E24="","",E24)</f>
        <v/>
      </c>
      <c r="F30" s="138" t="str">
        <f>IF(F24="","",F24)</f>
        <v/>
      </c>
      <c r="G30" s="180" t="str">
        <f t="shared" ref="G30:G34" si="53">IF(E30="","",IF(R30="○",Q$5,IF(T30="○",S$5,IF(V30="○",U$5,IF(X30="○",W$5,"ERROR")))))</f>
        <v/>
      </c>
      <c r="H30" s="181" t="str">
        <f t="shared" ref="H30:H34" si="54">IF(E30="","",IF(R30="○",Q30,IF(T30="○",S30,IF(V30="○",U30,IF(X30="○",W30,"ERROR")))))</f>
        <v/>
      </c>
      <c r="I30" s="139" t="str">
        <f>IF($E30="","",IF($G30="正規職員","-",IF(AND(EXACT($C24,$C30),EXACT($E24,$E30),EXACT($G24,$G30)),I24,"賃金単価を記載")))</f>
        <v/>
      </c>
      <c r="J30" s="139" t="str">
        <f>IF($E30="","",IF($G30="正規職員","-","勤務日数を記載（定期利用の場合、1と記載)"))</f>
        <v/>
      </c>
      <c r="K30" s="139" t="str">
        <f>IF($E30="","",IF($G30="正規職員","-",IF(AND(EXACT($C24,$C30),EXACT($E24,$E30),EXACT($G24,$G30)),K24,"日額の交通費を記載（定期利用の場合は月額)")))</f>
        <v/>
      </c>
      <c r="L30" s="59" t="str">
        <f t="shared" ref="L30:L34" si="55">IF($E30="","",IF($G30="正規職員","-",(H30*I30+J30*K30)))</f>
        <v/>
      </c>
      <c r="M30" s="59">
        <f>$M$6</f>
        <v>221916.66666666701</v>
      </c>
      <c r="N30" s="59">
        <f t="shared" ref="N30" si="56">IFERROR(IF($C30="-","",IF(E30="",0,IF(G30="正規職員",M30,MIN(L30:M30)))),0)</f>
        <v>0</v>
      </c>
      <c r="O30" s="61" t="str">
        <f>IF(E30="","",IF(COUNTIFS(E30,"*給食室*")=1,"○","エラー"))</f>
        <v/>
      </c>
      <c r="P30" s="62">
        <v>7</v>
      </c>
      <c r="Q30" s="62" t="e">
        <f>VLOOKUP($E30&amp;Q$5,'②-2勤務時間数入力'!$D$7:$Q$106,$P30,FALSE)</f>
        <v>#N/A</v>
      </c>
      <c r="R30" s="62" t="str">
        <f>IF(ISERROR(Q30),"×",IF(Q30="-","×","○"))</f>
        <v>×</v>
      </c>
      <c r="S30" s="62" t="e">
        <f>VLOOKUP($E30&amp;S$5,'②-2勤務時間数入力'!$D$7:$Q$106,$P30,FALSE)</f>
        <v>#N/A</v>
      </c>
      <c r="T30" s="62" t="str">
        <f>IF(ISERROR(S30),"×",IF(S30="-","×","○"))</f>
        <v>×</v>
      </c>
      <c r="U30" s="62" t="e">
        <f>VLOOKUP($E30&amp;U$5,'②-2勤務時間数入力'!$D$7:$Q$106,$P30,FALSE)</f>
        <v>#N/A</v>
      </c>
      <c r="V30" s="62" t="str">
        <f>IF(ISERROR(U30),"×",IF(U30="-","×","○"))</f>
        <v>×</v>
      </c>
      <c r="W30" s="62" t="e">
        <f>VLOOKUP($E30&amp;W$5,'②-2勤務時間数入力'!$D$7:$Q$106,$P30,FALSE)</f>
        <v>#N/A</v>
      </c>
      <c r="X30" s="62" t="str">
        <f>IF(ISERROR(W30),"×",IF(W30="-","×","○"))</f>
        <v>×</v>
      </c>
    </row>
    <row r="31" spans="1:24" ht="13.5" hidden="1" customHeight="1">
      <c r="A31" s="854"/>
      <c r="B31" s="857"/>
      <c r="C31" s="876"/>
      <c r="D31" s="873"/>
      <c r="E31" s="138" t="str">
        <f t="shared" ref="E31:F31" si="57">IF(E25="","",E25)</f>
        <v/>
      </c>
      <c r="F31" s="138" t="str">
        <f t="shared" si="57"/>
        <v/>
      </c>
      <c r="G31" s="180" t="str">
        <f t="shared" si="53"/>
        <v/>
      </c>
      <c r="H31" s="181" t="str">
        <f t="shared" si="54"/>
        <v/>
      </c>
      <c r="I31" s="139" t="str">
        <f>IF($E31="","",IF($G31="正規職員","-",IF(AND(EXACT($C24,$C30),EXACT($E25,$E31),EXACT($G25,$G31)),I25,"賃金単価を記載")))</f>
        <v/>
      </c>
      <c r="J31" s="139" t="str">
        <f t="shared" ref="J31:J34" si="58">IF($E31="","",IF($G31="正規職員","-","勤務日数を記載（定期利用の場合、1と記載)"))</f>
        <v/>
      </c>
      <c r="K31" s="139" t="str">
        <f>IF($E31="","",IF($G31="正規職員","-",IF(AND(EXACT($C24,$C30),EXACT($E25,$E31),EXACT($G25,$G31)),K25,"日額の交通費を記載（定期利用の場合は月額)")))</f>
        <v/>
      </c>
      <c r="L31" s="59" t="str">
        <f t="shared" si="55"/>
        <v/>
      </c>
      <c r="M31" s="59">
        <f>$M$6</f>
        <v>221916.66666666701</v>
      </c>
      <c r="N31" s="59">
        <f t="shared" ref="N31" si="59">IFERROR(IF($C30="-","",IF(E31="","",IF(G31="正規職員",M31-M30,MIN(MIN(L31:M31),M30-N30)))),0)</f>
        <v>0</v>
      </c>
      <c r="O31" s="61" t="str">
        <f t="shared" ref="O31:O34" si="60">IF(E31="","",IF(COUNTIFS(E31,"*給食室*")=1,"○","エラー"))</f>
        <v/>
      </c>
      <c r="P31" s="62">
        <f t="shared" ref="P31:P34" si="61">P30</f>
        <v>7</v>
      </c>
      <c r="Q31" s="62" t="e">
        <f>VLOOKUP($E31&amp;Q$5,'②-2勤務時間数入力'!$D$7:$Q$106,$P31,FALSE)</f>
        <v>#N/A</v>
      </c>
      <c r="R31" s="62" t="str">
        <f>IF(ISERROR(Q31),"×",IF(Q31="-","×","○"))</f>
        <v>×</v>
      </c>
      <c r="S31" s="62" t="e">
        <f>VLOOKUP($E31&amp;S$5,'②-2勤務時間数入力'!$D$7:$Q$106,$P31,FALSE)</f>
        <v>#N/A</v>
      </c>
      <c r="T31" s="62" t="str">
        <f>IF(ISERROR(S31),"×",IF(S31="-","×","○"))</f>
        <v>×</v>
      </c>
      <c r="U31" s="62" t="e">
        <f>VLOOKUP($E31&amp;U$5,'②-2勤務時間数入力'!$D$7:$Q$106,$P31,FALSE)</f>
        <v>#N/A</v>
      </c>
      <c r="V31" s="62" t="str">
        <f>IF(ISERROR(U31),"×",IF(U31="-","×","○"))</f>
        <v>×</v>
      </c>
      <c r="W31" s="62" t="e">
        <f>VLOOKUP($E31&amp;W$5,'②-2勤務時間数入力'!$D$7:$Q$106,$P31,FALSE)</f>
        <v>#N/A</v>
      </c>
      <c r="X31" s="62" t="str">
        <f>IF(ISERROR(W31),"×",IF(W31="-","×","○"))</f>
        <v>×</v>
      </c>
    </row>
    <row r="32" spans="1:24" ht="13.5" hidden="1" customHeight="1">
      <c r="A32" s="854"/>
      <c r="B32" s="857"/>
      <c r="C32" s="876"/>
      <c r="D32" s="873"/>
      <c r="E32" s="138" t="str">
        <f t="shared" ref="E32:F32" si="62">IF(E26="","",E26)</f>
        <v/>
      </c>
      <c r="F32" s="138" t="str">
        <f t="shared" si="62"/>
        <v/>
      </c>
      <c r="G32" s="180" t="str">
        <f t="shared" si="53"/>
        <v/>
      </c>
      <c r="H32" s="181" t="str">
        <f t="shared" si="54"/>
        <v/>
      </c>
      <c r="I32" s="139" t="str">
        <f>IF($E32="","",IF($G32="正規職員","-",IF(AND(EXACT($C24,$C30),EXACT($E26,$E32),EXACT($G26,$G32)),I26,"賃金単価を記載")))</f>
        <v/>
      </c>
      <c r="J32" s="139" t="str">
        <f t="shared" si="58"/>
        <v/>
      </c>
      <c r="K32" s="139" t="str">
        <f>IF($E32="","",IF($G32="正規職員","-",IF(AND(EXACT($C24,$C30),EXACT($E26,$E32),EXACT($G26,$G32)),K26,"日額の交通費を記載（定期利用の場合は月額)")))</f>
        <v/>
      </c>
      <c r="L32" s="59" t="str">
        <f t="shared" si="55"/>
        <v/>
      </c>
      <c r="M32" s="59">
        <f>$M$6</f>
        <v>221916.66666666701</v>
      </c>
      <c r="N32" s="59">
        <f t="shared" ref="N32" si="63">IFERROR(IF($C30="-","",IF(E32="","",IF(G32="正規職員",M32-M31,MIN(MIN(L32:M32),M31-N31)))),0)</f>
        <v>0</v>
      </c>
      <c r="O32" s="61" t="str">
        <f t="shared" si="60"/>
        <v/>
      </c>
      <c r="P32" s="62">
        <f t="shared" si="61"/>
        <v>7</v>
      </c>
      <c r="Q32" s="62" t="e">
        <f>VLOOKUP($E32&amp;Q$5,'②-2勤務時間数入力'!$D$7:$Q$106,$P32,FALSE)</f>
        <v>#N/A</v>
      </c>
      <c r="R32" s="62" t="str">
        <f>IF(ISERROR(Q32),"×",IF(Q32="-","×","○"))</f>
        <v>×</v>
      </c>
      <c r="S32" s="62" t="e">
        <f>VLOOKUP($E32&amp;S$5,'②-2勤務時間数入力'!$D$7:$Q$106,$P32,FALSE)</f>
        <v>#N/A</v>
      </c>
      <c r="T32" s="62" t="str">
        <f>IF(ISERROR(S32),"×",IF(S32="-","×","○"))</f>
        <v>×</v>
      </c>
      <c r="U32" s="62" t="e">
        <f>VLOOKUP($E32&amp;U$5,'②-2勤務時間数入力'!$D$7:$Q$106,$P32,FALSE)</f>
        <v>#N/A</v>
      </c>
      <c r="V32" s="62" t="str">
        <f>IF(ISERROR(U32),"×",IF(U32="-","×","○"))</f>
        <v>×</v>
      </c>
      <c r="W32" s="62" t="e">
        <f>VLOOKUP($E32&amp;W$5,'②-2勤務時間数入力'!$D$7:$Q$106,$P32,FALSE)</f>
        <v>#N/A</v>
      </c>
      <c r="X32" s="62" t="str">
        <f>IF(ISERROR(W32),"×",IF(W32="-","×","○"))</f>
        <v>×</v>
      </c>
    </row>
    <row r="33" spans="1:24" ht="13.5" hidden="1" customHeight="1">
      <c r="A33" s="854"/>
      <c r="B33" s="857"/>
      <c r="C33" s="876"/>
      <c r="D33" s="873"/>
      <c r="E33" s="138" t="str">
        <f t="shared" ref="E33:F33" si="64">IF(E27="","",E27)</f>
        <v/>
      </c>
      <c r="F33" s="138" t="str">
        <f t="shared" si="64"/>
        <v/>
      </c>
      <c r="G33" s="180" t="str">
        <f t="shared" si="53"/>
        <v/>
      </c>
      <c r="H33" s="181" t="str">
        <f t="shared" si="54"/>
        <v/>
      </c>
      <c r="I33" s="139" t="str">
        <f>IF($E33="","",IF($G33="正規職員","-",IF(AND(EXACT($C24,$C30),EXACT($E27,$E33),EXACT($G27,$G33)),I27,"賃金単価を記載")))</f>
        <v/>
      </c>
      <c r="J33" s="139" t="str">
        <f t="shared" si="58"/>
        <v/>
      </c>
      <c r="K33" s="139" t="str">
        <f>IF($E33="","",IF($G33="正規職員","-",IF(AND(EXACT($C24,$C30),EXACT($E27,$E33),EXACT($G27,$G33)),K27,"日額の交通費を記載（定期利用の場合は月額)")))</f>
        <v/>
      </c>
      <c r="L33" s="59" t="str">
        <f t="shared" si="55"/>
        <v/>
      </c>
      <c r="M33" s="59">
        <f>$M$6</f>
        <v>221916.66666666701</v>
      </c>
      <c r="N33" s="59">
        <f t="shared" ref="N33" si="65">IFERROR(IF($C30="-","",IF(E33="","",IF(G33="正規職員",M33-M32,MIN(MIN(L33:M33),M32-N32)))),0)</f>
        <v>0</v>
      </c>
      <c r="O33" s="61" t="str">
        <f t="shared" si="60"/>
        <v/>
      </c>
      <c r="P33" s="62">
        <f t="shared" si="61"/>
        <v>7</v>
      </c>
      <c r="Q33" s="62" t="e">
        <f>VLOOKUP($E33&amp;Q$5,'②-2勤務時間数入力'!$D$7:$Q$106,$P33,FALSE)</f>
        <v>#N/A</v>
      </c>
      <c r="R33" s="62" t="str">
        <f>IF(ISERROR(Q33),"×",IF(Q33="-","×","○"))</f>
        <v>×</v>
      </c>
      <c r="S33" s="62" t="e">
        <f>VLOOKUP($E33&amp;S$5,'②-2勤務時間数入力'!$D$7:$Q$106,$P33,FALSE)</f>
        <v>#N/A</v>
      </c>
      <c r="T33" s="62" t="str">
        <f>IF(ISERROR(S33),"×",IF(S33="-","×","○"))</f>
        <v>×</v>
      </c>
      <c r="U33" s="62" t="e">
        <f>VLOOKUP($E33&amp;U$5,'②-2勤務時間数入力'!$D$7:$Q$106,$P33,FALSE)</f>
        <v>#N/A</v>
      </c>
      <c r="V33" s="62" t="str">
        <f>IF(ISERROR(U33),"×",IF(U33="-","×","○"))</f>
        <v>×</v>
      </c>
      <c r="W33" s="62" t="e">
        <f>VLOOKUP($E33&amp;W$5,'②-2勤務時間数入力'!$D$7:$Q$106,$P33,FALSE)</f>
        <v>#N/A</v>
      </c>
      <c r="X33" s="62" t="str">
        <f>IF(ISERROR(W33),"×",IF(W33="-","×","○"))</f>
        <v>×</v>
      </c>
    </row>
    <row r="34" spans="1:24" ht="13.5" hidden="1" customHeight="1">
      <c r="A34" s="854"/>
      <c r="B34" s="857"/>
      <c r="C34" s="876"/>
      <c r="D34" s="873"/>
      <c r="E34" s="138" t="str">
        <f t="shared" ref="E34:F34" si="66">IF(E28="","",E28)</f>
        <v/>
      </c>
      <c r="F34" s="138" t="str">
        <f t="shared" si="66"/>
        <v/>
      </c>
      <c r="G34" s="180" t="str">
        <f t="shared" si="53"/>
        <v/>
      </c>
      <c r="H34" s="181" t="str">
        <f t="shared" si="54"/>
        <v/>
      </c>
      <c r="I34" s="139" t="str">
        <f>IF($E34="","",IF($G34="正規職員","-",IF(AND(EXACT($C24,$C30),EXACT($E28,$E34),EXACT($G28,$G34)),I28,"賃金単価を記載")))</f>
        <v/>
      </c>
      <c r="J34" s="139" t="str">
        <f t="shared" si="58"/>
        <v/>
      </c>
      <c r="K34" s="139" t="str">
        <f>IF($E34="","",IF($G34="正規職員","-",IF(AND(EXACT($C24,$C30),EXACT($E28,$E34),EXACT($G28,$G34)),K28,"日額の交通費を記載（定期利用の場合は月額)")))</f>
        <v/>
      </c>
      <c r="L34" s="59" t="str">
        <f t="shared" si="55"/>
        <v/>
      </c>
      <c r="M34" s="59">
        <f>$M$6</f>
        <v>221916.66666666701</v>
      </c>
      <c r="N34" s="59">
        <f t="shared" ref="N34" si="67">IFERROR(IF($C30="-","",IF(E34="","",IF(G34="正規職員",M34-M33,MIN(MIN(L34:M34),M33-N33)))),0)</f>
        <v>0</v>
      </c>
      <c r="O34" s="61" t="str">
        <f t="shared" si="60"/>
        <v/>
      </c>
      <c r="P34" s="62">
        <f t="shared" si="61"/>
        <v>7</v>
      </c>
      <c r="Q34" s="62" t="e">
        <f>VLOOKUP($E34&amp;Q$5,'②-2勤務時間数入力'!$D$7:$Q$106,$P34,FALSE)</f>
        <v>#N/A</v>
      </c>
      <c r="R34" s="62" t="str">
        <f>IF(ISERROR(Q34),"×",IF(Q34="-","×","○"))</f>
        <v>×</v>
      </c>
      <c r="S34" s="62" t="e">
        <f>VLOOKUP($E34&amp;S$5,'②-2勤務時間数入力'!$D$7:$Q$106,$P34,FALSE)</f>
        <v>#N/A</v>
      </c>
      <c r="T34" s="62" t="str">
        <f>IF(ISERROR(S34),"×",IF(S34="-","×","○"))</f>
        <v>×</v>
      </c>
      <c r="U34" s="62" t="e">
        <f>VLOOKUP($E34&amp;U$5,'②-2勤務時間数入力'!$D$7:$Q$106,$P34,FALSE)</f>
        <v>#N/A</v>
      </c>
      <c r="V34" s="62" t="str">
        <f>IF(ISERROR(U34),"×",IF(U34="-","×","○"))</f>
        <v>×</v>
      </c>
      <c r="W34" s="62" t="e">
        <f>VLOOKUP($E34&amp;W$5,'②-2勤務時間数入力'!$D$7:$Q$106,$P34,FALSE)</f>
        <v>#N/A</v>
      </c>
      <c r="X34" s="62" t="str">
        <f>IF(ISERROR(W34),"×",IF(W34="-","×","○"))</f>
        <v>×</v>
      </c>
    </row>
    <row r="35" spans="1:24" ht="13.5" hidden="1" customHeight="1">
      <c r="A35" s="855"/>
      <c r="B35" s="858"/>
      <c r="C35" s="877"/>
      <c r="D35" s="874"/>
      <c r="E35" s="1" t="s">
        <v>277</v>
      </c>
      <c r="F35" s="1"/>
      <c r="G35" s="180" t="s">
        <v>273</v>
      </c>
      <c r="H35" s="432"/>
      <c r="I35" s="60" t="s">
        <v>273</v>
      </c>
      <c r="J35" s="60"/>
      <c r="K35" s="60"/>
      <c r="L35" s="60" t="s">
        <v>273</v>
      </c>
      <c r="M35" s="60" t="s">
        <v>273</v>
      </c>
      <c r="N35" s="59">
        <f>MIN(IFERROR(IF(C30=1,IF(AND(B30="配置",OR(D30="調理師等",D30="栄養士")),MAX(SUM(N30:N34)-①基本情報!J42+10000,0),SUM(N30:N34)),0),0),$M$6)</f>
        <v>0</v>
      </c>
      <c r="O35" s="61" t="e">
        <f>IF(SUM(N30:N34)&gt;#REF!*$M$6,MIN($M$6,SUM(N30:N34)-ROUNDDOWN(#REF!*$M$6,0)),0)</f>
        <v>#REF!</v>
      </c>
      <c r="P35" s="62"/>
      <c r="Q35" s="62"/>
      <c r="R35" s="62"/>
      <c r="S35" s="62"/>
      <c r="T35" s="62"/>
      <c r="U35" s="62"/>
      <c r="V35" s="62"/>
      <c r="W35" s="62"/>
      <c r="X35" s="62"/>
    </row>
    <row r="36" spans="1:24" ht="13.5" hidden="1" customHeight="1">
      <c r="A36" s="843">
        <v>9</v>
      </c>
      <c r="B36" s="856" t="e">
        <f>IF(①基本情報!K40="有",①基本情報!K41,"無")</f>
        <v>#N/A</v>
      </c>
      <c r="C36" s="875" t="e">
        <f>IF(判定!AV14="NG","-",1)</f>
        <v>#DIV/0!</v>
      </c>
      <c r="D36" s="872" t="str">
        <f>IFERROR(INDEX($L$83:$M$88,MATCH(判定!AV14,$L$83:$L$88,0),2),"-")</f>
        <v>-</v>
      </c>
      <c r="E36" s="138" t="str">
        <f>IF(E30="","",E30)</f>
        <v/>
      </c>
      <c r="F36" s="138" t="str">
        <f>IF(F30="","",F30)</f>
        <v/>
      </c>
      <c r="G36" s="180" t="str">
        <f t="shared" ref="G36:G40" si="68">IF(E36="","",IF(R36="○",Q$5,IF(T36="○",S$5,IF(V36="○",U$5,IF(X36="○",W$5,"ERROR")))))</f>
        <v/>
      </c>
      <c r="H36" s="181" t="str">
        <f t="shared" ref="H36:H40" si="69">IF(E36="","",IF(R36="○",Q36,IF(T36="○",S36,IF(V36="○",U36,IF(X36="○",W36,"ERROR")))))</f>
        <v/>
      </c>
      <c r="I36" s="139" t="str">
        <f>IF($E36="","",IF($G36="正規職員","-",IF(AND(EXACT($C30,$C36),EXACT($E30,$E36),EXACT($G30,$G36)),I30,"賃金単価を記載")))</f>
        <v/>
      </c>
      <c r="J36" s="139" t="str">
        <f>IF($E36="","",IF($G36="正規職員","-","勤務日数を記載（定期利用の場合、1と記載)"))</f>
        <v/>
      </c>
      <c r="K36" s="139" t="str">
        <f>IF($E36="","",IF($G36="正規職員","-",IF(AND(EXACT($C30,$C36),EXACT($E30,$E36),EXACT($G30,$G36)),K30,"日額の交通費を記載（定期利用の場合は月額)")))</f>
        <v/>
      </c>
      <c r="L36" s="59" t="str">
        <f t="shared" ref="L36:L40" si="70">IF($E36="","",IF($G36="正規職員","-",(H36*I36+J36*K36)))</f>
        <v/>
      </c>
      <c r="M36" s="59">
        <f>$M$6</f>
        <v>221916.66666666701</v>
      </c>
      <c r="N36" s="59">
        <f t="shared" ref="N36" si="71">IFERROR(IF($C36="-","",IF(E36="",0,IF(G36="正規職員",M36,MIN(L36:M36)))),0)</f>
        <v>0</v>
      </c>
      <c r="O36" s="61" t="str">
        <f>IF(E36="","",IF(COUNTIFS(E36,"*給食室*")=1,"○","エラー"))</f>
        <v/>
      </c>
      <c r="P36" s="62">
        <v>8</v>
      </c>
      <c r="Q36" s="62" t="e">
        <f>VLOOKUP($E36&amp;Q$5,'②-2勤務時間数入力'!$D$7:$Q$106,$P36,FALSE)</f>
        <v>#N/A</v>
      </c>
      <c r="R36" s="62" t="str">
        <f>IF(ISERROR(Q36),"×",IF(Q36="-","×","○"))</f>
        <v>×</v>
      </c>
      <c r="S36" s="62" t="e">
        <f>VLOOKUP($E36&amp;S$5,'②-2勤務時間数入力'!$D$7:$Q$106,$P36,FALSE)</f>
        <v>#N/A</v>
      </c>
      <c r="T36" s="62" t="str">
        <f>IF(ISERROR(S36),"×",IF(S36="-","×","○"))</f>
        <v>×</v>
      </c>
      <c r="U36" s="62" t="e">
        <f>VLOOKUP($E36&amp;U$5,'②-2勤務時間数入力'!$D$7:$Q$106,$P36,FALSE)</f>
        <v>#N/A</v>
      </c>
      <c r="V36" s="62" t="str">
        <f>IF(ISERROR(U36),"×",IF(U36="-","×","○"))</f>
        <v>×</v>
      </c>
      <c r="W36" s="62" t="e">
        <f>VLOOKUP($E36&amp;W$5,'②-2勤務時間数入力'!$D$7:$Q$106,$P36,FALSE)</f>
        <v>#N/A</v>
      </c>
      <c r="X36" s="62" t="str">
        <f>IF(ISERROR(W36),"×",IF(W36="-","×","○"))</f>
        <v>×</v>
      </c>
    </row>
    <row r="37" spans="1:24" ht="13.5" hidden="1" customHeight="1">
      <c r="A37" s="854"/>
      <c r="B37" s="857"/>
      <c r="C37" s="876"/>
      <c r="D37" s="873"/>
      <c r="E37" s="138" t="str">
        <f t="shared" ref="E37:F37" si="72">IF(E31="","",E31)</f>
        <v/>
      </c>
      <c r="F37" s="138" t="str">
        <f t="shared" si="72"/>
        <v/>
      </c>
      <c r="G37" s="180" t="str">
        <f t="shared" si="68"/>
        <v/>
      </c>
      <c r="H37" s="181" t="str">
        <f t="shared" si="69"/>
        <v/>
      </c>
      <c r="I37" s="139" t="str">
        <f>IF($E37="","",IF($G37="正規職員","-",IF(AND(EXACT($C30,$C36),EXACT($E31,$E37),EXACT($G31,$G37)),I31,"賃金単価を記載")))</f>
        <v/>
      </c>
      <c r="J37" s="139" t="str">
        <f t="shared" ref="J37:J40" si="73">IF($E37="","",IF($G37="正規職員","-","勤務日数を記載（定期利用の場合、1と記載)"))</f>
        <v/>
      </c>
      <c r="K37" s="139" t="str">
        <f>IF($E37="","",IF($G37="正規職員","-",IF(AND(EXACT($C30,$C36),EXACT($E31,$E37),EXACT($G31,$G37)),K31,"日額の交通費を記載（定期利用の場合は月額)")))</f>
        <v/>
      </c>
      <c r="L37" s="59" t="str">
        <f t="shared" si="70"/>
        <v/>
      </c>
      <c r="M37" s="59">
        <f>$M$6</f>
        <v>221916.66666666701</v>
      </c>
      <c r="N37" s="59">
        <f t="shared" ref="N37" si="74">IFERROR(IF($C36="-","",IF(E37="","",IF(G37="正規職員",M37-M36,MIN(MIN(L37:M37),M36-N36)))),0)</f>
        <v>0</v>
      </c>
      <c r="O37" s="61" t="str">
        <f t="shared" ref="O37:O40" si="75">IF(E37="","",IF(COUNTIFS(E37,"*給食室*")=1,"○","エラー"))</f>
        <v/>
      </c>
      <c r="P37" s="62">
        <f t="shared" ref="P37:P40" si="76">P36</f>
        <v>8</v>
      </c>
      <c r="Q37" s="62" t="e">
        <f>VLOOKUP($E37&amp;Q$5,'②-2勤務時間数入力'!$D$7:$Q$106,$P37,FALSE)</f>
        <v>#N/A</v>
      </c>
      <c r="R37" s="62" t="str">
        <f>IF(ISERROR(Q37),"×",IF(Q37="-","×","○"))</f>
        <v>×</v>
      </c>
      <c r="S37" s="62" t="e">
        <f>VLOOKUP($E37&amp;S$5,'②-2勤務時間数入力'!$D$7:$Q$106,$P37,FALSE)</f>
        <v>#N/A</v>
      </c>
      <c r="T37" s="62" t="str">
        <f>IF(ISERROR(S37),"×",IF(S37="-","×","○"))</f>
        <v>×</v>
      </c>
      <c r="U37" s="62" t="e">
        <f>VLOOKUP($E37&amp;U$5,'②-2勤務時間数入力'!$D$7:$Q$106,$P37,FALSE)</f>
        <v>#N/A</v>
      </c>
      <c r="V37" s="62" t="str">
        <f>IF(ISERROR(U37),"×",IF(U37="-","×","○"))</f>
        <v>×</v>
      </c>
      <c r="W37" s="62" t="e">
        <f>VLOOKUP($E37&amp;W$5,'②-2勤務時間数入力'!$D$7:$Q$106,$P37,FALSE)</f>
        <v>#N/A</v>
      </c>
      <c r="X37" s="62" t="str">
        <f>IF(ISERROR(W37),"×",IF(W37="-","×","○"))</f>
        <v>×</v>
      </c>
    </row>
    <row r="38" spans="1:24" ht="13.5" hidden="1" customHeight="1">
      <c r="A38" s="854"/>
      <c r="B38" s="857"/>
      <c r="C38" s="876"/>
      <c r="D38" s="873"/>
      <c r="E38" s="138" t="str">
        <f t="shared" ref="E38:F38" si="77">IF(E32="","",E32)</f>
        <v/>
      </c>
      <c r="F38" s="138" t="str">
        <f t="shared" si="77"/>
        <v/>
      </c>
      <c r="G38" s="180" t="str">
        <f t="shared" si="68"/>
        <v/>
      </c>
      <c r="H38" s="181" t="str">
        <f t="shared" si="69"/>
        <v/>
      </c>
      <c r="I38" s="139" t="str">
        <f>IF($E38="","",IF($G38="正規職員","-",IF(AND(EXACT($C30,$C36),EXACT($E32,$E38),EXACT($G32,$G38)),I32,"賃金単価を記載")))</f>
        <v/>
      </c>
      <c r="J38" s="139" t="str">
        <f t="shared" si="73"/>
        <v/>
      </c>
      <c r="K38" s="139" t="str">
        <f>IF($E38="","",IF($G38="正規職員","-",IF(AND(EXACT($C30,$C36),EXACT($E32,$E38),EXACT($G32,$G38)),K32,"日額の交通費を記載（定期利用の場合は月額)")))</f>
        <v/>
      </c>
      <c r="L38" s="59" t="str">
        <f t="shared" si="70"/>
        <v/>
      </c>
      <c r="M38" s="59">
        <f>$M$6</f>
        <v>221916.66666666701</v>
      </c>
      <c r="N38" s="59">
        <f t="shared" ref="N38" si="78">IFERROR(IF($C36="-","",IF(E38="","",IF(G38="正規職員",M38-M37,MIN(MIN(L38:M38),M37-N37)))),0)</f>
        <v>0</v>
      </c>
      <c r="O38" s="61" t="str">
        <f t="shared" si="75"/>
        <v/>
      </c>
      <c r="P38" s="62">
        <f t="shared" si="76"/>
        <v>8</v>
      </c>
      <c r="Q38" s="62" t="e">
        <f>VLOOKUP($E38&amp;Q$5,'②-2勤務時間数入力'!$D$7:$Q$106,$P38,FALSE)</f>
        <v>#N/A</v>
      </c>
      <c r="R38" s="62" t="str">
        <f>IF(ISERROR(Q38),"×",IF(Q38="-","×","○"))</f>
        <v>×</v>
      </c>
      <c r="S38" s="62" t="e">
        <f>VLOOKUP($E38&amp;S$5,'②-2勤務時間数入力'!$D$7:$Q$106,$P38,FALSE)</f>
        <v>#N/A</v>
      </c>
      <c r="T38" s="62" t="str">
        <f>IF(ISERROR(S38),"×",IF(S38="-","×","○"))</f>
        <v>×</v>
      </c>
      <c r="U38" s="62" t="e">
        <f>VLOOKUP($E38&amp;U$5,'②-2勤務時間数入力'!$D$7:$Q$106,$P38,FALSE)</f>
        <v>#N/A</v>
      </c>
      <c r="V38" s="62" t="str">
        <f>IF(ISERROR(U38),"×",IF(U38="-","×","○"))</f>
        <v>×</v>
      </c>
      <c r="W38" s="62" t="e">
        <f>VLOOKUP($E38&amp;W$5,'②-2勤務時間数入力'!$D$7:$Q$106,$P38,FALSE)</f>
        <v>#N/A</v>
      </c>
      <c r="X38" s="62" t="str">
        <f>IF(ISERROR(W38),"×",IF(W38="-","×","○"))</f>
        <v>×</v>
      </c>
    </row>
    <row r="39" spans="1:24" ht="13.5" hidden="1" customHeight="1">
      <c r="A39" s="854"/>
      <c r="B39" s="857"/>
      <c r="C39" s="876"/>
      <c r="D39" s="873"/>
      <c r="E39" s="138" t="str">
        <f t="shared" ref="E39:F39" si="79">IF(E33="","",E33)</f>
        <v/>
      </c>
      <c r="F39" s="138" t="str">
        <f t="shared" si="79"/>
        <v/>
      </c>
      <c r="G39" s="180" t="str">
        <f t="shared" si="68"/>
        <v/>
      </c>
      <c r="H39" s="181" t="str">
        <f t="shared" si="69"/>
        <v/>
      </c>
      <c r="I39" s="139" t="str">
        <f>IF($E39="","",IF($G39="正規職員","-",IF(AND(EXACT($C30,$C36),EXACT($E33,$E39),EXACT($G33,$G39)),I33,"賃金単価を記載")))</f>
        <v/>
      </c>
      <c r="J39" s="139" t="str">
        <f t="shared" si="73"/>
        <v/>
      </c>
      <c r="K39" s="139" t="str">
        <f>IF($E39="","",IF($G39="正規職員","-",IF(AND(EXACT($C30,$C36),EXACT($E33,$E39),EXACT($G33,$G39)),K33,"日額の交通費を記載（定期利用の場合は月額)")))</f>
        <v/>
      </c>
      <c r="L39" s="59" t="str">
        <f t="shared" si="70"/>
        <v/>
      </c>
      <c r="M39" s="59">
        <f>$M$6</f>
        <v>221916.66666666701</v>
      </c>
      <c r="N39" s="59">
        <f t="shared" ref="N39" si="80">IFERROR(IF($C36="-","",IF(E39="","",IF(G39="正規職員",M39-M38,MIN(MIN(L39:M39),M38-N38)))),0)</f>
        <v>0</v>
      </c>
      <c r="O39" s="61" t="str">
        <f t="shared" si="75"/>
        <v/>
      </c>
      <c r="P39" s="62">
        <f t="shared" si="76"/>
        <v>8</v>
      </c>
      <c r="Q39" s="62" t="e">
        <f>VLOOKUP($E39&amp;Q$5,'②-2勤務時間数入力'!$D$7:$Q$106,$P39,FALSE)</f>
        <v>#N/A</v>
      </c>
      <c r="R39" s="62" t="str">
        <f>IF(ISERROR(Q39),"×",IF(Q39="-","×","○"))</f>
        <v>×</v>
      </c>
      <c r="S39" s="62" t="e">
        <f>VLOOKUP($E39&amp;S$5,'②-2勤務時間数入力'!$D$7:$Q$106,$P39,FALSE)</f>
        <v>#N/A</v>
      </c>
      <c r="T39" s="62" t="str">
        <f>IF(ISERROR(S39),"×",IF(S39="-","×","○"))</f>
        <v>×</v>
      </c>
      <c r="U39" s="62" t="e">
        <f>VLOOKUP($E39&amp;U$5,'②-2勤務時間数入力'!$D$7:$Q$106,$P39,FALSE)</f>
        <v>#N/A</v>
      </c>
      <c r="V39" s="62" t="str">
        <f>IF(ISERROR(U39),"×",IF(U39="-","×","○"))</f>
        <v>×</v>
      </c>
      <c r="W39" s="62" t="e">
        <f>VLOOKUP($E39&amp;W$5,'②-2勤務時間数入力'!$D$7:$Q$106,$P39,FALSE)</f>
        <v>#N/A</v>
      </c>
      <c r="X39" s="62" t="str">
        <f>IF(ISERROR(W39),"×",IF(W39="-","×","○"))</f>
        <v>×</v>
      </c>
    </row>
    <row r="40" spans="1:24" ht="13.5" hidden="1" customHeight="1">
      <c r="A40" s="854"/>
      <c r="B40" s="857"/>
      <c r="C40" s="876"/>
      <c r="D40" s="873"/>
      <c r="E40" s="138" t="str">
        <f t="shared" ref="E40:F40" si="81">IF(E34="","",E34)</f>
        <v/>
      </c>
      <c r="F40" s="138" t="str">
        <f t="shared" si="81"/>
        <v/>
      </c>
      <c r="G40" s="180" t="str">
        <f t="shared" si="68"/>
        <v/>
      </c>
      <c r="H40" s="181" t="str">
        <f t="shared" si="69"/>
        <v/>
      </c>
      <c r="I40" s="139" t="str">
        <f>IF($E40="","",IF($G40="正規職員","-",IF(AND(EXACT($C30,$C36),EXACT($E34,$E40),EXACT($G34,$G40)),I34,"賃金単価を記載")))</f>
        <v/>
      </c>
      <c r="J40" s="139" t="str">
        <f t="shared" si="73"/>
        <v/>
      </c>
      <c r="K40" s="139" t="str">
        <f>IF($E40="","",IF($G40="正規職員","-",IF(AND(EXACT($C30,$C36),EXACT($E34,$E40),EXACT($G34,$G40)),K34,"日額の交通費を記載（定期利用の場合は月額)")))</f>
        <v/>
      </c>
      <c r="L40" s="59" t="str">
        <f t="shared" si="70"/>
        <v/>
      </c>
      <c r="M40" s="59">
        <f>$M$6</f>
        <v>221916.66666666701</v>
      </c>
      <c r="N40" s="59">
        <f t="shared" ref="N40" si="82">IFERROR(IF($C36="-","",IF(E40="","",IF(G40="正規職員",M40-M39,MIN(MIN(L40:M40),M39-N39)))),0)</f>
        <v>0</v>
      </c>
      <c r="O40" s="61" t="str">
        <f t="shared" si="75"/>
        <v/>
      </c>
      <c r="P40" s="62">
        <f t="shared" si="76"/>
        <v>8</v>
      </c>
      <c r="Q40" s="62" t="e">
        <f>VLOOKUP($E40&amp;Q$5,'②-2勤務時間数入力'!$D$7:$Q$106,$P40,FALSE)</f>
        <v>#N/A</v>
      </c>
      <c r="R40" s="62" t="str">
        <f>IF(ISERROR(Q40),"×",IF(Q40="-","×","○"))</f>
        <v>×</v>
      </c>
      <c r="S40" s="62" t="e">
        <f>VLOOKUP($E40&amp;S$5,'②-2勤務時間数入力'!$D$7:$Q$106,$P40,FALSE)</f>
        <v>#N/A</v>
      </c>
      <c r="T40" s="62" t="str">
        <f>IF(ISERROR(S40),"×",IF(S40="-","×","○"))</f>
        <v>×</v>
      </c>
      <c r="U40" s="62" t="e">
        <f>VLOOKUP($E40&amp;U$5,'②-2勤務時間数入力'!$D$7:$Q$106,$P40,FALSE)</f>
        <v>#N/A</v>
      </c>
      <c r="V40" s="62" t="str">
        <f>IF(ISERROR(U40),"×",IF(U40="-","×","○"))</f>
        <v>×</v>
      </c>
      <c r="W40" s="62" t="e">
        <f>VLOOKUP($E40&amp;W$5,'②-2勤務時間数入力'!$D$7:$Q$106,$P40,FALSE)</f>
        <v>#N/A</v>
      </c>
      <c r="X40" s="62" t="str">
        <f>IF(ISERROR(W40),"×",IF(W40="-","×","○"))</f>
        <v>×</v>
      </c>
    </row>
    <row r="41" spans="1:24" ht="13.5" hidden="1" customHeight="1">
      <c r="A41" s="855"/>
      <c r="B41" s="858"/>
      <c r="C41" s="877"/>
      <c r="D41" s="874"/>
      <c r="E41" s="1" t="s">
        <v>278</v>
      </c>
      <c r="F41" s="1"/>
      <c r="G41" s="180" t="s">
        <v>273</v>
      </c>
      <c r="H41" s="432"/>
      <c r="I41" s="60" t="s">
        <v>273</v>
      </c>
      <c r="J41" s="60"/>
      <c r="K41" s="60"/>
      <c r="L41" s="60" t="s">
        <v>273</v>
      </c>
      <c r="M41" s="60" t="s">
        <v>273</v>
      </c>
      <c r="N41" s="59">
        <f>MIN(IFERROR(IF(C36=1,IF(AND(B36="配置",OR(D36="調理師等",D36="栄養士")),MAX(SUM(N36:N40)-①基本情報!K42+10000,0),SUM(N36:N40)),0),0),$M$6)</f>
        <v>0</v>
      </c>
      <c r="O41" s="61" t="e">
        <f>IF(SUM(N36:N40)&gt;#REF!*$M$6,MIN($M$6,SUM(N36:N40)-ROUNDDOWN(#REF!*$M$6,0)),0)</f>
        <v>#REF!</v>
      </c>
      <c r="P41" s="62"/>
      <c r="Q41" s="62"/>
      <c r="R41" s="62"/>
      <c r="S41" s="62"/>
      <c r="T41" s="62"/>
      <c r="U41" s="62"/>
      <c r="V41" s="62"/>
      <c r="W41" s="62"/>
      <c r="X41" s="62"/>
    </row>
    <row r="42" spans="1:24" ht="13.5" hidden="1" customHeight="1">
      <c r="A42" s="843">
        <v>10</v>
      </c>
      <c r="B42" s="856" t="e">
        <f>IF(①基本情報!L40="有",①基本情報!L41,"無")</f>
        <v>#N/A</v>
      </c>
      <c r="C42" s="875" t="e">
        <f>IF(判定!AV15="NG","-",1)</f>
        <v>#DIV/0!</v>
      </c>
      <c r="D42" s="872" t="str">
        <f>IFERROR(INDEX($L$83:$M$88,MATCH(判定!AV15,$L$83:$L$88,0),2),"-")</f>
        <v>-</v>
      </c>
      <c r="E42" s="138" t="str">
        <f>IF(E36="","",E36)</f>
        <v/>
      </c>
      <c r="F42" s="138" t="str">
        <f>IF(F36="","",F36)</f>
        <v/>
      </c>
      <c r="G42" s="180" t="str">
        <f t="shared" ref="G42:G46" si="83">IF(E42="","",IF(R42="○",Q$5,IF(T42="○",S$5,IF(V42="○",U$5,IF(X42="○",W$5,"ERROR")))))</f>
        <v/>
      </c>
      <c r="H42" s="181" t="str">
        <f t="shared" ref="H42:H46" si="84">IF(E42="","",IF(R42="○",Q42,IF(T42="○",S42,IF(V42="○",U42,IF(X42="○",W42,"ERROR")))))</f>
        <v/>
      </c>
      <c r="I42" s="139" t="str">
        <f>IF($E42="","",IF($G42="正規職員","-",IF(AND(EXACT($C36,$C42),EXACT($E36,$E42),EXACT($G36,$G42)),I36,"賃金単価を記載")))</f>
        <v/>
      </c>
      <c r="J42" s="139" t="str">
        <f>IF($E42="","",IF($G42="正規職員","-","勤務日数を記載（定期利用の場合、1と記載)"))</f>
        <v/>
      </c>
      <c r="K42" s="139" t="str">
        <f>IF($E42="","",IF($G42="正規職員","-",IF(AND(EXACT($C36,$C42),EXACT($E36,$E42),EXACT($G36,$G42)),K36,"日額の交通費を記載（定期利用の場合は月額)")))</f>
        <v/>
      </c>
      <c r="L42" s="59" t="str">
        <f t="shared" ref="L42:L46" si="85">IF($E42="","",IF($G42="正規職員","-",(H42*I42+J42*K42)))</f>
        <v/>
      </c>
      <c r="M42" s="59">
        <f>$M$6</f>
        <v>221916.66666666701</v>
      </c>
      <c r="N42" s="59">
        <f t="shared" ref="N42" si="86">IFERROR(IF($C42="-","",IF(E42="",0,IF(G42="正規職員",M42,MIN(L42:M42)))),0)</f>
        <v>0</v>
      </c>
      <c r="O42" s="61" t="str">
        <f>IF(E42="","",IF(COUNTIFS(E42,"*給食室*")=1,"○","エラー"))</f>
        <v/>
      </c>
      <c r="P42" s="62">
        <v>9</v>
      </c>
      <c r="Q42" s="62" t="e">
        <f>VLOOKUP($E42&amp;Q$5,'②-2勤務時間数入力'!$D$7:$Q$106,$P42,FALSE)</f>
        <v>#N/A</v>
      </c>
      <c r="R42" s="62" t="str">
        <f>IF(ISERROR(Q42),"×",IF(Q42="-","×","○"))</f>
        <v>×</v>
      </c>
      <c r="S42" s="62" t="e">
        <f>VLOOKUP($E42&amp;S$5,'②-2勤務時間数入力'!$D$7:$Q$106,$P42,FALSE)</f>
        <v>#N/A</v>
      </c>
      <c r="T42" s="62" t="str">
        <f>IF(ISERROR(S42),"×",IF(S42="-","×","○"))</f>
        <v>×</v>
      </c>
      <c r="U42" s="62" t="e">
        <f>VLOOKUP($E42&amp;U$5,'②-2勤務時間数入力'!$D$7:$Q$106,$P42,FALSE)</f>
        <v>#N/A</v>
      </c>
      <c r="V42" s="62" t="str">
        <f>IF(ISERROR(U42),"×",IF(U42="-","×","○"))</f>
        <v>×</v>
      </c>
      <c r="W42" s="62" t="e">
        <f>VLOOKUP($E42&amp;W$5,'②-2勤務時間数入力'!$D$7:$Q$106,$P42,FALSE)</f>
        <v>#N/A</v>
      </c>
      <c r="X42" s="62" t="str">
        <f>IF(ISERROR(W42),"×",IF(W42="-","×","○"))</f>
        <v>×</v>
      </c>
    </row>
    <row r="43" spans="1:24" ht="13.5" hidden="1" customHeight="1">
      <c r="A43" s="854"/>
      <c r="B43" s="857"/>
      <c r="C43" s="876"/>
      <c r="D43" s="873"/>
      <c r="E43" s="138" t="str">
        <f t="shared" ref="E43:F43" si="87">IF(E37="","",E37)</f>
        <v/>
      </c>
      <c r="F43" s="138" t="str">
        <f t="shared" si="87"/>
        <v/>
      </c>
      <c r="G43" s="180" t="str">
        <f t="shared" si="83"/>
        <v/>
      </c>
      <c r="H43" s="181" t="str">
        <f t="shared" si="84"/>
        <v/>
      </c>
      <c r="I43" s="139" t="str">
        <f>IF($E43="","",IF($G43="正規職員","-",IF(AND(EXACT($C36,$C42),EXACT($E37,$E43),EXACT($G37,$G43)),I37,"賃金単価を記載")))</f>
        <v/>
      </c>
      <c r="J43" s="139" t="str">
        <f t="shared" ref="J43:J46" si="88">IF($E43="","",IF($G43="正規職員","-","勤務日数を記載（定期利用の場合、1と記載)"))</f>
        <v/>
      </c>
      <c r="K43" s="139" t="str">
        <f>IF($E43="","",IF($G43="正規職員","-",IF(AND(EXACT($C36,$C42),EXACT($E37,$E43),EXACT($G37,$G43)),K37,"日額の交通費を記載（定期利用の場合は月額)")))</f>
        <v/>
      </c>
      <c r="L43" s="59" t="str">
        <f t="shared" si="85"/>
        <v/>
      </c>
      <c r="M43" s="59">
        <f>$M$6</f>
        <v>221916.66666666701</v>
      </c>
      <c r="N43" s="59">
        <f t="shared" ref="N43" si="89">IFERROR(IF($C42="-","",IF(E43="","",IF(G43="正規職員",M43-M42,MIN(MIN(L43:M43),M42-N42)))),0)</f>
        <v>0</v>
      </c>
      <c r="O43" s="61" t="str">
        <f t="shared" ref="O43:O46" si="90">IF(E43="","",IF(COUNTIFS(E43,"*給食室*")=1,"○","エラー"))</f>
        <v/>
      </c>
      <c r="P43" s="62">
        <f t="shared" ref="P43:P46" si="91">P42</f>
        <v>9</v>
      </c>
      <c r="Q43" s="62" t="e">
        <f>VLOOKUP($E43&amp;Q$5,'②-2勤務時間数入力'!$D$7:$Q$106,$P43,FALSE)</f>
        <v>#N/A</v>
      </c>
      <c r="R43" s="62" t="str">
        <f>IF(ISERROR(Q43),"×",IF(Q43="-","×","○"))</f>
        <v>×</v>
      </c>
      <c r="S43" s="62" t="e">
        <f>VLOOKUP($E43&amp;S$5,'②-2勤務時間数入力'!$D$7:$Q$106,$P43,FALSE)</f>
        <v>#N/A</v>
      </c>
      <c r="T43" s="62" t="str">
        <f>IF(ISERROR(S43),"×",IF(S43="-","×","○"))</f>
        <v>×</v>
      </c>
      <c r="U43" s="62" t="e">
        <f>VLOOKUP($E43&amp;U$5,'②-2勤務時間数入力'!$D$7:$Q$106,$P43,FALSE)</f>
        <v>#N/A</v>
      </c>
      <c r="V43" s="62" t="str">
        <f>IF(ISERROR(U43),"×",IF(U43="-","×","○"))</f>
        <v>×</v>
      </c>
      <c r="W43" s="62" t="e">
        <f>VLOOKUP($E43&amp;W$5,'②-2勤務時間数入力'!$D$7:$Q$106,$P43,FALSE)</f>
        <v>#N/A</v>
      </c>
      <c r="X43" s="62" t="str">
        <f>IF(ISERROR(W43),"×",IF(W43="-","×","○"))</f>
        <v>×</v>
      </c>
    </row>
    <row r="44" spans="1:24" ht="13.5" hidden="1" customHeight="1">
      <c r="A44" s="854"/>
      <c r="B44" s="857"/>
      <c r="C44" s="876"/>
      <c r="D44" s="873"/>
      <c r="E44" s="138" t="str">
        <f t="shared" ref="E44:F44" si="92">IF(E38="","",E38)</f>
        <v/>
      </c>
      <c r="F44" s="138" t="str">
        <f t="shared" si="92"/>
        <v/>
      </c>
      <c r="G44" s="180" t="str">
        <f t="shared" si="83"/>
        <v/>
      </c>
      <c r="H44" s="181" t="str">
        <f t="shared" si="84"/>
        <v/>
      </c>
      <c r="I44" s="139" t="str">
        <f>IF($E44="","",IF($G44="正規職員","-",IF(AND(EXACT($C36,$C42),EXACT($E38,$E44),EXACT($G38,$G44)),I38,"賃金単価を記載")))</f>
        <v/>
      </c>
      <c r="J44" s="139" t="str">
        <f t="shared" si="88"/>
        <v/>
      </c>
      <c r="K44" s="139" t="str">
        <f>IF($E44="","",IF($G44="正規職員","-",IF(AND(EXACT($C36,$C42),EXACT($E38,$E44),EXACT($G38,$G44)),K38,"日額の交通費を記載（定期利用の場合は月額)")))</f>
        <v/>
      </c>
      <c r="L44" s="59" t="str">
        <f t="shared" si="85"/>
        <v/>
      </c>
      <c r="M44" s="59">
        <f>$M$6</f>
        <v>221916.66666666701</v>
      </c>
      <c r="N44" s="59">
        <f t="shared" ref="N44" si="93">IFERROR(IF($C42="-","",IF(E44="","",IF(G44="正規職員",M44-M43,MIN(MIN(L44:M44),M43-N43)))),0)</f>
        <v>0</v>
      </c>
      <c r="O44" s="61" t="str">
        <f t="shared" si="90"/>
        <v/>
      </c>
      <c r="P44" s="62">
        <f t="shared" si="91"/>
        <v>9</v>
      </c>
      <c r="Q44" s="62" t="e">
        <f>VLOOKUP($E44&amp;Q$5,'②-2勤務時間数入力'!$D$7:$Q$106,$P44,FALSE)</f>
        <v>#N/A</v>
      </c>
      <c r="R44" s="62" t="str">
        <f>IF(ISERROR(Q44),"×",IF(Q44="-","×","○"))</f>
        <v>×</v>
      </c>
      <c r="S44" s="62" t="e">
        <f>VLOOKUP($E44&amp;S$5,'②-2勤務時間数入力'!$D$7:$Q$106,$P44,FALSE)</f>
        <v>#N/A</v>
      </c>
      <c r="T44" s="62" t="str">
        <f>IF(ISERROR(S44),"×",IF(S44="-","×","○"))</f>
        <v>×</v>
      </c>
      <c r="U44" s="62" t="e">
        <f>VLOOKUP($E44&amp;U$5,'②-2勤務時間数入力'!$D$7:$Q$106,$P44,FALSE)</f>
        <v>#N/A</v>
      </c>
      <c r="V44" s="62" t="str">
        <f>IF(ISERROR(U44),"×",IF(U44="-","×","○"))</f>
        <v>×</v>
      </c>
      <c r="W44" s="62" t="e">
        <f>VLOOKUP($E44&amp;W$5,'②-2勤務時間数入力'!$D$7:$Q$106,$P44,FALSE)</f>
        <v>#N/A</v>
      </c>
      <c r="X44" s="62" t="str">
        <f>IF(ISERROR(W44),"×",IF(W44="-","×","○"))</f>
        <v>×</v>
      </c>
    </row>
    <row r="45" spans="1:24" ht="13.5" hidden="1" customHeight="1">
      <c r="A45" s="854"/>
      <c r="B45" s="857"/>
      <c r="C45" s="876"/>
      <c r="D45" s="873"/>
      <c r="E45" s="138" t="str">
        <f t="shared" ref="E45:F45" si="94">IF(E39="","",E39)</f>
        <v/>
      </c>
      <c r="F45" s="138" t="str">
        <f t="shared" si="94"/>
        <v/>
      </c>
      <c r="G45" s="180" t="str">
        <f t="shared" si="83"/>
        <v/>
      </c>
      <c r="H45" s="181" t="str">
        <f t="shared" si="84"/>
        <v/>
      </c>
      <c r="I45" s="139" t="str">
        <f>IF($E45="","",IF($G45="正規職員","-",IF(AND(EXACT($C36,$C42),EXACT($E39,$E45),EXACT($G39,$G45)),I39,"賃金単価を記載")))</f>
        <v/>
      </c>
      <c r="J45" s="139" t="str">
        <f t="shared" si="88"/>
        <v/>
      </c>
      <c r="K45" s="139" t="str">
        <f>IF($E45="","",IF($G45="正規職員","-",IF(AND(EXACT($C36,$C42),EXACT($E39,$E45),EXACT($G39,$G45)),K39,"日額の交通費を記載（定期利用の場合は月額)")))</f>
        <v/>
      </c>
      <c r="L45" s="59" t="str">
        <f t="shared" si="85"/>
        <v/>
      </c>
      <c r="M45" s="59">
        <f>$M$6</f>
        <v>221916.66666666701</v>
      </c>
      <c r="N45" s="59">
        <f t="shared" ref="N45" si="95">IFERROR(IF($C42="-","",IF(E45="","",IF(G45="正規職員",M45-M44,MIN(MIN(L45:M45),M44-N44)))),0)</f>
        <v>0</v>
      </c>
      <c r="O45" s="61" t="str">
        <f t="shared" si="90"/>
        <v/>
      </c>
      <c r="P45" s="62">
        <f t="shared" si="91"/>
        <v>9</v>
      </c>
      <c r="Q45" s="62" t="e">
        <f>VLOOKUP($E45&amp;Q$5,'②-2勤務時間数入力'!$D$7:$Q$106,$P45,FALSE)</f>
        <v>#N/A</v>
      </c>
      <c r="R45" s="62" t="str">
        <f>IF(ISERROR(Q45),"×",IF(Q45="-","×","○"))</f>
        <v>×</v>
      </c>
      <c r="S45" s="62" t="e">
        <f>VLOOKUP($E45&amp;S$5,'②-2勤務時間数入力'!$D$7:$Q$106,$P45,FALSE)</f>
        <v>#N/A</v>
      </c>
      <c r="T45" s="62" t="str">
        <f>IF(ISERROR(S45),"×",IF(S45="-","×","○"))</f>
        <v>×</v>
      </c>
      <c r="U45" s="62" t="e">
        <f>VLOOKUP($E45&amp;U$5,'②-2勤務時間数入力'!$D$7:$Q$106,$P45,FALSE)</f>
        <v>#N/A</v>
      </c>
      <c r="V45" s="62" t="str">
        <f>IF(ISERROR(U45),"×",IF(U45="-","×","○"))</f>
        <v>×</v>
      </c>
      <c r="W45" s="62" t="e">
        <f>VLOOKUP($E45&amp;W$5,'②-2勤務時間数入力'!$D$7:$Q$106,$P45,FALSE)</f>
        <v>#N/A</v>
      </c>
      <c r="X45" s="62" t="str">
        <f>IF(ISERROR(W45),"×",IF(W45="-","×","○"))</f>
        <v>×</v>
      </c>
    </row>
    <row r="46" spans="1:24" ht="13.5" hidden="1" customHeight="1">
      <c r="A46" s="854"/>
      <c r="B46" s="857"/>
      <c r="C46" s="876"/>
      <c r="D46" s="873"/>
      <c r="E46" s="138" t="str">
        <f t="shared" ref="E46:F46" si="96">IF(E40="","",E40)</f>
        <v/>
      </c>
      <c r="F46" s="138" t="str">
        <f t="shared" si="96"/>
        <v/>
      </c>
      <c r="G46" s="180" t="str">
        <f t="shared" si="83"/>
        <v/>
      </c>
      <c r="H46" s="181" t="str">
        <f t="shared" si="84"/>
        <v/>
      </c>
      <c r="I46" s="139" t="str">
        <f>IF($E46="","",IF($G46="正規職員","-",IF(AND(EXACT($C36,$C42),EXACT($E40,$E46),EXACT($G40,$G46)),I40,"賃金単価を記載")))</f>
        <v/>
      </c>
      <c r="J46" s="139" t="str">
        <f t="shared" si="88"/>
        <v/>
      </c>
      <c r="K46" s="139" t="str">
        <f>IF($E46="","",IF($G46="正規職員","-",IF(AND(EXACT($C36,$C42),EXACT($E40,$E46),EXACT($G40,$G46)),K40,"日額の交通費を記載（定期利用の場合は月額)")))</f>
        <v/>
      </c>
      <c r="L46" s="59" t="str">
        <f t="shared" si="85"/>
        <v/>
      </c>
      <c r="M46" s="59">
        <f>$M$6</f>
        <v>221916.66666666701</v>
      </c>
      <c r="N46" s="59">
        <f t="shared" ref="N46" si="97">IFERROR(IF($C42="-","",IF(E46="","",IF(G46="正規職員",M46-M45,MIN(MIN(L46:M46),M45-N45)))),0)</f>
        <v>0</v>
      </c>
      <c r="O46" s="61" t="str">
        <f t="shared" si="90"/>
        <v/>
      </c>
      <c r="P46" s="62">
        <f t="shared" si="91"/>
        <v>9</v>
      </c>
      <c r="Q46" s="62" t="e">
        <f>VLOOKUP($E46&amp;Q$5,'②-2勤務時間数入力'!$D$7:$Q$106,$P46,FALSE)</f>
        <v>#N/A</v>
      </c>
      <c r="R46" s="62" t="str">
        <f>IF(ISERROR(Q46),"×",IF(Q46="-","×","○"))</f>
        <v>×</v>
      </c>
      <c r="S46" s="62" t="e">
        <f>VLOOKUP($E46&amp;S$5,'②-2勤務時間数入力'!$D$7:$Q$106,$P46,FALSE)</f>
        <v>#N/A</v>
      </c>
      <c r="T46" s="62" t="str">
        <f>IF(ISERROR(S46),"×",IF(S46="-","×","○"))</f>
        <v>×</v>
      </c>
      <c r="U46" s="62" t="e">
        <f>VLOOKUP($E46&amp;U$5,'②-2勤務時間数入力'!$D$7:$Q$106,$P46,FALSE)</f>
        <v>#N/A</v>
      </c>
      <c r="V46" s="62" t="str">
        <f>IF(ISERROR(U46),"×",IF(U46="-","×","○"))</f>
        <v>×</v>
      </c>
      <c r="W46" s="62" t="e">
        <f>VLOOKUP($E46&amp;W$5,'②-2勤務時間数入力'!$D$7:$Q$106,$P46,FALSE)</f>
        <v>#N/A</v>
      </c>
      <c r="X46" s="62" t="str">
        <f>IF(ISERROR(W46),"×",IF(W46="-","×","○"))</f>
        <v>×</v>
      </c>
    </row>
    <row r="47" spans="1:24" ht="13.5" hidden="1" customHeight="1">
      <c r="A47" s="855"/>
      <c r="B47" s="858"/>
      <c r="C47" s="877"/>
      <c r="D47" s="874"/>
      <c r="E47" s="1" t="s">
        <v>279</v>
      </c>
      <c r="F47" s="1"/>
      <c r="G47" s="180" t="s">
        <v>273</v>
      </c>
      <c r="H47" s="432"/>
      <c r="I47" s="60" t="s">
        <v>273</v>
      </c>
      <c r="J47" s="60"/>
      <c r="K47" s="60"/>
      <c r="L47" s="60" t="s">
        <v>273</v>
      </c>
      <c r="M47" s="60" t="s">
        <v>273</v>
      </c>
      <c r="N47" s="59">
        <f>MIN(IFERROR(IF(C42=1,IF(AND(B42="配置",OR(D42="調理師等",D42="栄養士")),MAX(SUM(N42:N46)-①基本情報!L42+10000,0),SUM(N42:N46)),0),0),$M$6)</f>
        <v>0</v>
      </c>
      <c r="O47" s="61" t="e">
        <f>IF(SUM(N42:N46)&gt;#REF!*$M$6,MIN($M$6,SUM(N42:N46)-ROUNDDOWN(#REF!*$M$6,0)),0)</f>
        <v>#REF!</v>
      </c>
      <c r="P47" s="62"/>
      <c r="Q47" s="62"/>
      <c r="R47" s="62"/>
      <c r="S47" s="62"/>
      <c r="T47" s="62"/>
      <c r="U47" s="62"/>
      <c r="V47" s="62"/>
      <c r="W47" s="62"/>
      <c r="X47" s="62"/>
    </row>
    <row r="48" spans="1:24" ht="13.5" hidden="1" customHeight="1">
      <c r="A48" s="843">
        <v>11</v>
      </c>
      <c r="B48" s="856" t="e">
        <f>IF(①基本情報!M40="有",①基本情報!M41,"無")</f>
        <v>#N/A</v>
      </c>
      <c r="C48" s="875" t="e">
        <f>IF(判定!AV16="NG","-",1)</f>
        <v>#DIV/0!</v>
      </c>
      <c r="D48" s="872" t="str">
        <f>IFERROR(INDEX($L$83:$M$88,MATCH(判定!AV16,$L$83:$L$88,0),2),"-")</f>
        <v>-</v>
      </c>
      <c r="E48" s="138" t="str">
        <f>IF(E42="","",E42)</f>
        <v/>
      </c>
      <c r="F48" s="138" t="str">
        <f>IF(F42="","",F42)</f>
        <v/>
      </c>
      <c r="G48" s="180" t="str">
        <f t="shared" ref="G48:G52" si="98">IF(E48="","",IF(R48="○",Q$5,IF(T48="○",S$5,IF(V48="○",U$5,IF(X48="○",W$5,"ERROR")))))</f>
        <v/>
      </c>
      <c r="H48" s="181" t="str">
        <f t="shared" ref="H48:H52" si="99">IF(E48="","",IF(R48="○",Q48,IF(T48="○",S48,IF(V48="○",U48,IF(X48="○",W48,"ERROR")))))</f>
        <v/>
      </c>
      <c r="I48" s="139" t="str">
        <f>IF($E48="","",IF($G48="正規職員","-",IF(AND(EXACT($C42,$C48),EXACT($E42,$E48),EXACT($G42,$G48)),I42,"賃金単価を記載")))</f>
        <v/>
      </c>
      <c r="J48" s="139" t="str">
        <f>IF($E48="","",IF($G48="正規職員","-","勤務日数を記載（定期利用の場合、1と記載)"))</f>
        <v/>
      </c>
      <c r="K48" s="139" t="str">
        <f>IF($E48="","",IF($G48="正規職員","-",IF(AND(EXACT($C42,$C48),EXACT($E42,$E48),EXACT($G42,$G48)),K42,"日額の交通費を記載（定期利用の場合は月額)")))</f>
        <v/>
      </c>
      <c r="L48" s="59" t="str">
        <f t="shared" ref="L48:L52" si="100">IF($E48="","",IF($G48="正規職員","-",(H48*I48+J48*K48)))</f>
        <v/>
      </c>
      <c r="M48" s="59">
        <f>$M$6</f>
        <v>221916.66666666701</v>
      </c>
      <c r="N48" s="59">
        <f t="shared" ref="N48" si="101">IFERROR(IF($C48="-","",IF(E48="",0,IF(G48="正規職員",M48,MIN(L48:M48)))),0)</f>
        <v>0</v>
      </c>
      <c r="O48" s="61" t="str">
        <f>IF(E48="","",IF(COUNTIFS(E48,"*給食室*")=1,"○","エラー"))</f>
        <v/>
      </c>
      <c r="P48" s="62">
        <v>10</v>
      </c>
      <c r="Q48" s="62" t="e">
        <f>VLOOKUP($E48&amp;Q$5,'②-2勤務時間数入力'!$D$7:$Q$106,$P48,FALSE)</f>
        <v>#N/A</v>
      </c>
      <c r="R48" s="62" t="str">
        <f>IF(ISERROR(Q48),"×",IF(Q48="-","×","○"))</f>
        <v>×</v>
      </c>
      <c r="S48" s="62" t="e">
        <f>VLOOKUP($E48&amp;S$5,'②-2勤務時間数入力'!$D$7:$Q$106,$P48,FALSE)</f>
        <v>#N/A</v>
      </c>
      <c r="T48" s="62" t="str">
        <f>IF(ISERROR(S48),"×",IF(S48="-","×","○"))</f>
        <v>×</v>
      </c>
      <c r="U48" s="62" t="e">
        <f>VLOOKUP($E48&amp;U$5,'②-2勤務時間数入力'!$D$7:$Q$106,$P48,FALSE)</f>
        <v>#N/A</v>
      </c>
      <c r="V48" s="62" t="str">
        <f>IF(ISERROR(U48),"×",IF(U48="-","×","○"))</f>
        <v>×</v>
      </c>
      <c r="W48" s="62" t="e">
        <f>VLOOKUP($E48&amp;W$5,'②-2勤務時間数入力'!$D$7:$Q$106,$P48,FALSE)</f>
        <v>#N/A</v>
      </c>
      <c r="X48" s="62" t="str">
        <f>IF(ISERROR(W48),"×",IF(W48="-","×","○"))</f>
        <v>×</v>
      </c>
    </row>
    <row r="49" spans="1:24" ht="13.5" hidden="1" customHeight="1">
      <c r="A49" s="854"/>
      <c r="B49" s="857"/>
      <c r="C49" s="876"/>
      <c r="D49" s="873"/>
      <c r="E49" s="138" t="str">
        <f t="shared" ref="E49:F49" si="102">IF(E43="","",E43)</f>
        <v/>
      </c>
      <c r="F49" s="138" t="str">
        <f t="shared" si="102"/>
        <v/>
      </c>
      <c r="G49" s="180" t="str">
        <f t="shared" si="98"/>
        <v/>
      </c>
      <c r="H49" s="181" t="str">
        <f t="shared" si="99"/>
        <v/>
      </c>
      <c r="I49" s="139" t="str">
        <f>IF($E49="","",IF($G49="正規職員","-",IF(AND(EXACT($C42,$C48),EXACT($E43,$E49),EXACT($G43,$G49)),I43,"賃金単価を記載")))</f>
        <v/>
      </c>
      <c r="J49" s="139" t="str">
        <f t="shared" ref="J49:J52" si="103">IF($E49="","",IF($G49="正規職員","-","勤務日数を記載（定期利用の場合、1と記載)"))</f>
        <v/>
      </c>
      <c r="K49" s="139" t="str">
        <f>IF($E49="","",IF($G49="正規職員","-",IF(AND(EXACT($C42,$C48),EXACT($E43,$E49),EXACT($G43,$G49)),K43,"日額の交通費を記載（定期利用の場合は月額)")))</f>
        <v/>
      </c>
      <c r="L49" s="59" t="str">
        <f t="shared" si="100"/>
        <v/>
      </c>
      <c r="M49" s="59">
        <f>$M$6</f>
        <v>221916.66666666701</v>
      </c>
      <c r="N49" s="59">
        <f t="shared" ref="N49" si="104">IFERROR(IF($C48="-","",IF(E49="","",IF(G49="正規職員",M49-M48,MIN(MIN(L49:M49),M48-N48)))),0)</f>
        <v>0</v>
      </c>
      <c r="O49" s="61" t="str">
        <f t="shared" ref="O49:O52" si="105">IF(E49="","",IF(COUNTIFS(E49,"*給食室*")=1,"○","エラー"))</f>
        <v/>
      </c>
      <c r="P49" s="62">
        <f t="shared" ref="P49:P52" si="106">P48</f>
        <v>10</v>
      </c>
      <c r="Q49" s="62" t="e">
        <f>VLOOKUP($E49&amp;Q$5,'②-2勤務時間数入力'!$D$7:$Q$106,$P49,FALSE)</f>
        <v>#N/A</v>
      </c>
      <c r="R49" s="62" t="str">
        <f>IF(ISERROR(Q49),"×",IF(Q49="-","×","○"))</f>
        <v>×</v>
      </c>
      <c r="S49" s="62" t="e">
        <f>VLOOKUP($E49&amp;S$5,'②-2勤務時間数入力'!$D$7:$Q$106,$P49,FALSE)</f>
        <v>#N/A</v>
      </c>
      <c r="T49" s="62" t="str">
        <f>IF(ISERROR(S49),"×",IF(S49="-","×","○"))</f>
        <v>×</v>
      </c>
      <c r="U49" s="62" t="e">
        <f>VLOOKUP($E49&amp;U$5,'②-2勤務時間数入力'!$D$7:$Q$106,$P49,FALSE)</f>
        <v>#N/A</v>
      </c>
      <c r="V49" s="62" t="str">
        <f>IF(ISERROR(U49),"×",IF(U49="-","×","○"))</f>
        <v>×</v>
      </c>
      <c r="W49" s="62" t="e">
        <f>VLOOKUP($E49&amp;W$5,'②-2勤務時間数入力'!$D$7:$Q$106,$P49,FALSE)</f>
        <v>#N/A</v>
      </c>
      <c r="X49" s="62" t="str">
        <f>IF(ISERROR(W49),"×",IF(W49="-","×","○"))</f>
        <v>×</v>
      </c>
    </row>
    <row r="50" spans="1:24" ht="13.5" hidden="1" customHeight="1">
      <c r="A50" s="854"/>
      <c r="B50" s="857"/>
      <c r="C50" s="876"/>
      <c r="D50" s="873"/>
      <c r="E50" s="138" t="str">
        <f t="shared" ref="E50:F50" si="107">IF(E44="","",E44)</f>
        <v/>
      </c>
      <c r="F50" s="138" t="str">
        <f t="shared" si="107"/>
        <v/>
      </c>
      <c r="G50" s="180" t="str">
        <f t="shared" si="98"/>
        <v/>
      </c>
      <c r="H50" s="181" t="str">
        <f t="shared" si="99"/>
        <v/>
      </c>
      <c r="I50" s="139" t="str">
        <f>IF($E50="","",IF($G50="正規職員","-",IF(AND(EXACT($C42,$C48),EXACT($E44,$E50),EXACT($G44,$G50)),I44,"賃金単価を記載")))</f>
        <v/>
      </c>
      <c r="J50" s="139" t="str">
        <f t="shared" si="103"/>
        <v/>
      </c>
      <c r="K50" s="139" t="str">
        <f>IF($E50="","",IF($G50="正規職員","-",IF(AND(EXACT($C42,$C48),EXACT($E44,$E50),EXACT($G44,$G50)),K44,"日額の交通費を記載（定期利用の場合は月額)")))</f>
        <v/>
      </c>
      <c r="L50" s="59" t="str">
        <f t="shared" si="100"/>
        <v/>
      </c>
      <c r="M50" s="59">
        <f>$M$6</f>
        <v>221916.66666666701</v>
      </c>
      <c r="N50" s="59">
        <f t="shared" ref="N50" si="108">IFERROR(IF($C48="-","",IF(E50="","",IF(G50="正規職員",M50-M49,MIN(MIN(L50:M50),M49-N49)))),0)</f>
        <v>0</v>
      </c>
      <c r="O50" s="61" t="str">
        <f t="shared" si="105"/>
        <v/>
      </c>
      <c r="P50" s="62">
        <f t="shared" si="106"/>
        <v>10</v>
      </c>
      <c r="Q50" s="62" t="e">
        <f>VLOOKUP($E50&amp;Q$5,'②-2勤務時間数入力'!$D$7:$Q$106,$P50,FALSE)</f>
        <v>#N/A</v>
      </c>
      <c r="R50" s="62" t="str">
        <f>IF(ISERROR(Q50),"×",IF(Q50="-","×","○"))</f>
        <v>×</v>
      </c>
      <c r="S50" s="62" t="e">
        <f>VLOOKUP($E50&amp;S$5,'②-2勤務時間数入力'!$D$7:$Q$106,$P50,FALSE)</f>
        <v>#N/A</v>
      </c>
      <c r="T50" s="62" t="str">
        <f>IF(ISERROR(S50),"×",IF(S50="-","×","○"))</f>
        <v>×</v>
      </c>
      <c r="U50" s="62" t="e">
        <f>VLOOKUP($E50&amp;U$5,'②-2勤務時間数入力'!$D$7:$Q$106,$P50,FALSE)</f>
        <v>#N/A</v>
      </c>
      <c r="V50" s="62" t="str">
        <f>IF(ISERROR(U50),"×",IF(U50="-","×","○"))</f>
        <v>×</v>
      </c>
      <c r="W50" s="62" t="e">
        <f>VLOOKUP($E50&amp;W$5,'②-2勤務時間数入力'!$D$7:$Q$106,$P50,FALSE)</f>
        <v>#N/A</v>
      </c>
      <c r="X50" s="62" t="str">
        <f>IF(ISERROR(W50),"×",IF(W50="-","×","○"))</f>
        <v>×</v>
      </c>
    </row>
    <row r="51" spans="1:24" ht="13.5" hidden="1" customHeight="1">
      <c r="A51" s="854"/>
      <c r="B51" s="857"/>
      <c r="C51" s="876"/>
      <c r="D51" s="873"/>
      <c r="E51" s="138" t="str">
        <f t="shared" ref="E51:F51" si="109">IF(E45="","",E45)</f>
        <v/>
      </c>
      <c r="F51" s="138" t="str">
        <f t="shared" si="109"/>
        <v/>
      </c>
      <c r="G51" s="180" t="str">
        <f t="shared" si="98"/>
        <v/>
      </c>
      <c r="H51" s="181" t="str">
        <f t="shared" si="99"/>
        <v/>
      </c>
      <c r="I51" s="139" t="str">
        <f>IF($E51="","",IF($G51="正規職員","-",IF(AND(EXACT($C42,$C48),EXACT($E45,$E51),EXACT($G45,$G51)),I45,"賃金単価を記載")))</f>
        <v/>
      </c>
      <c r="J51" s="139" t="str">
        <f t="shared" si="103"/>
        <v/>
      </c>
      <c r="K51" s="139" t="str">
        <f>IF($E51="","",IF($G51="正規職員","-",IF(AND(EXACT($C42,$C48),EXACT($E45,$E51),EXACT($G45,$G51)),K45,"日額の交通費を記載（定期利用の場合は月額)")))</f>
        <v/>
      </c>
      <c r="L51" s="59" t="str">
        <f t="shared" si="100"/>
        <v/>
      </c>
      <c r="M51" s="59">
        <f>$M$6</f>
        <v>221916.66666666701</v>
      </c>
      <c r="N51" s="59">
        <f t="shared" ref="N51" si="110">IFERROR(IF($C48="-","",IF(E51="","",IF(G51="正規職員",M51-M50,MIN(MIN(L51:M51),M50-N50)))),0)</f>
        <v>0</v>
      </c>
      <c r="O51" s="61" t="str">
        <f t="shared" si="105"/>
        <v/>
      </c>
      <c r="P51" s="62">
        <f t="shared" si="106"/>
        <v>10</v>
      </c>
      <c r="Q51" s="62" t="e">
        <f>VLOOKUP($E51&amp;Q$5,'②-2勤務時間数入力'!$D$7:$Q$106,$P51,FALSE)</f>
        <v>#N/A</v>
      </c>
      <c r="R51" s="62" t="str">
        <f>IF(ISERROR(Q51),"×",IF(Q51="-","×","○"))</f>
        <v>×</v>
      </c>
      <c r="S51" s="62" t="e">
        <f>VLOOKUP($E51&amp;S$5,'②-2勤務時間数入力'!$D$7:$Q$106,$P51,FALSE)</f>
        <v>#N/A</v>
      </c>
      <c r="T51" s="62" t="str">
        <f>IF(ISERROR(S51),"×",IF(S51="-","×","○"))</f>
        <v>×</v>
      </c>
      <c r="U51" s="62" t="e">
        <f>VLOOKUP($E51&amp;U$5,'②-2勤務時間数入力'!$D$7:$Q$106,$P51,FALSE)</f>
        <v>#N/A</v>
      </c>
      <c r="V51" s="62" t="str">
        <f>IF(ISERROR(U51),"×",IF(U51="-","×","○"))</f>
        <v>×</v>
      </c>
      <c r="W51" s="62" t="e">
        <f>VLOOKUP($E51&amp;W$5,'②-2勤務時間数入力'!$D$7:$Q$106,$P51,FALSE)</f>
        <v>#N/A</v>
      </c>
      <c r="X51" s="62" t="str">
        <f>IF(ISERROR(W51),"×",IF(W51="-","×","○"))</f>
        <v>×</v>
      </c>
    </row>
    <row r="52" spans="1:24" ht="13.5" hidden="1" customHeight="1">
      <c r="A52" s="854"/>
      <c r="B52" s="857"/>
      <c r="C52" s="876"/>
      <c r="D52" s="873"/>
      <c r="E52" s="138" t="str">
        <f t="shared" ref="E52:F52" si="111">IF(E46="","",E46)</f>
        <v/>
      </c>
      <c r="F52" s="138" t="str">
        <f t="shared" si="111"/>
        <v/>
      </c>
      <c r="G52" s="180" t="str">
        <f t="shared" si="98"/>
        <v/>
      </c>
      <c r="H52" s="181" t="str">
        <f t="shared" si="99"/>
        <v/>
      </c>
      <c r="I52" s="139" t="str">
        <f>IF($E52="","",IF($G52="正規職員","-",IF(AND(EXACT($C42,$C48),EXACT($E46,$E52),EXACT($G46,$G52)),I46,"賃金単価を記載")))</f>
        <v/>
      </c>
      <c r="J52" s="139" t="str">
        <f t="shared" si="103"/>
        <v/>
      </c>
      <c r="K52" s="139" t="str">
        <f>IF($E52="","",IF($G52="正規職員","-",IF(AND(EXACT($C42,$C48),EXACT($E46,$E52),EXACT($G46,$G52)),K46,"日額の交通費を記載（定期利用の場合は月額)")))</f>
        <v/>
      </c>
      <c r="L52" s="59" t="str">
        <f t="shared" si="100"/>
        <v/>
      </c>
      <c r="M52" s="59">
        <f>$M$6</f>
        <v>221916.66666666701</v>
      </c>
      <c r="N52" s="59">
        <f t="shared" ref="N52" si="112">IFERROR(IF($C48="-","",IF(E52="","",IF(G52="正規職員",M52-M51,MIN(MIN(L52:M52),M51-N51)))),0)</f>
        <v>0</v>
      </c>
      <c r="O52" s="61" t="str">
        <f t="shared" si="105"/>
        <v/>
      </c>
      <c r="P52" s="62">
        <f t="shared" si="106"/>
        <v>10</v>
      </c>
      <c r="Q52" s="62" t="e">
        <f>VLOOKUP($E52&amp;Q$5,'②-2勤務時間数入力'!$D$7:$Q$106,$P52,FALSE)</f>
        <v>#N/A</v>
      </c>
      <c r="R52" s="62" t="str">
        <f>IF(ISERROR(Q52),"×",IF(Q52="-","×","○"))</f>
        <v>×</v>
      </c>
      <c r="S52" s="62" t="e">
        <f>VLOOKUP($E52&amp;S$5,'②-2勤務時間数入力'!$D$7:$Q$106,$P52,FALSE)</f>
        <v>#N/A</v>
      </c>
      <c r="T52" s="62" t="str">
        <f>IF(ISERROR(S52),"×",IF(S52="-","×","○"))</f>
        <v>×</v>
      </c>
      <c r="U52" s="62" t="e">
        <f>VLOOKUP($E52&amp;U$5,'②-2勤務時間数入力'!$D$7:$Q$106,$P52,FALSE)</f>
        <v>#N/A</v>
      </c>
      <c r="V52" s="62" t="str">
        <f>IF(ISERROR(U52),"×",IF(U52="-","×","○"))</f>
        <v>×</v>
      </c>
      <c r="W52" s="62" t="e">
        <f>VLOOKUP($E52&amp;W$5,'②-2勤務時間数入力'!$D$7:$Q$106,$P52,FALSE)</f>
        <v>#N/A</v>
      </c>
      <c r="X52" s="62" t="str">
        <f>IF(ISERROR(W52),"×",IF(W52="-","×","○"))</f>
        <v>×</v>
      </c>
    </row>
    <row r="53" spans="1:24" ht="13.5" hidden="1" customHeight="1">
      <c r="A53" s="855"/>
      <c r="B53" s="858"/>
      <c r="C53" s="877"/>
      <c r="D53" s="874"/>
      <c r="E53" s="1" t="s">
        <v>280</v>
      </c>
      <c r="F53" s="1"/>
      <c r="G53" s="180" t="s">
        <v>273</v>
      </c>
      <c r="H53" s="432"/>
      <c r="I53" s="60" t="s">
        <v>273</v>
      </c>
      <c r="J53" s="60"/>
      <c r="K53" s="60"/>
      <c r="L53" s="60" t="s">
        <v>273</v>
      </c>
      <c r="M53" s="60" t="s">
        <v>273</v>
      </c>
      <c r="N53" s="59">
        <f>MIN(IFERROR(IF(C48=1,IF(AND(B48="配置",OR(D48="調理師等",D48="栄養士")),MAX(SUM(N48:N52)-①基本情報!M42+10000,0),SUM(N48:N52)),0),0),$M$6)</f>
        <v>0</v>
      </c>
      <c r="O53" s="61" t="e">
        <f>IF(SUM(N48:N52)&gt;#REF!*$M$6,MIN($M$6,SUM(N48:N52)-ROUNDDOWN(#REF!*$M$6,0)),0)</f>
        <v>#REF!</v>
      </c>
      <c r="P53" s="62"/>
      <c r="Q53" s="62"/>
      <c r="R53" s="62"/>
      <c r="S53" s="62"/>
      <c r="T53" s="62"/>
      <c r="U53" s="62"/>
      <c r="V53" s="62"/>
      <c r="W53" s="62"/>
      <c r="X53" s="62"/>
    </row>
    <row r="54" spans="1:24" ht="13.5" hidden="1" customHeight="1">
      <c r="A54" s="843">
        <v>12</v>
      </c>
      <c r="B54" s="856" t="e">
        <f>IF(①基本情報!N40="有",①基本情報!N41,"無")</f>
        <v>#N/A</v>
      </c>
      <c r="C54" s="875" t="e">
        <f>IF(判定!AV17="NG","-",1)</f>
        <v>#DIV/0!</v>
      </c>
      <c r="D54" s="872" t="str">
        <f>IFERROR(INDEX($L$83:$M$88,MATCH(判定!AV17,$L$83:$L$88,0),2),"-")</f>
        <v>-</v>
      </c>
      <c r="E54" s="138" t="str">
        <f>IF(E48="","",E48)</f>
        <v/>
      </c>
      <c r="F54" s="138" t="str">
        <f>IF(F48="","",F48)</f>
        <v/>
      </c>
      <c r="G54" s="180" t="str">
        <f t="shared" ref="G54:G58" si="113">IF(E54="","",IF(R54="○",Q$5,IF(T54="○",S$5,IF(V54="○",U$5,IF(X54="○",W$5,"ERROR")))))</f>
        <v/>
      </c>
      <c r="H54" s="181" t="str">
        <f t="shared" ref="H54:H58" si="114">IF(E54="","",IF(R54="○",Q54,IF(T54="○",S54,IF(V54="○",U54,IF(X54="○",W54,"ERROR")))))</f>
        <v/>
      </c>
      <c r="I54" s="139" t="str">
        <f>IF($E54="","",IF($G54="正規職員","-",IF(AND(EXACT($C48,$C54),EXACT($E48,$E54),EXACT($G48,$G54)),I48,"賃金単価を記載")))</f>
        <v/>
      </c>
      <c r="J54" s="139" t="str">
        <f>IF($E54="","",IF($G54="正規職員","-","勤務日数を記載（定期利用の場合、1と記載)"))</f>
        <v/>
      </c>
      <c r="K54" s="139" t="str">
        <f>IF($E54="","",IF($G54="正規職員","-",IF(AND(EXACT($C48,$C54),EXACT($E48,$E54),EXACT($G48,$G54)),K48,"日額の交通費を記載（定期利用の場合は月額)")))</f>
        <v/>
      </c>
      <c r="L54" s="59" t="str">
        <f t="shared" ref="L54:L58" si="115">IF($E54="","",IF($G54="正規職員","-",(H54*I54+J54*K54)))</f>
        <v/>
      </c>
      <c r="M54" s="59">
        <f>$M$6</f>
        <v>221916.66666666701</v>
      </c>
      <c r="N54" s="59">
        <f t="shared" ref="N54" si="116">IFERROR(IF($C54="-","",IF(E54="",0,IF(G54="正規職員",M54,MIN(L54:M54)))),0)</f>
        <v>0</v>
      </c>
      <c r="O54" s="61" t="str">
        <f>IF(E54="","",IF(COUNTIFS(E54,"*給食室*")=1,"○","エラー"))</f>
        <v/>
      </c>
      <c r="P54" s="62">
        <v>11</v>
      </c>
      <c r="Q54" s="62" t="e">
        <f>VLOOKUP($E54&amp;Q$5,'②-2勤務時間数入力'!$D$7:$Q$106,$P54,FALSE)</f>
        <v>#N/A</v>
      </c>
      <c r="R54" s="62" t="str">
        <f>IF(ISERROR(Q54),"×",IF(Q54="-","×","○"))</f>
        <v>×</v>
      </c>
      <c r="S54" s="62" t="e">
        <f>VLOOKUP($E54&amp;S$5,'②-2勤務時間数入力'!$D$7:$Q$106,$P54,FALSE)</f>
        <v>#N/A</v>
      </c>
      <c r="T54" s="62" t="str">
        <f>IF(ISERROR(S54),"×",IF(S54="-","×","○"))</f>
        <v>×</v>
      </c>
      <c r="U54" s="62" t="e">
        <f>VLOOKUP($E54&amp;U$5,'②-2勤務時間数入力'!$D$7:$Q$106,$P54,FALSE)</f>
        <v>#N/A</v>
      </c>
      <c r="V54" s="62" t="str">
        <f>IF(ISERROR(U54),"×",IF(U54="-","×","○"))</f>
        <v>×</v>
      </c>
      <c r="W54" s="62" t="e">
        <f>VLOOKUP($E54&amp;W$5,'②-2勤務時間数入力'!$D$7:$Q$106,$P54,FALSE)</f>
        <v>#N/A</v>
      </c>
      <c r="X54" s="62" t="str">
        <f>IF(ISERROR(W54),"×",IF(W54="-","×","○"))</f>
        <v>×</v>
      </c>
    </row>
    <row r="55" spans="1:24" ht="13.5" hidden="1" customHeight="1">
      <c r="A55" s="854"/>
      <c r="B55" s="857"/>
      <c r="C55" s="876"/>
      <c r="D55" s="873"/>
      <c r="E55" s="138" t="str">
        <f t="shared" ref="E55:F55" si="117">IF(E49="","",E49)</f>
        <v/>
      </c>
      <c r="F55" s="138" t="str">
        <f t="shared" si="117"/>
        <v/>
      </c>
      <c r="G55" s="180" t="str">
        <f t="shared" si="113"/>
        <v/>
      </c>
      <c r="H55" s="181" t="str">
        <f t="shared" si="114"/>
        <v/>
      </c>
      <c r="I55" s="139" t="str">
        <f>IF($E55="","",IF($G55="正規職員","-",IF(AND(EXACT($C48,$C54),EXACT($E49,$E55),EXACT($G49,$G55)),I49,"賃金単価を記載")))</f>
        <v/>
      </c>
      <c r="J55" s="139" t="str">
        <f t="shared" ref="J55:J58" si="118">IF($E55="","",IF($G55="正規職員","-","勤務日数を記載（定期利用の場合、1と記載)"))</f>
        <v/>
      </c>
      <c r="K55" s="139" t="str">
        <f>IF($E55="","",IF($G55="正規職員","-",IF(AND(EXACT($C48,$C54),EXACT($E49,$E55),EXACT($G49,$G55)),K49,"日額の交通費を記載（定期利用の場合は月額)")))</f>
        <v/>
      </c>
      <c r="L55" s="59" t="str">
        <f t="shared" si="115"/>
        <v/>
      </c>
      <c r="M55" s="59">
        <f>$M$6</f>
        <v>221916.66666666701</v>
      </c>
      <c r="N55" s="59">
        <f t="shared" ref="N55" si="119">IFERROR(IF($C54="-","",IF(E55="","",IF(G55="正規職員",M55-M54,MIN(MIN(L55:M55),M54-N54)))),0)</f>
        <v>0</v>
      </c>
      <c r="O55" s="61" t="str">
        <f t="shared" ref="O55:O58" si="120">IF(E55="","",IF(COUNTIFS(E55,"*給食室*")=1,"○","エラー"))</f>
        <v/>
      </c>
      <c r="P55" s="62">
        <f t="shared" ref="P55:P58" si="121">P54</f>
        <v>11</v>
      </c>
      <c r="Q55" s="62" t="e">
        <f>VLOOKUP($E55&amp;Q$5,'②-2勤務時間数入力'!$D$7:$Q$106,$P55,FALSE)</f>
        <v>#N/A</v>
      </c>
      <c r="R55" s="62" t="str">
        <f>IF(ISERROR(Q55),"×",IF(Q55="-","×","○"))</f>
        <v>×</v>
      </c>
      <c r="S55" s="62" t="e">
        <f>VLOOKUP($E55&amp;S$5,'②-2勤務時間数入力'!$D$7:$Q$106,$P55,FALSE)</f>
        <v>#N/A</v>
      </c>
      <c r="T55" s="62" t="str">
        <f>IF(ISERROR(S55),"×",IF(S55="-","×","○"))</f>
        <v>×</v>
      </c>
      <c r="U55" s="62" t="e">
        <f>VLOOKUP($E55&amp;U$5,'②-2勤務時間数入力'!$D$7:$Q$106,$P55,FALSE)</f>
        <v>#N/A</v>
      </c>
      <c r="V55" s="62" t="str">
        <f>IF(ISERROR(U55),"×",IF(U55="-","×","○"))</f>
        <v>×</v>
      </c>
      <c r="W55" s="62" t="e">
        <f>VLOOKUP($E55&amp;W$5,'②-2勤務時間数入力'!$D$7:$Q$106,$P55,FALSE)</f>
        <v>#N/A</v>
      </c>
      <c r="X55" s="62" t="str">
        <f>IF(ISERROR(W55),"×",IF(W55="-","×","○"))</f>
        <v>×</v>
      </c>
    </row>
    <row r="56" spans="1:24" ht="13.5" hidden="1" customHeight="1">
      <c r="A56" s="854"/>
      <c r="B56" s="857"/>
      <c r="C56" s="876"/>
      <c r="D56" s="873"/>
      <c r="E56" s="138" t="str">
        <f t="shared" ref="E56:F56" si="122">IF(E50="","",E50)</f>
        <v/>
      </c>
      <c r="F56" s="138" t="str">
        <f t="shared" si="122"/>
        <v/>
      </c>
      <c r="G56" s="180" t="str">
        <f t="shared" si="113"/>
        <v/>
      </c>
      <c r="H56" s="181" t="str">
        <f t="shared" si="114"/>
        <v/>
      </c>
      <c r="I56" s="139" t="str">
        <f>IF($E56="","",IF($G56="正規職員","-",IF(AND(EXACT($C48,$C54),EXACT($E50,$E56),EXACT($G50,$G56)),I50,"賃金単価を記載")))</f>
        <v/>
      </c>
      <c r="J56" s="139" t="str">
        <f t="shared" si="118"/>
        <v/>
      </c>
      <c r="K56" s="139" t="str">
        <f>IF($E56="","",IF($G56="正規職員","-",IF(AND(EXACT($C48,$C54),EXACT($E50,$E56),EXACT($G50,$G56)),K50,"日額の交通費を記載（定期利用の場合は月額)")))</f>
        <v/>
      </c>
      <c r="L56" s="59" t="str">
        <f t="shared" si="115"/>
        <v/>
      </c>
      <c r="M56" s="59">
        <f>$M$6</f>
        <v>221916.66666666701</v>
      </c>
      <c r="N56" s="59">
        <f t="shared" ref="N56" si="123">IFERROR(IF($C54="-","",IF(E56="","",IF(G56="正規職員",M56-M55,MIN(MIN(L56:M56),M55-N55)))),0)</f>
        <v>0</v>
      </c>
      <c r="O56" s="61" t="str">
        <f t="shared" si="120"/>
        <v/>
      </c>
      <c r="P56" s="62">
        <f t="shared" si="121"/>
        <v>11</v>
      </c>
      <c r="Q56" s="62" t="e">
        <f>VLOOKUP($E56&amp;Q$5,'②-2勤務時間数入力'!$D$7:$Q$106,$P56,FALSE)</f>
        <v>#N/A</v>
      </c>
      <c r="R56" s="62" t="str">
        <f>IF(ISERROR(Q56),"×",IF(Q56="-","×","○"))</f>
        <v>×</v>
      </c>
      <c r="S56" s="62" t="e">
        <f>VLOOKUP($E56&amp;S$5,'②-2勤務時間数入力'!$D$7:$Q$106,$P56,FALSE)</f>
        <v>#N/A</v>
      </c>
      <c r="T56" s="62" t="str">
        <f>IF(ISERROR(S56),"×",IF(S56="-","×","○"))</f>
        <v>×</v>
      </c>
      <c r="U56" s="62" t="e">
        <f>VLOOKUP($E56&amp;U$5,'②-2勤務時間数入力'!$D$7:$Q$106,$P56,FALSE)</f>
        <v>#N/A</v>
      </c>
      <c r="V56" s="62" t="str">
        <f>IF(ISERROR(U56),"×",IF(U56="-","×","○"))</f>
        <v>×</v>
      </c>
      <c r="W56" s="62" t="e">
        <f>VLOOKUP($E56&amp;W$5,'②-2勤務時間数入力'!$D$7:$Q$106,$P56,FALSE)</f>
        <v>#N/A</v>
      </c>
      <c r="X56" s="62" t="str">
        <f>IF(ISERROR(W56),"×",IF(W56="-","×","○"))</f>
        <v>×</v>
      </c>
    </row>
    <row r="57" spans="1:24" ht="13.5" hidden="1" customHeight="1">
      <c r="A57" s="854"/>
      <c r="B57" s="857"/>
      <c r="C57" s="876"/>
      <c r="D57" s="873"/>
      <c r="E57" s="138" t="str">
        <f t="shared" ref="E57:F57" si="124">IF(E51="","",E51)</f>
        <v/>
      </c>
      <c r="F57" s="138" t="str">
        <f t="shared" si="124"/>
        <v/>
      </c>
      <c r="G57" s="180" t="str">
        <f t="shared" si="113"/>
        <v/>
      </c>
      <c r="H57" s="181" t="str">
        <f t="shared" si="114"/>
        <v/>
      </c>
      <c r="I57" s="139" t="str">
        <f>IF($E57="","",IF($G57="正規職員","-",IF(AND(EXACT($C48,$C54),EXACT($E51,$E57),EXACT($G51,$G57)),I51,"賃金単価を記載")))</f>
        <v/>
      </c>
      <c r="J57" s="139" t="str">
        <f t="shared" si="118"/>
        <v/>
      </c>
      <c r="K57" s="139" t="str">
        <f>IF($E57="","",IF($G57="正規職員","-",IF(AND(EXACT($C48,$C54),EXACT($E51,$E57),EXACT($G51,$G57)),K51,"日額の交通費を記載（定期利用の場合は月額)")))</f>
        <v/>
      </c>
      <c r="L57" s="59" t="str">
        <f t="shared" si="115"/>
        <v/>
      </c>
      <c r="M57" s="59">
        <f>$M$6</f>
        <v>221916.66666666701</v>
      </c>
      <c r="N57" s="59">
        <f t="shared" ref="N57" si="125">IFERROR(IF($C54="-","",IF(E57="","",IF(G57="正規職員",M57-M56,MIN(MIN(L57:M57),M56-N56)))),0)</f>
        <v>0</v>
      </c>
      <c r="O57" s="61" t="str">
        <f t="shared" si="120"/>
        <v/>
      </c>
      <c r="P57" s="62">
        <f t="shared" si="121"/>
        <v>11</v>
      </c>
      <c r="Q57" s="62" t="e">
        <f>VLOOKUP($E57&amp;Q$5,'②-2勤務時間数入力'!$D$7:$Q$106,$P57,FALSE)</f>
        <v>#N/A</v>
      </c>
      <c r="R57" s="62" t="str">
        <f>IF(ISERROR(Q57),"×",IF(Q57="-","×","○"))</f>
        <v>×</v>
      </c>
      <c r="S57" s="62" t="e">
        <f>VLOOKUP($E57&amp;S$5,'②-2勤務時間数入力'!$D$7:$Q$106,$P57,FALSE)</f>
        <v>#N/A</v>
      </c>
      <c r="T57" s="62" t="str">
        <f>IF(ISERROR(S57),"×",IF(S57="-","×","○"))</f>
        <v>×</v>
      </c>
      <c r="U57" s="62" t="e">
        <f>VLOOKUP($E57&amp;U$5,'②-2勤務時間数入力'!$D$7:$Q$106,$P57,FALSE)</f>
        <v>#N/A</v>
      </c>
      <c r="V57" s="62" t="str">
        <f>IF(ISERROR(U57),"×",IF(U57="-","×","○"))</f>
        <v>×</v>
      </c>
      <c r="W57" s="62" t="e">
        <f>VLOOKUP($E57&amp;W$5,'②-2勤務時間数入力'!$D$7:$Q$106,$P57,FALSE)</f>
        <v>#N/A</v>
      </c>
      <c r="X57" s="62" t="str">
        <f>IF(ISERROR(W57),"×",IF(W57="-","×","○"))</f>
        <v>×</v>
      </c>
    </row>
    <row r="58" spans="1:24" ht="13.5" hidden="1" customHeight="1">
      <c r="A58" s="854"/>
      <c r="B58" s="857"/>
      <c r="C58" s="876"/>
      <c r="D58" s="873"/>
      <c r="E58" s="138" t="str">
        <f t="shared" ref="E58:F58" si="126">IF(E52="","",E52)</f>
        <v/>
      </c>
      <c r="F58" s="138" t="str">
        <f t="shared" si="126"/>
        <v/>
      </c>
      <c r="G58" s="180" t="str">
        <f t="shared" si="113"/>
        <v/>
      </c>
      <c r="H58" s="181" t="str">
        <f t="shared" si="114"/>
        <v/>
      </c>
      <c r="I58" s="139" t="str">
        <f>IF($E58="","",IF($G58="正規職員","-",IF(AND(EXACT($C48,$C54),EXACT($E52,$E58),EXACT($G52,$G58)),I52,"賃金単価を記載")))</f>
        <v/>
      </c>
      <c r="J58" s="139" t="str">
        <f t="shared" si="118"/>
        <v/>
      </c>
      <c r="K58" s="139" t="str">
        <f>IF($E58="","",IF($G58="正規職員","-",IF(AND(EXACT($C48,$C54),EXACT($E52,$E58),EXACT($G52,$G58)),K52,"日額の交通費を記載（定期利用の場合は月額)")))</f>
        <v/>
      </c>
      <c r="L58" s="59" t="str">
        <f t="shared" si="115"/>
        <v/>
      </c>
      <c r="M58" s="59">
        <f>$M$6</f>
        <v>221916.66666666701</v>
      </c>
      <c r="N58" s="59">
        <f t="shared" ref="N58" si="127">IFERROR(IF($C54="-","",IF(E58="","",IF(G58="正規職員",M58-M57,MIN(MIN(L58:M58),M57-N57)))),0)</f>
        <v>0</v>
      </c>
      <c r="O58" s="61" t="str">
        <f t="shared" si="120"/>
        <v/>
      </c>
      <c r="P58" s="62">
        <f t="shared" si="121"/>
        <v>11</v>
      </c>
      <c r="Q58" s="62" t="e">
        <f>VLOOKUP($E58&amp;Q$5,'②-2勤務時間数入力'!$D$7:$Q$106,$P58,FALSE)</f>
        <v>#N/A</v>
      </c>
      <c r="R58" s="62" t="str">
        <f>IF(ISERROR(Q58),"×",IF(Q58="-","×","○"))</f>
        <v>×</v>
      </c>
      <c r="S58" s="62" t="e">
        <f>VLOOKUP($E58&amp;S$5,'②-2勤務時間数入力'!$D$7:$Q$106,$P58,FALSE)</f>
        <v>#N/A</v>
      </c>
      <c r="T58" s="62" t="str">
        <f>IF(ISERROR(S58),"×",IF(S58="-","×","○"))</f>
        <v>×</v>
      </c>
      <c r="U58" s="62" t="e">
        <f>VLOOKUP($E58&amp;U$5,'②-2勤務時間数入力'!$D$7:$Q$106,$P58,FALSE)</f>
        <v>#N/A</v>
      </c>
      <c r="V58" s="62" t="str">
        <f>IF(ISERROR(U58),"×",IF(U58="-","×","○"))</f>
        <v>×</v>
      </c>
      <c r="W58" s="62" t="e">
        <f>VLOOKUP($E58&amp;W$5,'②-2勤務時間数入力'!$D$7:$Q$106,$P58,FALSE)</f>
        <v>#N/A</v>
      </c>
      <c r="X58" s="62" t="str">
        <f>IF(ISERROR(W58),"×",IF(W58="-","×","○"))</f>
        <v>×</v>
      </c>
    </row>
    <row r="59" spans="1:24" ht="13.5" hidden="1" customHeight="1">
      <c r="A59" s="855"/>
      <c r="B59" s="858"/>
      <c r="C59" s="877"/>
      <c r="D59" s="874"/>
      <c r="E59" s="1" t="s">
        <v>281</v>
      </c>
      <c r="F59" s="1"/>
      <c r="G59" s="180" t="s">
        <v>273</v>
      </c>
      <c r="H59" s="432"/>
      <c r="I59" s="60" t="s">
        <v>273</v>
      </c>
      <c r="J59" s="60"/>
      <c r="K59" s="60"/>
      <c r="L59" s="60" t="s">
        <v>273</v>
      </c>
      <c r="M59" s="60" t="s">
        <v>273</v>
      </c>
      <c r="N59" s="59">
        <f>MIN(IFERROR(IF(C54=1,IF(AND(B54="配置",OR(D54="調理師等",D54="栄養士")),MAX(SUM(N54:N58)-①基本情報!N42+10000,0),SUM(N54:N58)),0),0),$M$6)</f>
        <v>0</v>
      </c>
      <c r="O59" s="61" t="e">
        <f>IF(SUM(N54:N58)&gt;#REF!*$M$6,MIN($M$6,SUM(N54:N58)-ROUNDDOWN(#REF!*$M$6,0)),0)</f>
        <v>#REF!</v>
      </c>
      <c r="P59" s="62"/>
      <c r="Q59" s="62"/>
      <c r="R59" s="62"/>
      <c r="S59" s="62"/>
      <c r="T59" s="62"/>
      <c r="U59" s="62"/>
      <c r="V59" s="62"/>
      <c r="W59" s="62"/>
      <c r="X59" s="62"/>
    </row>
    <row r="60" spans="1:24" ht="13.5" hidden="1" customHeight="1">
      <c r="A60" s="843">
        <v>1</v>
      </c>
      <c r="B60" s="856" t="e">
        <f>IF(①基本情報!O40="有",①基本情報!O41,"無")</f>
        <v>#N/A</v>
      </c>
      <c r="C60" s="875" t="e">
        <f>IF(判定!AV18="NG","-",1)</f>
        <v>#DIV/0!</v>
      </c>
      <c r="D60" s="872" t="str">
        <f>IFERROR(INDEX($L$83:$M$88,MATCH(判定!AV18,$L$83:$L$88,0),2),"-")</f>
        <v>-</v>
      </c>
      <c r="E60" s="138" t="str">
        <f>IF(E54="","",E54)</f>
        <v/>
      </c>
      <c r="F60" s="138" t="str">
        <f>IF(F54="","",F54)</f>
        <v/>
      </c>
      <c r="G60" s="180" t="str">
        <f t="shared" ref="G60:G64" si="128">IF(E60="","",IF(R60="○",Q$5,IF(T60="○",S$5,IF(V60="○",U$5,IF(X60="○",W$5,"ERROR")))))</f>
        <v/>
      </c>
      <c r="H60" s="181" t="str">
        <f t="shared" ref="H60:H64" si="129">IF(E60="","",IF(R60="○",Q60,IF(T60="○",S60,IF(V60="○",U60,IF(X60="○",W60,"ERROR")))))</f>
        <v/>
      </c>
      <c r="I60" s="139" t="str">
        <f>IF($E60="","",IF($G60="正規職員","-",IF(AND(EXACT($C54,$C60),EXACT($E54,$E60),EXACT($G54,$G60)),I54,"賃金単価を記載")))</f>
        <v/>
      </c>
      <c r="J60" s="139" t="str">
        <f>IF($E60="","",IF($G60="正規職員","-","勤務日数を記載（定期利用の場合、1と記載)"))</f>
        <v/>
      </c>
      <c r="K60" s="139" t="str">
        <f>IF($E60="","",IF($G60="正規職員","-",IF(AND(EXACT($C54,$C60),EXACT($E54,$E60),EXACT($G54,$G60)),K54,"日額の交通費を記載（定期利用の場合は月額)")))</f>
        <v/>
      </c>
      <c r="L60" s="59" t="str">
        <f t="shared" ref="L60:L64" si="130">IF($E60="","",IF($G60="正規職員","-",(H60*I60+J60*K60)))</f>
        <v/>
      </c>
      <c r="M60" s="59">
        <f>$M$6</f>
        <v>221916.66666666701</v>
      </c>
      <c r="N60" s="59">
        <f t="shared" ref="N60" si="131">IFERROR(IF($C60="-","",IF(E60="",0,IF(G60="正規職員",M60,MIN(L60:M60)))),0)</f>
        <v>0</v>
      </c>
      <c r="O60" s="61" t="str">
        <f>IF(E60="","",IF(COUNTIFS(E60,"*給食室*")=1,"○","エラー"))</f>
        <v/>
      </c>
      <c r="P60" s="62">
        <v>12</v>
      </c>
      <c r="Q60" s="62" t="e">
        <f>VLOOKUP($E60&amp;Q$5,'②-2勤務時間数入力'!$D$7:$Q$106,$P60,FALSE)</f>
        <v>#N/A</v>
      </c>
      <c r="R60" s="62" t="str">
        <f>IF(ISERROR(Q60),"×",IF(Q60="-","×","○"))</f>
        <v>×</v>
      </c>
      <c r="S60" s="62" t="e">
        <f>VLOOKUP($E60&amp;S$5,'②-2勤務時間数入力'!$D$7:$Q$106,$P60,FALSE)</f>
        <v>#N/A</v>
      </c>
      <c r="T60" s="62" t="str">
        <f>IF(ISERROR(S60),"×",IF(S60="-","×","○"))</f>
        <v>×</v>
      </c>
      <c r="U60" s="62" t="e">
        <f>VLOOKUP($E60&amp;U$5,'②-2勤務時間数入力'!$D$7:$Q$106,$P60,FALSE)</f>
        <v>#N/A</v>
      </c>
      <c r="V60" s="62" t="str">
        <f>IF(ISERROR(U60),"×",IF(U60="-","×","○"))</f>
        <v>×</v>
      </c>
      <c r="W60" s="62" t="e">
        <f>VLOOKUP($E60&amp;W$5,'②-2勤務時間数入力'!$D$7:$Q$106,$P60,FALSE)</f>
        <v>#N/A</v>
      </c>
      <c r="X60" s="62" t="str">
        <f>IF(ISERROR(W60),"×",IF(W60="-","×","○"))</f>
        <v>×</v>
      </c>
    </row>
    <row r="61" spans="1:24" ht="13.5" hidden="1" customHeight="1">
      <c r="A61" s="854"/>
      <c r="B61" s="857"/>
      <c r="C61" s="876"/>
      <c r="D61" s="873"/>
      <c r="E61" s="138" t="str">
        <f t="shared" ref="E61:F61" si="132">IF(E55="","",E55)</f>
        <v/>
      </c>
      <c r="F61" s="138" t="str">
        <f t="shared" si="132"/>
        <v/>
      </c>
      <c r="G61" s="180" t="str">
        <f t="shared" si="128"/>
        <v/>
      </c>
      <c r="H61" s="181" t="str">
        <f t="shared" si="129"/>
        <v/>
      </c>
      <c r="I61" s="139" t="str">
        <f>IF($E61="","",IF($G61="正規職員","-",IF(AND(EXACT($C54,$C60),EXACT($E55,$E61),EXACT($G55,$G61)),I55,"賃金単価を記載")))</f>
        <v/>
      </c>
      <c r="J61" s="139" t="str">
        <f t="shared" ref="J61:J64" si="133">IF($E61="","",IF($G61="正規職員","-","勤務日数を記載（定期利用の場合、1と記載)"))</f>
        <v/>
      </c>
      <c r="K61" s="139" t="str">
        <f>IF($E61="","",IF($G61="正規職員","-",IF(AND(EXACT($C54,$C60),EXACT($E55,$E61),EXACT($G55,$G61)),K55,"日額の交通費を記載（定期利用の場合は月額)")))</f>
        <v/>
      </c>
      <c r="L61" s="59" t="str">
        <f t="shared" si="130"/>
        <v/>
      </c>
      <c r="M61" s="59">
        <f>$M$6</f>
        <v>221916.66666666701</v>
      </c>
      <c r="N61" s="59">
        <f t="shared" ref="N61" si="134">IFERROR(IF($C60="-","",IF(E61="","",IF(G61="正規職員",M61-M60,MIN(MIN(L61:M61),M60-N60)))),0)</f>
        <v>0</v>
      </c>
      <c r="O61" s="61" t="str">
        <f t="shared" ref="O61:O64" si="135">IF(E61="","",IF(COUNTIFS(E61,"*給食室*")=1,"○","エラー"))</f>
        <v/>
      </c>
      <c r="P61" s="62">
        <f t="shared" ref="P61:P64" si="136">P60</f>
        <v>12</v>
      </c>
      <c r="Q61" s="62" t="e">
        <f>VLOOKUP($E61&amp;Q$5,'②-2勤務時間数入力'!$D$7:$Q$106,$P61,FALSE)</f>
        <v>#N/A</v>
      </c>
      <c r="R61" s="62" t="str">
        <f>IF(ISERROR(Q61),"×",IF(Q61="-","×","○"))</f>
        <v>×</v>
      </c>
      <c r="S61" s="62" t="e">
        <f>VLOOKUP($E61&amp;S$5,'②-2勤務時間数入力'!$D$7:$Q$106,$P61,FALSE)</f>
        <v>#N/A</v>
      </c>
      <c r="T61" s="62" t="str">
        <f>IF(ISERROR(S61),"×",IF(S61="-","×","○"))</f>
        <v>×</v>
      </c>
      <c r="U61" s="62" t="e">
        <f>VLOOKUP($E61&amp;U$5,'②-2勤務時間数入力'!$D$7:$Q$106,$P61,FALSE)</f>
        <v>#N/A</v>
      </c>
      <c r="V61" s="62" t="str">
        <f>IF(ISERROR(U61),"×",IF(U61="-","×","○"))</f>
        <v>×</v>
      </c>
      <c r="W61" s="62" t="e">
        <f>VLOOKUP($E61&amp;W$5,'②-2勤務時間数入力'!$D$7:$Q$106,$P61,FALSE)</f>
        <v>#N/A</v>
      </c>
      <c r="X61" s="62" t="str">
        <f>IF(ISERROR(W61),"×",IF(W61="-","×","○"))</f>
        <v>×</v>
      </c>
    </row>
    <row r="62" spans="1:24" ht="13.5" hidden="1" customHeight="1">
      <c r="A62" s="854"/>
      <c r="B62" s="857"/>
      <c r="C62" s="876"/>
      <c r="D62" s="873"/>
      <c r="E62" s="138" t="str">
        <f t="shared" ref="E62:F62" si="137">IF(E56="","",E56)</f>
        <v/>
      </c>
      <c r="F62" s="138" t="str">
        <f t="shared" si="137"/>
        <v/>
      </c>
      <c r="G62" s="180" t="str">
        <f t="shared" si="128"/>
        <v/>
      </c>
      <c r="H62" s="181" t="str">
        <f t="shared" si="129"/>
        <v/>
      </c>
      <c r="I62" s="139" t="str">
        <f>IF($E62="","",IF($G62="正規職員","-",IF(AND(EXACT($C54,$C60),EXACT($E56,$E62),EXACT($G56,$G62)),I56,"賃金単価を記載")))</f>
        <v/>
      </c>
      <c r="J62" s="139" t="str">
        <f t="shared" si="133"/>
        <v/>
      </c>
      <c r="K62" s="139" t="str">
        <f>IF($E62="","",IF($G62="正規職員","-",IF(AND(EXACT($C54,$C60),EXACT($E56,$E62),EXACT($G56,$G62)),K56,"日額の交通費を記載（定期利用の場合は月額)")))</f>
        <v/>
      </c>
      <c r="L62" s="59" t="str">
        <f t="shared" si="130"/>
        <v/>
      </c>
      <c r="M62" s="59">
        <f>$M$6</f>
        <v>221916.66666666701</v>
      </c>
      <c r="N62" s="59">
        <f t="shared" ref="N62" si="138">IFERROR(IF($C60="-","",IF(E62="","",IF(G62="正規職員",M62-M61,MIN(MIN(L62:M62),M61-N61)))),0)</f>
        <v>0</v>
      </c>
      <c r="O62" s="61" t="str">
        <f t="shared" si="135"/>
        <v/>
      </c>
      <c r="P62" s="62">
        <f t="shared" si="136"/>
        <v>12</v>
      </c>
      <c r="Q62" s="62" t="e">
        <f>VLOOKUP($E62&amp;Q$5,'②-2勤務時間数入力'!$D$7:$Q$106,$P62,FALSE)</f>
        <v>#N/A</v>
      </c>
      <c r="R62" s="62" t="str">
        <f>IF(ISERROR(Q62),"×",IF(Q62="-","×","○"))</f>
        <v>×</v>
      </c>
      <c r="S62" s="62" t="e">
        <f>VLOOKUP($E62&amp;S$5,'②-2勤務時間数入力'!$D$7:$Q$106,$P62,FALSE)</f>
        <v>#N/A</v>
      </c>
      <c r="T62" s="62" t="str">
        <f>IF(ISERROR(S62),"×",IF(S62="-","×","○"))</f>
        <v>×</v>
      </c>
      <c r="U62" s="62" t="e">
        <f>VLOOKUP($E62&amp;U$5,'②-2勤務時間数入力'!$D$7:$Q$106,$P62,FALSE)</f>
        <v>#N/A</v>
      </c>
      <c r="V62" s="62" t="str">
        <f>IF(ISERROR(U62),"×",IF(U62="-","×","○"))</f>
        <v>×</v>
      </c>
      <c r="W62" s="62" t="e">
        <f>VLOOKUP($E62&amp;W$5,'②-2勤務時間数入力'!$D$7:$Q$106,$P62,FALSE)</f>
        <v>#N/A</v>
      </c>
      <c r="X62" s="62" t="str">
        <f>IF(ISERROR(W62),"×",IF(W62="-","×","○"))</f>
        <v>×</v>
      </c>
    </row>
    <row r="63" spans="1:24" ht="13.5" hidden="1" customHeight="1">
      <c r="A63" s="854"/>
      <c r="B63" s="857"/>
      <c r="C63" s="876"/>
      <c r="D63" s="873"/>
      <c r="E63" s="138" t="str">
        <f t="shared" ref="E63:F63" si="139">IF(E57="","",E57)</f>
        <v/>
      </c>
      <c r="F63" s="138" t="str">
        <f t="shared" si="139"/>
        <v/>
      </c>
      <c r="G63" s="180" t="str">
        <f t="shared" si="128"/>
        <v/>
      </c>
      <c r="H63" s="181" t="str">
        <f t="shared" si="129"/>
        <v/>
      </c>
      <c r="I63" s="139" t="str">
        <f>IF($E63="","",IF($G63="正規職員","-",IF(AND(EXACT($C54,$C60),EXACT($E57,$E63),EXACT($G57,$G63)),I57,"賃金単価を記載")))</f>
        <v/>
      </c>
      <c r="J63" s="139" t="str">
        <f t="shared" si="133"/>
        <v/>
      </c>
      <c r="K63" s="139" t="str">
        <f>IF($E63="","",IF($G63="正規職員","-",IF(AND(EXACT($C54,$C60),EXACT($E57,$E63),EXACT($G57,$G63)),K57,"日額の交通費を記載（定期利用の場合は月額)")))</f>
        <v/>
      </c>
      <c r="L63" s="59" t="str">
        <f t="shared" si="130"/>
        <v/>
      </c>
      <c r="M63" s="59">
        <f>$M$6</f>
        <v>221916.66666666701</v>
      </c>
      <c r="N63" s="59">
        <f t="shared" ref="N63" si="140">IFERROR(IF($C60="-","",IF(E63="","",IF(G63="正規職員",M63-M62,MIN(MIN(L63:M63),M62-N62)))),0)</f>
        <v>0</v>
      </c>
      <c r="O63" s="61" t="str">
        <f t="shared" si="135"/>
        <v/>
      </c>
      <c r="P63" s="62">
        <f t="shared" si="136"/>
        <v>12</v>
      </c>
      <c r="Q63" s="62" t="e">
        <f>VLOOKUP($E63&amp;Q$5,'②-2勤務時間数入力'!$D$7:$Q$106,$P63,FALSE)</f>
        <v>#N/A</v>
      </c>
      <c r="R63" s="62" t="str">
        <f>IF(ISERROR(Q63),"×",IF(Q63="-","×","○"))</f>
        <v>×</v>
      </c>
      <c r="S63" s="62" t="e">
        <f>VLOOKUP($E63&amp;S$5,'②-2勤務時間数入力'!$D$7:$Q$106,$P63,FALSE)</f>
        <v>#N/A</v>
      </c>
      <c r="T63" s="62" t="str">
        <f>IF(ISERROR(S63),"×",IF(S63="-","×","○"))</f>
        <v>×</v>
      </c>
      <c r="U63" s="62" t="e">
        <f>VLOOKUP($E63&amp;U$5,'②-2勤務時間数入力'!$D$7:$Q$106,$P63,FALSE)</f>
        <v>#N/A</v>
      </c>
      <c r="V63" s="62" t="str">
        <f>IF(ISERROR(U63),"×",IF(U63="-","×","○"))</f>
        <v>×</v>
      </c>
      <c r="W63" s="62" t="e">
        <f>VLOOKUP($E63&amp;W$5,'②-2勤務時間数入力'!$D$7:$Q$106,$P63,FALSE)</f>
        <v>#N/A</v>
      </c>
      <c r="X63" s="62" t="str">
        <f>IF(ISERROR(W63),"×",IF(W63="-","×","○"))</f>
        <v>×</v>
      </c>
    </row>
    <row r="64" spans="1:24" ht="13.5" hidden="1" customHeight="1">
      <c r="A64" s="854"/>
      <c r="B64" s="857"/>
      <c r="C64" s="876"/>
      <c r="D64" s="873"/>
      <c r="E64" s="138" t="str">
        <f t="shared" ref="E64:F64" si="141">IF(E58="","",E58)</f>
        <v/>
      </c>
      <c r="F64" s="138" t="str">
        <f t="shared" si="141"/>
        <v/>
      </c>
      <c r="G64" s="180" t="str">
        <f t="shared" si="128"/>
        <v/>
      </c>
      <c r="H64" s="181" t="str">
        <f t="shared" si="129"/>
        <v/>
      </c>
      <c r="I64" s="139" t="str">
        <f>IF($E64="","",IF($G64="正規職員","-",IF(AND(EXACT($C54,$C60),EXACT($E58,$E64),EXACT($G58,$G64)),I58,"賃金単価を記載")))</f>
        <v/>
      </c>
      <c r="J64" s="139" t="str">
        <f t="shared" si="133"/>
        <v/>
      </c>
      <c r="K64" s="139" t="str">
        <f>IF($E64="","",IF($G64="正規職員","-",IF(AND(EXACT($C54,$C60),EXACT($E58,$E64),EXACT($G58,$G64)),K58,"日額の交通費を記載（定期利用の場合は月額)")))</f>
        <v/>
      </c>
      <c r="L64" s="59" t="str">
        <f t="shared" si="130"/>
        <v/>
      </c>
      <c r="M64" s="59">
        <f>$M$6</f>
        <v>221916.66666666701</v>
      </c>
      <c r="N64" s="59">
        <f t="shared" ref="N64" si="142">IFERROR(IF($C60="-","",IF(E64="","",IF(G64="正規職員",M64-M63,MIN(MIN(L64:M64),M63-N63)))),0)</f>
        <v>0</v>
      </c>
      <c r="O64" s="61" t="str">
        <f t="shared" si="135"/>
        <v/>
      </c>
      <c r="P64" s="62">
        <f t="shared" si="136"/>
        <v>12</v>
      </c>
      <c r="Q64" s="62" t="e">
        <f>VLOOKUP($E64&amp;Q$5,'②-2勤務時間数入力'!$D$7:$Q$106,$P64,FALSE)</f>
        <v>#N/A</v>
      </c>
      <c r="R64" s="62" t="str">
        <f>IF(ISERROR(Q64),"×",IF(Q64="-","×","○"))</f>
        <v>×</v>
      </c>
      <c r="S64" s="62" t="e">
        <f>VLOOKUP($E64&amp;S$5,'②-2勤務時間数入力'!$D$7:$Q$106,$P64,FALSE)</f>
        <v>#N/A</v>
      </c>
      <c r="T64" s="62" t="str">
        <f>IF(ISERROR(S64),"×",IF(S64="-","×","○"))</f>
        <v>×</v>
      </c>
      <c r="U64" s="62" t="e">
        <f>VLOOKUP($E64&amp;U$5,'②-2勤務時間数入力'!$D$7:$Q$106,$P64,FALSE)</f>
        <v>#N/A</v>
      </c>
      <c r="V64" s="62" t="str">
        <f>IF(ISERROR(U64),"×",IF(U64="-","×","○"))</f>
        <v>×</v>
      </c>
      <c r="W64" s="62" t="e">
        <f>VLOOKUP($E64&amp;W$5,'②-2勤務時間数入力'!$D$7:$Q$106,$P64,FALSE)</f>
        <v>#N/A</v>
      </c>
      <c r="X64" s="62" t="str">
        <f>IF(ISERROR(W64),"×",IF(W64="-","×","○"))</f>
        <v>×</v>
      </c>
    </row>
    <row r="65" spans="1:24" ht="13.5" hidden="1" customHeight="1">
      <c r="A65" s="855"/>
      <c r="B65" s="858"/>
      <c r="C65" s="877"/>
      <c r="D65" s="874"/>
      <c r="E65" s="1" t="s">
        <v>282</v>
      </c>
      <c r="F65" s="1"/>
      <c r="G65" s="180" t="s">
        <v>273</v>
      </c>
      <c r="H65" s="432"/>
      <c r="I65" s="60" t="s">
        <v>273</v>
      </c>
      <c r="J65" s="60"/>
      <c r="K65" s="60"/>
      <c r="L65" s="60" t="s">
        <v>273</v>
      </c>
      <c r="M65" s="60" t="s">
        <v>273</v>
      </c>
      <c r="N65" s="59">
        <f>MIN(IFERROR(IF(C60=1,IF(AND(B60="配置",OR(D60="調理師等",D60="栄養士")),MAX(SUM(N60:N64)-①基本情報!O42+10000,0),SUM(N60:N64)),0),0),$M$6)</f>
        <v>0</v>
      </c>
      <c r="O65" s="61" t="e">
        <f>IF(SUM(N60:N64)&gt;#REF!*$M$6,MIN($M$6,SUM(N60:N64)-ROUNDDOWN(#REF!*$M$6,0)),0)</f>
        <v>#REF!</v>
      </c>
      <c r="P65" s="62"/>
      <c r="Q65" s="62"/>
      <c r="R65" s="62"/>
      <c r="S65" s="62"/>
      <c r="T65" s="62"/>
      <c r="U65" s="62"/>
      <c r="V65" s="62"/>
      <c r="W65" s="62"/>
      <c r="X65" s="62"/>
    </row>
    <row r="66" spans="1:24" ht="13.5" hidden="1" customHeight="1">
      <c r="A66" s="843">
        <v>2</v>
      </c>
      <c r="B66" s="856" t="e">
        <f>IF(①基本情報!P40="有",①基本情報!P41,"無")</f>
        <v>#N/A</v>
      </c>
      <c r="C66" s="875" t="e">
        <f>IF(判定!AV19="NG","-",1)</f>
        <v>#DIV/0!</v>
      </c>
      <c r="D66" s="872" t="str">
        <f>IFERROR(INDEX($L$83:$M$88,MATCH(判定!AV19,$L$83:$L$88,0),2),"-")</f>
        <v>-</v>
      </c>
      <c r="E66" s="138" t="str">
        <f>IF(E60="","",E60)</f>
        <v/>
      </c>
      <c r="F66" s="138" t="str">
        <f>IF(F60="","",F60)</f>
        <v/>
      </c>
      <c r="G66" s="180" t="str">
        <f t="shared" ref="G66:G70" si="143">IF(E66="","",IF(R66="○",Q$5,IF(T66="○",S$5,IF(V66="○",U$5,IF(X66="○",W$5,"ERROR")))))</f>
        <v/>
      </c>
      <c r="H66" s="181" t="str">
        <f t="shared" ref="H66:H70" si="144">IF(E66="","",IF(R66="○",Q66,IF(T66="○",S66,IF(V66="○",U66,IF(X66="○",W66,"ERROR")))))</f>
        <v/>
      </c>
      <c r="I66" s="139" t="str">
        <f>IF($E66="","",IF($G66="正規職員","-",IF(AND(EXACT($C60,$C66),EXACT($E60,$E66),EXACT($G60,$G66)),I60,"賃金単価を記載")))</f>
        <v/>
      </c>
      <c r="J66" s="139" t="str">
        <f>IF($E66="","",IF($G66="正規職員","-","勤務日数を記載（定期利用の場合、1と記載)"))</f>
        <v/>
      </c>
      <c r="K66" s="139" t="str">
        <f>IF($E66="","",IF($G66="正規職員","-",IF(AND(EXACT($C60,$C66),EXACT($E60,$E66),EXACT($G60,$G66)),K60,"日額の交通費を記載（定期利用の場合は月額)")))</f>
        <v/>
      </c>
      <c r="L66" s="59" t="str">
        <f t="shared" ref="L66:L70" si="145">IF($E66="","",IF($G66="正規職員","-",(H66*I66+J66*K66)))</f>
        <v/>
      </c>
      <c r="M66" s="59">
        <f>$M$6</f>
        <v>221916.66666666701</v>
      </c>
      <c r="N66" s="59">
        <f t="shared" ref="N66" si="146">IFERROR(IF($C66="-","",IF(E66="",0,IF(G66="正規職員",M66,MIN(L66:M66)))),0)</f>
        <v>0</v>
      </c>
      <c r="O66" s="61" t="str">
        <f>IF(E66="","",IF(COUNTIFS(E66,"*給食室*")=1,"○","エラー"))</f>
        <v/>
      </c>
      <c r="P66" s="62">
        <v>13</v>
      </c>
      <c r="Q66" s="62" t="e">
        <f>VLOOKUP($E66&amp;Q$5,'②-2勤務時間数入力'!$D$7:$Q$106,$P66,FALSE)</f>
        <v>#N/A</v>
      </c>
      <c r="R66" s="62" t="str">
        <f>IF(ISERROR(Q66),"×",IF(Q66="-","×","○"))</f>
        <v>×</v>
      </c>
      <c r="S66" s="62" t="e">
        <f>VLOOKUP($E66&amp;S$5,'②-2勤務時間数入力'!$D$7:$Q$106,$P66,FALSE)</f>
        <v>#N/A</v>
      </c>
      <c r="T66" s="62" t="str">
        <f>IF(ISERROR(S66),"×",IF(S66="-","×","○"))</f>
        <v>×</v>
      </c>
      <c r="U66" s="62" t="e">
        <f>VLOOKUP($E66&amp;U$5,'②-2勤務時間数入力'!$D$7:$Q$106,$P66,FALSE)</f>
        <v>#N/A</v>
      </c>
      <c r="V66" s="62" t="str">
        <f>IF(ISERROR(U66),"×",IF(U66="-","×","○"))</f>
        <v>×</v>
      </c>
      <c r="W66" s="62" t="e">
        <f>VLOOKUP($E66&amp;W$5,'②-2勤務時間数入力'!$D$7:$Q$106,$P66,FALSE)</f>
        <v>#N/A</v>
      </c>
      <c r="X66" s="62" t="str">
        <f>IF(ISERROR(W66),"×",IF(W66="-","×","○"))</f>
        <v>×</v>
      </c>
    </row>
    <row r="67" spans="1:24" ht="13.5" hidden="1" customHeight="1">
      <c r="A67" s="854"/>
      <c r="B67" s="857"/>
      <c r="C67" s="876"/>
      <c r="D67" s="873"/>
      <c r="E67" s="138" t="str">
        <f t="shared" ref="E67:F67" si="147">IF(E61="","",E61)</f>
        <v/>
      </c>
      <c r="F67" s="138" t="str">
        <f t="shared" si="147"/>
        <v/>
      </c>
      <c r="G67" s="180" t="str">
        <f t="shared" si="143"/>
        <v/>
      </c>
      <c r="H67" s="181" t="str">
        <f t="shared" si="144"/>
        <v/>
      </c>
      <c r="I67" s="139" t="str">
        <f>IF($E67="","",IF($G67="正規職員","-",IF(AND(EXACT($C60,$C66),EXACT($E61,$E67),EXACT($G61,$G67)),I61,"賃金単価を記載")))</f>
        <v/>
      </c>
      <c r="J67" s="139" t="str">
        <f t="shared" ref="J67:J70" si="148">IF($E67="","",IF($G67="正規職員","-","勤務日数を記載（定期利用の場合、1と記載)"))</f>
        <v/>
      </c>
      <c r="K67" s="139" t="str">
        <f>IF($E67="","",IF($G67="正規職員","-",IF(AND(EXACT($C60,$C66),EXACT($E61,$E67),EXACT($G61,$G67)),K61,"日額の交通費を記載（定期利用の場合は月額)")))</f>
        <v/>
      </c>
      <c r="L67" s="59" t="str">
        <f t="shared" si="145"/>
        <v/>
      </c>
      <c r="M67" s="59">
        <f>$M$6</f>
        <v>221916.66666666701</v>
      </c>
      <c r="N67" s="59">
        <f t="shared" ref="N67" si="149">IFERROR(IF($C66="-","",IF(E67="","",IF(G67="正規職員",M67-M66,MIN(MIN(L67:M67),M66-N66)))),0)</f>
        <v>0</v>
      </c>
      <c r="O67" s="61" t="str">
        <f t="shared" ref="O67:O70" si="150">IF(E67="","",IF(COUNTIFS(E67,"*給食室*")=1,"○","エラー"))</f>
        <v/>
      </c>
      <c r="P67" s="62">
        <f t="shared" ref="P67:P70" si="151">P66</f>
        <v>13</v>
      </c>
      <c r="Q67" s="62" t="e">
        <f>VLOOKUP($E67&amp;Q$5,'②-2勤務時間数入力'!$D$7:$Q$106,$P67,FALSE)</f>
        <v>#N/A</v>
      </c>
      <c r="R67" s="62" t="str">
        <f>IF(ISERROR(Q67),"×",IF(Q67="-","×","○"))</f>
        <v>×</v>
      </c>
      <c r="S67" s="62" t="e">
        <f>VLOOKUP($E67&amp;S$5,'②-2勤務時間数入力'!$D$7:$Q$106,$P67,FALSE)</f>
        <v>#N/A</v>
      </c>
      <c r="T67" s="62" t="str">
        <f>IF(ISERROR(S67),"×",IF(S67="-","×","○"))</f>
        <v>×</v>
      </c>
      <c r="U67" s="62" t="e">
        <f>VLOOKUP($E67&amp;U$5,'②-2勤務時間数入力'!$D$7:$Q$106,$P67,FALSE)</f>
        <v>#N/A</v>
      </c>
      <c r="V67" s="62" t="str">
        <f>IF(ISERROR(U67),"×",IF(U67="-","×","○"))</f>
        <v>×</v>
      </c>
      <c r="W67" s="62" t="e">
        <f>VLOOKUP($E67&amp;W$5,'②-2勤務時間数入力'!$D$7:$Q$106,$P67,FALSE)</f>
        <v>#N/A</v>
      </c>
      <c r="X67" s="62" t="str">
        <f>IF(ISERROR(W67),"×",IF(W67="-","×","○"))</f>
        <v>×</v>
      </c>
    </row>
    <row r="68" spans="1:24" ht="13.5" hidden="1" customHeight="1">
      <c r="A68" s="854"/>
      <c r="B68" s="857"/>
      <c r="C68" s="876"/>
      <c r="D68" s="873"/>
      <c r="E68" s="138" t="str">
        <f t="shared" ref="E68:F68" si="152">IF(E62="","",E62)</f>
        <v/>
      </c>
      <c r="F68" s="138" t="str">
        <f t="shared" si="152"/>
        <v/>
      </c>
      <c r="G68" s="180" t="str">
        <f t="shared" si="143"/>
        <v/>
      </c>
      <c r="H68" s="181" t="str">
        <f t="shared" si="144"/>
        <v/>
      </c>
      <c r="I68" s="139" t="str">
        <f>IF($E68="","",IF($G68="正規職員","-",IF(AND(EXACT($C60,$C66),EXACT($E62,$E68),EXACT($G62,$G68)),I62,"賃金単価を記載")))</f>
        <v/>
      </c>
      <c r="J68" s="139" t="str">
        <f t="shared" si="148"/>
        <v/>
      </c>
      <c r="K68" s="139" t="str">
        <f>IF($E68="","",IF($G68="正規職員","-",IF(AND(EXACT($C60,$C66),EXACT($E62,$E68),EXACT($G62,$G68)),K62,"日額の交通費を記載（定期利用の場合は月額)")))</f>
        <v/>
      </c>
      <c r="L68" s="59" t="str">
        <f t="shared" si="145"/>
        <v/>
      </c>
      <c r="M68" s="59">
        <f>$M$6</f>
        <v>221916.66666666701</v>
      </c>
      <c r="N68" s="59">
        <f t="shared" ref="N68" si="153">IFERROR(IF($C66="-","",IF(E68="","",IF(G68="正規職員",M68-M67,MIN(MIN(L68:M68),M67-N67)))),0)</f>
        <v>0</v>
      </c>
      <c r="O68" s="61" t="str">
        <f t="shared" si="150"/>
        <v/>
      </c>
      <c r="P68" s="62">
        <f t="shared" si="151"/>
        <v>13</v>
      </c>
      <c r="Q68" s="62" t="e">
        <f>VLOOKUP($E68&amp;Q$5,'②-2勤務時間数入力'!$D$7:$Q$106,$P68,FALSE)</f>
        <v>#N/A</v>
      </c>
      <c r="R68" s="62" t="str">
        <f>IF(ISERROR(Q68),"×",IF(Q68="-","×","○"))</f>
        <v>×</v>
      </c>
      <c r="S68" s="62" t="e">
        <f>VLOOKUP($E68&amp;S$5,'②-2勤務時間数入力'!$D$7:$Q$106,$P68,FALSE)</f>
        <v>#N/A</v>
      </c>
      <c r="T68" s="62" t="str">
        <f>IF(ISERROR(S68),"×",IF(S68="-","×","○"))</f>
        <v>×</v>
      </c>
      <c r="U68" s="62" t="e">
        <f>VLOOKUP($E68&amp;U$5,'②-2勤務時間数入力'!$D$7:$Q$106,$P68,FALSE)</f>
        <v>#N/A</v>
      </c>
      <c r="V68" s="62" t="str">
        <f>IF(ISERROR(U68),"×",IF(U68="-","×","○"))</f>
        <v>×</v>
      </c>
      <c r="W68" s="62" t="e">
        <f>VLOOKUP($E68&amp;W$5,'②-2勤務時間数入力'!$D$7:$Q$106,$P68,FALSE)</f>
        <v>#N/A</v>
      </c>
      <c r="X68" s="62" t="str">
        <f>IF(ISERROR(W68),"×",IF(W68="-","×","○"))</f>
        <v>×</v>
      </c>
    </row>
    <row r="69" spans="1:24" ht="13.5" hidden="1" customHeight="1">
      <c r="A69" s="854"/>
      <c r="B69" s="857"/>
      <c r="C69" s="876"/>
      <c r="D69" s="873"/>
      <c r="E69" s="138" t="str">
        <f t="shared" ref="E69:F69" si="154">IF(E63="","",E63)</f>
        <v/>
      </c>
      <c r="F69" s="138" t="str">
        <f t="shared" si="154"/>
        <v/>
      </c>
      <c r="G69" s="180" t="str">
        <f t="shared" si="143"/>
        <v/>
      </c>
      <c r="H69" s="181" t="str">
        <f t="shared" si="144"/>
        <v/>
      </c>
      <c r="I69" s="139" t="str">
        <f>IF($E69="","",IF($G69="正規職員","-",IF(AND(EXACT($C60,$C66),EXACT($E63,$E69),EXACT($G63,$G69)),I63,"賃金単価を記載")))</f>
        <v/>
      </c>
      <c r="J69" s="139" t="str">
        <f t="shared" si="148"/>
        <v/>
      </c>
      <c r="K69" s="139" t="str">
        <f>IF($E69="","",IF($G69="正規職員","-",IF(AND(EXACT($C60,$C66),EXACT($E63,$E69),EXACT($G63,$G69)),K63,"日額の交通費を記載（定期利用の場合は月額)")))</f>
        <v/>
      </c>
      <c r="L69" s="59" t="str">
        <f t="shared" si="145"/>
        <v/>
      </c>
      <c r="M69" s="59">
        <f>$M$6</f>
        <v>221916.66666666701</v>
      </c>
      <c r="N69" s="59">
        <f t="shared" ref="N69" si="155">IFERROR(IF($C66="-","",IF(E69="","",IF(G69="正規職員",M69-M68,MIN(MIN(L69:M69),M68-N68)))),0)</f>
        <v>0</v>
      </c>
      <c r="O69" s="61" t="str">
        <f t="shared" si="150"/>
        <v/>
      </c>
      <c r="P69" s="62">
        <f t="shared" si="151"/>
        <v>13</v>
      </c>
      <c r="Q69" s="62" t="e">
        <f>VLOOKUP($E69&amp;Q$5,'②-2勤務時間数入力'!$D$7:$Q$106,$P69,FALSE)</f>
        <v>#N/A</v>
      </c>
      <c r="R69" s="62" t="str">
        <f>IF(ISERROR(Q69),"×",IF(Q69="-","×","○"))</f>
        <v>×</v>
      </c>
      <c r="S69" s="62" t="e">
        <f>VLOOKUP($E69&amp;S$5,'②-2勤務時間数入力'!$D$7:$Q$106,$P69,FALSE)</f>
        <v>#N/A</v>
      </c>
      <c r="T69" s="62" t="str">
        <f>IF(ISERROR(S69),"×",IF(S69="-","×","○"))</f>
        <v>×</v>
      </c>
      <c r="U69" s="62" t="e">
        <f>VLOOKUP($E69&amp;U$5,'②-2勤務時間数入力'!$D$7:$Q$106,$P69,FALSE)</f>
        <v>#N/A</v>
      </c>
      <c r="V69" s="62" t="str">
        <f>IF(ISERROR(U69),"×",IF(U69="-","×","○"))</f>
        <v>×</v>
      </c>
      <c r="W69" s="62" t="e">
        <f>VLOOKUP($E69&amp;W$5,'②-2勤務時間数入力'!$D$7:$Q$106,$P69,FALSE)</f>
        <v>#N/A</v>
      </c>
      <c r="X69" s="62" t="str">
        <f>IF(ISERROR(W69),"×",IF(W69="-","×","○"))</f>
        <v>×</v>
      </c>
    </row>
    <row r="70" spans="1:24" ht="13.5" hidden="1" customHeight="1">
      <c r="A70" s="854"/>
      <c r="B70" s="857"/>
      <c r="C70" s="876"/>
      <c r="D70" s="873"/>
      <c r="E70" s="138" t="str">
        <f t="shared" ref="E70:F70" si="156">IF(E64="","",E64)</f>
        <v/>
      </c>
      <c r="F70" s="138" t="str">
        <f t="shared" si="156"/>
        <v/>
      </c>
      <c r="G70" s="180" t="str">
        <f t="shared" si="143"/>
        <v/>
      </c>
      <c r="H70" s="181" t="str">
        <f t="shared" si="144"/>
        <v/>
      </c>
      <c r="I70" s="139" t="str">
        <f>IF($E70="","",IF($G70="正規職員","-",IF(AND(EXACT($C60,$C66),EXACT($E64,$E70),EXACT($G64,$G70)),I64,"賃金単価を記載")))</f>
        <v/>
      </c>
      <c r="J70" s="139" t="str">
        <f t="shared" si="148"/>
        <v/>
      </c>
      <c r="K70" s="139" t="str">
        <f>IF($E70="","",IF($G70="正規職員","-",IF(AND(EXACT($C60,$C66),EXACT($E64,$E70),EXACT($G64,$G70)),K64,"日額の交通費を記載（定期利用の場合は月額)")))</f>
        <v/>
      </c>
      <c r="L70" s="59" t="str">
        <f t="shared" si="145"/>
        <v/>
      </c>
      <c r="M70" s="59">
        <f>$M$6</f>
        <v>221916.66666666701</v>
      </c>
      <c r="N70" s="59">
        <f t="shared" ref="N70" si="157">IFERROR(IF($C66="-","",IF(E70="","",IF(G70="正規職員",M70-M69,MIN(MIN(L70:M70),M69-N69)))),0)</f>
        <v>0</v>
      </c>
      <c r="O70" s="61" t="str">
        <f t="shared" si="150"/>
        <v/>
      </c>
      <c r="P70" s="62">
        <f t="shared" si="151"/>
        <v>13</v>
      </c>
      <c r="Q70" s="62" t="e">
        <f>VLOOKUP($E70&amp;Q$5,'②-2勤務時間数入力'!$D$7:$Q$106,$P70,FALSE)</f>
        <v>#N/A</v>
      </c>
      <c r="R70" s="62" t="str">
        <f>IF(ISERROR(Q70),"×",IF(Q70="-","×","○"))</f>
        <v>×</v>
      </c>
      <c r="S70" s="62" t="e">
        <f>VLOOKUP($E70&amp;S$5,'②-2勤務時間数入力'!$D$7:$Q$106,$P70,FALSE)</f>
        <v>#N/A</v>
      </c>
      <c r="T70" s="62" t="str">
        <f>IF(ISERROR(S70),"×",IF(S70="-","×","○"))</f>
        <v>×</v>
      </c>
      <c r="U70" s="62" t="e">
        <f>VLOOKUP($E70&amp;U$5,'②-2勤務時間数入力'!$D$7:$Q$106,$P70,FALSE)</f>
        <v>#N/A</v>
      </c>
      <c r="V70" s="62" t="str">
        <f>IF(ISERROR(U70),"×",IF(U70="-","×","○"))</f>
        <v>×</v>
      </c>
      <c r="W70" s="62" t="e">
        <f>VLOOKUP($E70&amp;W$5,'②-2勤務時間数入力'!$D$7:$Q$106,$P70,FALSE)</f>
        <v>#N/A</v>
      </c>
      <c r="X70" s="62" t="str">
        <f>IF(ISERROR(W70),"×",IF(W70="-","×","○"))</f>
        <v>×</v>
      </c>
    </row>
    <row r="71" spans="1:24" ht="13.5" hidden="1" customHeight="1">
      <c r="A71" s="855"/>
      <c r="B71" s="858"/>
      <c r="C71" s="877"/>
      <c r="D71" s="874"/>
      <c r="E71" s="1" t="s">
        <v>283</v>
      </c>
      <c r="F71" s="1"/>
      <c r="G71" s="180" t="s">
        <v>273</v>
      </c>
      <c r="H71" s="432"/>
      <c r="I71" s="60" t="s">
        <v>273</v>
      </c>
      <c r="J71" s="60"/>
      <c r="K71" s="60"/>
      <c r="L71" s="60" t="s">
        <v>273</v>
      </c>
      <c r="M71" s="60" t="s">
        <v>273</v>
      </c>
      <c r="N71" s="59">
        <f>MIN(IFERROR(IF(C66=1,IF(AND(B66="配置",OR(D66="調理師等",D66="栄養士")),MAX(SUM(N66:N70)-①基本情報!P42+10000,0),SUM(N66:N70)),0),0),$M$6)</f>
        <v>0</v>
      </c>
      <c r="O71" s="61" t="e">
        <f>IF(SUM(N66:N70)&gt;#REF!*$M$6,MIN($M$6,SUM(N66:N70)-ROUNDDOWN(#REF!*$M$6,0)),0)</f>
        <v>#REF!</v>
      </c>
      <c r="P71" s="62"/>
      <c r="Q71" s="62"/>
      <c r="R71" s="62"/>
      <c r="S71" s="62"/>
      <c r="T71" s="62"/>
      <c r="U71" s="62"/>
      <c r="V71" s="62"/>
      <c r="W71" s="62"/>
      <c r="X71" s="62"/>
    </row>
    <row r="72" spans="1:24" ht="13.5" hidden="1" customHeight="1">
      <c r="A72" s="843">
        <v>3</v>
      </c>
      <c r="B72" s="856" t="e">
        <f>IF(①基本情報!Q40="有",①基本情報!Q41,"無")</f>
        <v>#N/A</v>
      </c>
      <c r="C72" s="875" t="e">
        <f>IF(判定!AV20="NG","-",1)</f>
        <v>#DIV/0!</v>
      </c>
      <c r="D72" s="872" t="str">
        <f>IFERROR(INDEX($L$83:$M$88,MATCH(判定!AV20,$L$83:$L$88,0),2),"-")</f>
        <v>-</v>
      </c>
      <c r="E72" s="138" t="str">
        <f>IF(E66="","",E66)</f>
        <v/>
      </c>
      <c r="F72" s="138" t="str">
        <f>IF(F66="","",F66)</f>
        <v/>
      </c>
      <c r="G72" s="180" t="str">
        <f>IF(E72="","",IF(R72="○",Q$5,IF(T72="○",S$5,IF(V72="○",U$5,IF(X72="○",W$5,"ERROR")))))</f>
        <v/>
      </c>
      <c r="H72" s="181" t="str">
        <f t="shared" ref="H72:H76" si="158">IF(E72="","",IF(R72="○",Q72,IF(T72="○",S72,IF(V72="○",U72,IF(X72="○",W72,"ERROR")))))</f>
        <v/>
      </c>
      <c r="I72" s="139" t="str">
        <f>IF($E72="","",IF($G72="正規職員","-",IF(AND(EXACT($C66,$C72),EXACT($E66,$E72),EXACT($G66,$G72)),I66,"賃金単価を記載")))</f>
        <v/>
      </c>
      <c r="J72" s="139" t="str">
        <f>IF($E72="","",IF($G72="正規職員","-","勤務日数を記載（定期利用の場合、1と記載)"))</f>
        <v/>
      </c>
      <c r="K72" s="139" t="str">
        <f>IF($E72="","",IF($G72="正規職員","-",IF(AND(EXACT($C66,$C72),EXACT($E66,$E72),EXACT($G66,$G72)),K66,"日額の交通費を記載（定期利用の場合は月額)")))</f>
        <v/>
      </c>
      <c r="L72" s="59" t="str">
        <f t="shared" ref="L72:L76" si="159">IF($E72="","",IF($G72="正規職員","-",(H72*I72+J72*K72)))</f>
        <v/>
      </c>
      <c r="M72" s="59">
        <f>$M$6</f>
        <v>221916.66666666701</v>
      </c>
      <c r="N72" s="59">
        <f t="shared" ref="N72" si="160">IFERROR(IF($C72="-","",IF(E72="",0,IF(G72="正規職員",M72,MIN(L72:M72)))),0)</f>
        <v>0</v>
      </c>
      <c r="O72" s="61" t="str">
        <f>IF(E72="","",IF(COUNTIFS(E72,"*給食室*")=1,"○","エラー"))</f>
        <v/>
      </c>
      <c r="P72" s="62">
        <v>14</v>
      </c>
      <c r="Q72" s="62" t="e">
        <f>VLOOKUP($E72&amp;Q$5,'②-2勤務時間数入力'!$D$7:$Q$106,$P72,FALSE)</f>
        <v>#N/A</v>
      </c>
      <c r="R72" s="62" t="str">
        <f>IF(ISERROR(Q72),"×",IF(Q72="-","×","○"))</f>
        <v>×</v>
      </c>
      <c r="S72" s="62" t="e">
        <f>VLOOKUP($E72&amp;S$5,'②-2勤務時間数入力'!$D$7:$Q$106,$P72,FALSE)</f>
        <v>#N/A</v>
      </c>
      <c r="T72" s="62" t="str">
        <f>IF(ISERROR(S72),"×",IF(S72="-","×","○"))</f>
        <v>×</v>
      </c>
      <c r="U72" s="62" t="e">
        <f>VLOOKUP($E72&amp;U$5,'②-2勤務時間数入力'!$D$7:$Q$106,$P72,FALSE)</f>
        <v>#N/A</v>
      </c>
      <c r="V72" s="62" t="str">
        <f>IF(ISERROR(U72),"×",IF(U72="-","×","○"))</f>
        <v>×</v>
      </c>
      <c r="W72" s="62" t="e">
        <f>VLOOKUP($E72&amp;W$5,'②-2勤務時間数入力'!$D$7:$Q$106,$P72,FALSE)</f>
        <v>#N/A</v>
      </c>
      <c r="X72" s="62" t="str">
        <f>IF(ISERROR(W72),"×",IF(W72="-","×","○"))</f>
        <v>×</v>
      </c>
    </row>
    <row r="73" spans="1:24" ht="13.5" hidden="1" customHeight="1">
      <c r="A73" s="854"/>
      <c r="B73" s="857"/>
      <c r="C73" s="876"/>
      <c r="D73" s="873"/>
      <c r="E73" s="138" t="str">
        <f t="shared" ref="E73:F73" si="161">IF(E67="","",E67)</f>
        <v/>
      </c>
      <c r="F73" s="138" t="str">
        <f t="shared" si="161"/>
        <v/>
      </c>
      <c r="G73" s="180" t="str">
        <f t="shared" ref="G73:G76" si="162">IF(E73="","",IF(R73="○",Q$5,IF(T73="○",S$5,IF(V73="○",U$5,IF(X73="○",W$5,"ERROR")))))</f>
        <v/>
      </c>
      <c r="H73" s="181" t="str">
        <f t="shared" si="158"/>
        <v/>
      </c>
      <c r="I73" s="139" t="str">
        <f>IF($E73="","",IF($G73="正規職員","-",IF(AND(EXACT($C66,$C72),EXACT($E67,$E73),EXACT($G67,$G73)),I67,"賃金単価を記載")))</f>
        <v/>
      </c>
      <c r="J73" s="139" t="str">
        <f t="shared" ref="J73:J76" si="163">IF($E73="","",IF($G73="正規職員","-","勤務日数を記載（定期利用の場合、1と記載)"))</f>
        <v/>
      </c>
      <c r="K73" s="139" t="str">
        <f>IF($E73="","",IF($G73="正規職員","-",IF(AND(EXACT($C66,$C72),EXACT($E67,$E73),EXACT($G67,$G73)),K67,"日額の交通費を記載（定期利用の場合は月額)")))</f>
        <v/>
      </c>
      <c r="L73" s="59" t="str">
        <f t="shared" si="159"/>
        <v/>
      </c>
      <c r="M73" s="59">
        <f>$M$6</f>
        <v>221916.66666666701</v>
      </c>
      <c r="N73" s="59">
        <f t="shared" ref="N73" si="164">IFERROR(IF($C72="-","",IF(E73="","",IF(G73="正規職員",M73-M72,MIN(MIN(L73:M73),M72-N72)))),0)</f>
        <v>0</v>
      </c>
      <c r="O73" s="61" t="str">
        <f t="shared" ref="O73:O76" si="165">IF(E73="","",IF(COUNTIFS(E73,"*給食室*")=1,"○","エラー"))</f>
        <v/>
      </c>
      <c r="P73" s="62">
        <f t="shared" ref="P73:P76" si="166">P72</f>
        <v>14</v>
      </c>
      <c r="Q73" s="62" t="e">
        <f>VLOOKUP($E73&amp;Q$5,'②-2勤務時間数入力'!$D$7:$Q$106,$P73,FALSE)</f>
        <v>#N/A</v>
      </c>
      <c r="R73" s="62" t="str">
        <f>IF(ISERROR(Q73),"×",IF(Q73="-","×","○"))</f>
        <v>×</v>
      </c>
      <c r="S73" s="62" t="e">
        <f>VLOOKUP($E73&amp;S$5,'②-2勤務時間数入力'!$D$7:$Q$106,$P73,FALSE)</f>
        <v>#N/A</v>
      </c>
      <c r="T73" s="62" t="str">
        <f>IF(ISERROR(S73),"×",IF(S73="-","×","○"))</f>
        <v>×</v>
      </c>
      <c r="U73" s="62" t="e">
        <f>VLOOKUP($E73&amp;U$5,'②-2勤務時間数入力'!$D$7:$Q$106,$P73,FALSE)</f>
        <v>#N/A</v>
      </c>
      <c r="V73" s="62" t="str">
        <f>IF(ISERROR(U73),"×",IF(U73="-","×","○"))</f>
        <v>×</v>
      </c>
      <c r="W73" s="62" t="e">
        <f>VLOOKUP($E73&amp;W$5,'②-2勤務時間数入力'!$D$7:$Q$106,$P73,FALSE)</f>
        <v>#N/A</v>
      </c>
      <c r="X73" s="62" t="str">
        <f>IF(ISERROR(W73),"×",IF(W73="-","×","○"))</f>
        <v>×</v>
      </c>
    </row>
    <row r="74" spans="1:24" ht="13.5" hidden="1" customHeight="1">
      <c r="A74" s="854"/>
      <c r="B74" s="857"/>
      <c r="C74" s="876"/>
      <c r="D74" s="873"/>
      <c r="E74" s="138" t="str">
        <f t="shared" ref="E74:F74" si="167">IF(E68="","",E68)</f>
        <v/>
      </c>
      <c r="F74" s="138" t="str">
        <f t="shared" si="167"/>
        <v/>
      </c>
      <c r="G74" s="180" t="str">
        <f t="shared" si="162"/>
        <v/>
      </c>
      <c r="H74" s="181" t="str">
        <f t="shared" si="158"/>
        <v/>
      </c>
      <c r="I74" s="139" t="str">
        <f>IF($E74="","",IF($G74="正規職員","-",IF(AND(EXACT($C66,$C72),EXACT($E68,$E74),EXACT($G68,$G74)),I68,"賃金単価を記載")))</f>
        <v/>
      </c>
      <c r="J74" s="139" t="str">
        <f>IF($E74="","",IF($G74="正規職員","-","勤務日数を記載（定期利用の場合、1と記載)"))</f>
        <v/>
      </c>
      <c r="K74" s="139" t="str">
        <f>IF($E74="","",IF($G74="正規職員","-",IF(AND(EXACT($C66,$C72),EXACT($E68,$E74),EXACT($G68,$G74)),K68,"日額の交通費を記載（定期利用の場合は月額)")))</f>
        <v/>
      </c>
      <c r="L74" s="59" t="str">
        <f t="shared" si="159"/>
        <v/>
      </c>
      <c r="M74" s="59">
        <f>$M$6</f>
        <v>221916.66666666701</v>
      </c>
      <c r="N74" s="59">
        <f t="shared" ref="N74" si="168">IFERROR(IF($C72="-","",IF(E74="","",IF(G74="正規職員",M74-M73,MIN(MIN(L74:M74),M73-N73)))),0)</f>
        <v>0</v>
      </c>
      <c r="O74" s="61" t="str">
        <f t="shared" si="165"/>
        <v/>
      </c>
      <c r="P74" s="62">
        <f t="shared" si="166"/>
        <v>14</v>
      </c>
      <c r="Q74" s="62" t="e">
        <f>VLOOKUP($E74&amp;Q$5,'②-2勤務時間数入力'!$D$7:$Q$106,$P74,FALSE)</f>
        <v>#N/A</v>
      </c>
      <c r="R74" s="62" t="str">
        <f>IF(ISERROR(Q74),"×",IF(Q74="-","×","○"))</f>
        <v>×</v>
      </c>
      <c r="S74" s="62" t="e">
        <f>VLOOKUP($E74&amp;S$5,'②-2勤務時間数入力'!$D$7:$Q$106,$P74,FALSE)</f>
        <v>#N/A</v>
      </c>
      <c r="T74" s="62" t="str">
        <f>IF(ISERROR(S74),"×",IF(S74="-","×","○"))</f>
        <v>×</v>
      </c>
      <c r="U74" s="62" t="e">
        <f>VLOOKUP($E74&amp;U$5,'②-2勤務時間数入力'!$D$7:$Q$106,$P74,FALSE)</f>
        <v>#N/A</v>
      </c>
      <c r="V74" s="62" t="str">
        <f>IF(ISERROR(U74),"×",IF(U74="-","×","○"))</f>
        <v>×</v>
      </c>
      <c r="W74" s="62" t="e">
        <f>VLOOKUP($E74&amp;W$5,'②-2勤務時間数入力'!$D$7:$Q$106,$P74,FALSE)</f>
        <v>#N/A</v>
      </c>
      <c r="X74" s="62" t="str">
        <f>IF(ISERROR(W74),"×",IF(W74="-","×","○"))</f>
        <v>×</v>
      </c>
    </row>
    <row r="75" spans="1:24" ht="13.5" hidden="1" customHeight="1">
      <c r="A75" s="854"/>
      <c r="B75" s="857"/>
      <c r="C75" s="876"/>
      <c r="D75" s="873"/>
      <c r="E75" s="138" t="str">
        <f t="shared" ref="E75:F75" si="169">IF(E69="","",E69)</f>
        <v/>
      </c>
      <c r="F75" s="138" t="str">
        <f t="shared" si="169"/>
        <v/>
      </c>
      <c r="G75" s="180" t="str">
        <f t="shared" si="162"/>
        <v/>
      </c>
      <c r="H75" s="181" t="str">
        <f t="shared" si="158"/>
        <v/>
      </c>
      <c r="I75" s="139" t="str">
        <f>IF($E75="","",IF($G75="正規職員","-",IF(AND(EXACT($C66,$C72),EXACT($E69,$E75),EXACT($G69,$G75)),I69,"賃金単価を記載")))</f>
        <v/>
      </c>
      <c r="J75" s="139" t="str">
        <f t="shared" si="163"/>
        <v/>
      </c>
      <c r="K75" s="139" t="str">
        <f>IF($E75="","",IF($G75="正規職員","-",IF(AND(EXACT($C66,$C72),EXACT($E69,$E75),EXACT($G69,$G75)),K69,"日額の交通費を記載（定期利用の場合は月額)")))</f>
        <v/>
      </c>
      <c r="L75" s="59" t="str">
        <f t="shared" si="159"/>
        <v/>
      </c>
      <c r="M75" s="59">
        <f>$M$6</f>
        <v>221916.66666666701</v>
      </c>
      <c r="N75" s="59">
        <f t="shared" ref="N75" si="170">IFERROR(IF($C72="-","",IF(E75="","",IF(G75="正規職員",M75-M74,MIN(MIN(L75:M75),M74-N74)))),0)</f>
        <v>0</v>
      </c>
      <c r="O75" s="61" t="str">
        <f t="shared" si="165"/>
        <v/>
      </c>
      <c r="P75" s="62">
        <f t="shared" si="166"/>
        <v>14</v>
      </c>
      <c r="Q75" s="62" t="e">
        <f>VLOOKUP($E75&amp;Q$5,'②-2勤務時間数入力'!$D$7:$Q$106,$P75,FALSE)</f>
        <v>#N/A</v>
      </c>
      <c r="R75" s="62" t="str">
        <f>IF(ISERROR(Q75),"×",IF(Q75="-","×","○"))</f>
        <v>×</v>
      </c>
      <c r="S75" s="62" t="e">
        <f>VLOOKUP($E75&amp;S$5,'②-2勤務時間数入力'!$D$7:$Q$106,$P75,FALSE)</f>
        <v>#N/A</v>
      </c>
      <c r="T75" s="62" t="str">
        <f>IF(ISERROR(S75),"×",IF(S75="-","×","○"))</f>
        <v>×</v>
      </c>
      <c r="U75" s="62" t="e">
        <f>VLOOKUP($E75&amp;U$5,'②-2勤務時間数入力'!$D$7:$Q$106,$P75,FALSE)</f>
        <v>#N/A</v>
      </c>
      <c r="V75" s="62" t="str">
        <f>IF(ISERROR(U75),"×",IF(U75="-","×","○"))</f>
        <v>×</v>
      </c>
      <c r="W75" s="62" t="e">
        <f>VLOOKUP($E75&amp;W$5,'②-2勤務時間数入力'!$D$7:$Q$106,$P75,FALSE)</f>
        <v>#N/A</v>
      </c>
      <c r="X75" s="62" t="str">
        <f>IF(ISERROR(W75),"×",IF(W75="-","×","○"))</f>
        <v>×</v>
      </c>
    </row>
    <row r="76" spans="1:24" ht="13.5" hidden="1" customHeight="1">
      <c r="A76" s="854"/>
      <c r="B76" s="857"/>
      <c r="C76" s="876"/>
      <c r="D76" s="873"/>
      <c r="E76" s="138" t="str">
        <f t="shared" ref="E76:F76" si="171">IF(E70="","",E70)</f>
        <v/>
      </c>
      <c r="F76" s="138" t="str">
        <f t="shared" si="171"/>
        <v/>
      </c>
      <c r="G76" s="180" t="str">
        <f t="shared" si="162"/>
        <v/>
      </c>
      <c r="H76" s="181" t="str">
        <f t="shared" si="158"/>
        <v/>
      </c>
      <c r="I76" s="139" t="str">
        <f>IF($E76="","",IF($G76="正規職員","-",IF(AND(EXACT($C66,$C72),EXACT($E70,$E76),EXACT($G70,$G76)),I70,"賃金単価を記載")))</f>
        <v/>
      </c>
      <c r="J76" s="139" t="str">
        <f t="shared" si="163"/>
        <v/>
      </c>
      <c r="K76" s="139" t="str">
        <f>IF($E76="","",IF($G76="正規職員","-",IF(AND(EXACT($C66,$C72),EXACT($E70,$E76),EXACT($G70,$G76)),K70,"日額の交通費を記載（定期利用の場合は月額)")))</f>
        <v/>
      </c>
      <c r="L76" s="59" t="str">
        <f t="shared" si="159"/>
        <v/>
      </c>
      <c r="M76" s="59">
        <f>$M$6</f>
        <v>221916.66666666701</v>
      </c>
      <c r="N76" s="59">
        <f t="shared" ref="N76" si="172">IFERROR(IF($C72="-","",IF(E76="","",IF(G76="正規職員",M76-M75,MIN(MIN(L76:M76),M75-N75)))),0)</f>
        <v>0</v>
      </c>
      <c r="O76" s="61" t="str">
        <f t="shared" si="165"/>
        <v/>
      </c>
      <c r="P76" s="62">
        <f t="shared" si="166"/>
        <v>14</v>
      </c>
      <c r="Q76" s="62" t="e">
        <f>VLOOKUP($E76&amp;Q$5,'②-2勤務時間数入力'!$D$7:$Q$106,$P76,FALSE)</f>
        <v>#N/A</v>
      </c>
      <c r="R76" s="62" t="str">
        <f>IF(ISERROR(Q76),"×",IF(Q76="-","×","○"))</f>
        <v>×</v>
      </c>
      <c r="S76" s="62" t="e">
        <f>VLOOKUP($E76&amp;S$5,'②-2勤務時間数入力'!$D$7:$Q$106,$P76,FALSE)</f>
        <v>#N/A</v>
      </c>
      <c r="T76" s="62" t="str">
        <f>IF(ISERROR(S76),"×",IF(S76="-","×","○"))</f>
        <v>×</v>
      </c>
      <c r="U76" s="62" t="e">
        <f>VLOOKUP($E76&amp;U$5,'②-2勤務時間数入力'!$D$7:$Q$106,$P76,FALSE)</f>
        <v>#N/A</v>
      </c>
      <c r="V76" s="62" t="str">
        <f>IF(ISERROR(U76),"×",IF(U76="-","×","○"))</f>
        <v>×</v>
      </c>
      <c r="W76" s="62" t="e">
        <f>VLOOKUP($E76&amp;W$5,'②-2勤務時間数入力'!$D$7:$Q$106,$P76,FALSE)</f>
        <v>#N/A</v>
      </c>
      <c r="X76" s="62" t="str">
        <f>IF(ISERROR(W76),"×",IF(W76="-","×","○"))</f>
        <v>×</v>
      </c>
    </row>
    <row r="77" spans="1:24" ht="13.5" hidden="1" customHeight="1">
      <c r="A77" s="855"/>
      <c r="B77" s="858"/>
      <c r="C77" s="877"/>
      <c r="D77" s="874"/>
      <c r="E77" s="1" t="s">
        <v>284</v>
      </c>
      <c r="F77" s="1"/>
      <c r="G77" s="180" t="s">
        <v>273</v>
      </c>
      <c r="H77" s="432"/>
      <c r="I77" s="60" t="s">
        <v>273</v>
      </c>
      <c r="J77" s="60"/>
      <c r="K77" s="60"/>
      <c r="L77" s="60" t="s">
        <v>273</v>
      </c>
      <c r="M77" s="60" t="s">
        <v>273</v>
      </c>
      <c r="N77" s="59">
        <f>MIN(IFERROR(IF(C72=1,IF(AND(B72="配置",OR(D72="調理師等",D72="栄養士")),MAX(SUM(N72:N76)-①基本情報!Q42+10000,0),SUM(N72:N76)),0),0),$M$6)</f>
        <v>0</v>
      </c>
      <c r="O77" s="61" t="e">
        <f>IF(SUM(N72:N76)&gt;#REF!*$M$6,MIN($M$6,SUM(N72:N76)-ROUNDDOWN(#REF!*$M$6,0)),0)</f>
        <v>#REF!</v>
      </c>
      <c r="P77" s="62"/>
      <c r="Q77" s="62"/>
      <c r="R77" s="62"/>
      <c r="S77" s="62"/>
      <c r="T77" s="62"/>
      <c r="U77" s="62"/>
      <c r="V77" s="62"/>
      <c r="W77" s="62"/>
      <c r="X77" s="62"/>
    </row>
    <row r="78" spans="1:24" ht="13.5" hidden="1" customHeight="1">
      <c r="A78" s="58" t="s">
        <v>264</v>
      </c>
      <c r="B78" s="58"/>
      <c r="C78" s="58"/>
      <c r="D78" s="58"/>
      <c r="E78" s="1"/>
      <c r="F78" s="1"/>
      <c r="G78" s="181"/>
      <c r="H78" s="181"/>
      <c r="I78" s="59"/>
      <c r="J78" s="59"/>
      <c r="K78" s="59"/>
      <c r="L78" s="59"/>
      <c r="M78" s="59"/>
      <c r="N78" s="63">
        <f>ROUNDDOWN(SUM(N11,N17,N23,N29,N35,N41,N47,N53,N59,N65,N71,N77),-3)</f>
        <v>0</v>
      </c>
    </row>
    <row r="79" spans="1:24">
      <c r="E79" s="61"/>
      <c r="F79" s="61"/>
      <c r="G79" s="61"/>
      <c r="H79" s="61"/>
      <c r="I79" s="61"/>
      <c r="J79" s="61"/>
      <c r="K79" s="61"/>
      <c r="L79" s="61"/>
      <c r="M79" s="61"/>
      <c r="N79" s="61"/>
    </row>
    <row r="81" spans="4:13" hidden="1"/>
    <row r="82" spans="4:13" hidden="1">
      <c r="D82" s="82" t="s">
        <v>349</v>
      </c>
      <c r="E82" s="82"/>
      <c r="F82" s="82"/>
      <c r="G82" s="82"/>
      <c r="H82" s="82"/>
      <c r="I82" s="82"/>
      <c r="M82" t="s">
        <v>799</v>
      </c>
    </row>
    <row r="83" spans="4:13" ht="38.25" hidden="1" customHeight="1">
      <c r="D83" s="82" t="s">
        <v>353</v>
      </c>
      <c r="E83" s="82"/>
      <c r="F83" s="82"/>
      <c r="G83" s="82"/>
      <c r="H83" s="82"/>
      <c r="I83" s="82"/>
      <c r="L83" t="s">
        <v>795</v>
      </c>
      <c r="M83" t="str">
        <f>'②-1職員名簿'!C144</f>
        <v>保育教諭等</v>
      </c>
    </row>
    <row r="84" spans="4:13" hidden="1">
      <c r="D84" s="82" t="s">
        <v>376</v>
      </c>
      <c r="E84" s="82"/>
      <c r="F84" s="82"/>
      <c r="G84" s="82"/>
      <c r="H84" s="82"/>
      <c r="I84" s="82"/>
      <c r="L84" t="s">
        <v>796</v>
      </c>
      <c r="M84" t="str">
        <f>'②-1職員名簿'!C145</f>
        <v>要件緩和</v>
      </c>
    </row>
    <row r="85" spans="4:13" ht="150" hidden="1" customHeight="1">
      <c r="D85" s="137" t="s">
        <v>323</v>
      </c>
      <c r="E85" s="853" t="s">
        <v>1081</v>
      </c>
      <c r="F85" s="853"/>
      <c r="G85" s="853"/>
      <c r="H85" s="853"/>
      <c r="I85" s="853"/>
      <c r="L85" t="s">
        <v>797</v>
      </c>
      <c r="M85" t="str">
        <f>'②-1職員名簿'!C146</f>
        <v>看護師等</v>
      </c>
    </row>
    <row r="86" spans="4:13" ht="79.5" hidden="1" customHeight="1">
      <c r="D86" s="137" t="s">
        <v>325</v>
      </c>
      <c r="E86" s="853" t="s">
        <v>1079</v>
      </c>
      <c r="F86" s="853"/>
      <c r="G86" s="853"/>
      <c r="H86" s="853"/>
      <c r="I86" s="853"/>
      <c r="L86" t="s">
        <v>798</v>
      </c>
      <c r="M86" t="str">
        <f>'②-1職員名簿'!C147</f>
        <v>栄養士</v>
      </c>
    </row>
    <row r="87" spans="4:13" ht="60" hidden="1" customHeight="1">
      <c r="D87" s="137" t="s">
        <v>355</v>
      </c>
      <c r="E87" s="853" t="s">
        <v>351</v>
      </c>
      <c r="F87" s="853"/>
      <c r="G87" s="853"/>
      <c r="H87" s="853"/>
      <c r="I87" s="853"/>
      <c r="L87" t="s">
        <v>802</v>
      </c>
      <c r="M87" t="str">
        <f>'②-1職員名簿'!C148</f>
        <v>調理師等</v>
      </c>
    </row>
    <row r="88" spans="4:13" ht="60" hidden="1" customHeight="1">
      <c r="D88" s="137" t="s">
        <v>722</v>
      </c>
      <c r="E88" s="853" t="s">
        <v>354</v>
      </c>
      <c r="F88" s="853"/>
      <c r="G88" s="853"/>
      <c r="H88" s="853"/>
      <c r="I88" s="853"/>
      <c r="L88" t="s">
        <v>803</v>
      </c>
      <c r="M88" t="str">
        <f>'②-1職員名簿'!C149</f>
        <v>教育・保育支援者</v>
      </c>
    </row>
    <row r="89" spans="4:13" ht="60" hidden="1" customHeight="1">
      <c r="D89" s="137" t="s">
        <v>723</v>
      </c>
      <c r="E89" s="853" t="s">
        <v>356</v>
      </c>
      <c r="F89" s="853"/>
      <c r="G89" s="853"/>
      <c r="H89" s="853"/>
      <c r="I89" s="853"/>
    </row>
    <row r="90" spans="4:13" hidden="1"/>
  </sheetData>
  <sheetProtection algorithmName="SHA-512" hashValue="yd64hZOubh66mfVkXJuLGb4m6SJTEkUibAOOh/w4h6wByNGafTcgc1Ue8EFSQFAJcviLjRJDX8jOFB3QuCqVzw==" saltValue="eLH3UT0vS1ufXCVmyWfP1Q==" spinCount="100000" sheet="1" selectLockedCells="1"/>
  <mergeCells count="60">
    <mergeCell ref="D36:D41"/>
    <mergeCell ref="D30:D35"/>
    <mergeCell ref="D24:D29"/>
    <mergeCell ref="D18:D23"/>
    <mergeCell ref="D12:D17"/>
    <mergeCell ref="D66:D71"/>
    <mergeCell ref="D60:D65"/>
    <mergeCell ref="D54:D59"/>
    <mergeCell ref="D48:D53"/>
    <mergeCell ref="D42:D47"/>
    <mergeCell ref="A1:N1"/>
    <mergeCell ref="G2:H2"/>
    <mergeCell ref="I2:N2"/>
    <mergeCell ref="Q5:R5"/>
    <mergeCell ref="S5:T5"/>
    <mergeCell ref="W5:X5"/>
    <mergeCell ref="A6:A11"/>
    <mergeCell ref="B6:B11"/>
    <mergeCell ref="C6:C11"/>
    <mergeCell ref="D6:D11"/>
    <mergeCell ref="U5:V5"/>
    <mergeCell ref="A12:A17"/>
    <mergeCell ref="B12:B17"/>
    <mergeCell ref="C12:C17"/>
    <mergeCell ref="A18:A23"/>
    <mergeCell ref="B18:B23"/>
    <mergeCell ref="C18:C23"/>
    <mergeCell ref="A24:A29"/>
    <mergeCell ref="B24:B29"/>
    <mergeCell ref="C24:C29"/>
    <mergeCell ref="A30:A35"/>
    <mergeCell ref="B30:B35"/>
    <mergeCell ref="C30:C35"/>
    <mergeCell ref="A36:A41"/>
    <mergeCell ref="B36:B41"/>
    <mergeCell ref="C36:C41"/>
    <mergeCell ref="A42:A47"/>
    <mergeCell ref="B42:B47"/>
    <mergeCell ref="C42:C47"/>
    <mergeCell ref="A48:A53"/>
    <mergeCell ref="B48:B53"/>
    <mergeCell ref="C48:C53"/>
    <mergeCell ref="A54:A59"/>
    <mergeCell ref="B54:B59"/>
    <mergeCell ref="C54:C59"/>
    <mergeCell ref="A60:A65"/>
    <mergeCell ref="B60:B65"/>
    <mergeCell ref="C60:C65"/>
    <mergeCell ref="A66:A71"/>
    <mergeCell ref="B66:B71"/>
    <mergeCell ref="C66:C71"/>
    <mergeCell ref="E87:I87"/>
    <mergeCell ref="E88:I88"/>
    <mergeCell ref="E89:I89"/>
    <mergeCell ref="A72:A77"/>
    <mergeCell ref="B72:B77"/>
    <mergeCell ref="C72:C77"/>
    <mergeCell ref="E86:I86"/>
    <mergeCell ref="E85:I85"/>
    <mergeCell ref="D72:D77"/>
  </mergeCells>
  <phoneticPr fontId="1"/>
  <conditionalFormatting sqref="E6:F10">
    <cfRule type="containsBlanks" dxfId="45" priority="11">
      <formula>LEN(TRIM(E6))=0</formula>
    </cfRule>
  </conditionalFormatting>
  <conditionalFormatting sqref="E12:F16">
    <cfRule type="containsBlanks" dxfId="44" priority="15">
      <formula>LEN(TRIM(E12))=0</formula>
    </cfRule>
  </conditionalFormatting>
  <conditionalFormatting sqref="E18:F22">
    <cfRule type="containsBlanks" dxfId="43" priority="10">
      <formula>LEN(TRIM(E18))=0</formula>
    </cfRule>
  </conditionalFormatting>
  <conditionalFormatting sqref="E24:F28">
    <cfRule type="containsBlanks" dxfId="42" priority="9">
      <formula>LEN(TRIM(E24))=0</formula>
    </cfRule>
  </conditionalFormatting>
  <conditionalFormatting sqref="E30:F34">
    <cfRule type="containsBlanks" dxfId="41" priority="8">
      <formula>LEN(TRIM(E30))=0</formula>
    </cfRule>
  </conditionalFormatting>
  <conditionalFormatting sqref="E36:F40">
    <cfRule type="containsBlanks" dxfId="40" priority="7">
      <formula>LEN(TRIM(E36))=0</formula>
    </cfRule>
  </conditionalFormatting>
  <conditionalFormatting sqref="E42:F46">
    <cfRule type="containsBlanks" dxfId="39" priority="6">
      <formula>LEN(TRIM(E42))=0</formula>
    </cfRule>
  </conditionalFormatting>
  <conditionalFormatting sqref="E48:F52">
    <cfRule type="containsBlanks" dxfId="38" priority="5">
      <formula>LEN(TRIM(E48))=0</formula>
    </cfRule>
  </conditionalFormatting>
  <conditionalFormatting sqref="E54:F58">
    <cfRule type="containsBlanks" dxfId="37" priority="4">
      <formula>LEN(TRIM(E54))=0</formula>
    </cfRule>
  </conditionalFormatting>
  <conditionalFormatting sqref="E60:F64">
    <cfRule type="containsBlanks" dxfId="36" priority="3">
      <formula>LEN(TRIM(E60))=0</formula>
    </cfRule>
  </conditionalFormatting>
  <conditionalFormatting sqref="E66:F70">
    <cfRule type="containsBlanks" dxfId="35" priority="2">
      <formula>LEN(TRIM(E66))=0</formula>
    </cfRule>
  </conditionalFormatting>
  <conditionalFormatting sqref="E72:F76">
    <cfRule type="containsBlanks" dxfId="34" priority="1">
      <formula>LEN(TRIM(E72))=0</formula>
    </cfRule>
  </conditionalFormatting>
  <conditionalFormatting sqref="I6:I77">
    <cfRule type="containsText" dxfId="33" priority="29" operator="containsText" text="賃金単価を記載">
      <formula>NOT(ISERROR(SEARCH("賃金単価を記載",I6)))</formula>
    </cfRule>
  </conditionalFormatting>
  <conditionalFormatting sqref="J6:J77">
    <cfRule type="containsText" dxfId="32" priority="16" operator="containsText" text="勤務日数を記載（定期利用の場合、1と記載)">
      <formula>NOT(ISERROR(SEARCH("勤務日数を記載（定期利用の場合、1と記載)",J6)))</formula>
    </cfRule>
  </conditionalFormatting>
  <conditionalFormatting sqref="K6:K78">
    <cfRule type="containsText" dxfId="31" priority="27" operator="containsText" text="日額の交通費を記載（定期利用の場合は月額)">
      <formula>NOT(ISERROR(SEARCH("日額の交通費を記載（定期利用の場合は月額)",K6)))</formula>
    </cfRule>
  </conditionalFormatting>
  <conditionalFormatting sqref="K12:K16">
    <cfRule type="containsText" dxfId="30" priority="14" operator="containsText" text="賃金単価を記載">
      <formula>NOT(ISERROR(SEARCH("賃金単価を記載",K12)))</formula>
    </cfRule>
  </conditionalFormatting>
  <conditionalFormatting sqref="K18:K22 K24:K28 K30:K34 K36:K40 K42:K46 K48:K52 K54:K58 K60:K64 K66:K70 K72:K76">
    <cfRule type="containsText" dxfId="29" priority="13" operator="containsText" text="賃金単価を記載">
      <formula>NOT(ISERROR(SEARCH("賃金単価を記載",K18)))</formula>
    </cfRule>
  </conditionalFormatting>
  <dataValidations count="2">
    <dataValidation type="list" allowBlank="1" showInputMessage="1" showErrorMessage="1" sqref="F6:F10" xr:uid="{C3209A95-0F53-491B-BA10-6075FC170A5C}">
      <formula1>"○"</formula1>
    </dataValidation>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F12:F16 F18:F22 F24:F28 F30:F34 F36:F40 F42:F46 F48:F52 F54:F58 F60:F64 F66:F70 F72:F76 E11" xr:uid="{F5D4B567-56C8-47B4-91FD-A79CEC024CA6}"/>
  </dataValidations>
  <pageMargins left="0.70866141732283472" right="0.70866141732283472" top="0.74803149606299213" bottom="0.74803149606299213" header="0.31496062992125984" footer="0.31496062992125984"/>
  <pageSetup paperSize="9" scale="4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3BDE5F7E-1F07-48BC-9C7C-9555CE653903}">
          <x14:formula1>
            <xm:f>'②-1職員名簿'!Y$7:Y$107</xm:f>
          </x14:formula1>
          <xm:sqref>E6:E10 E12:E77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F6A7-66E1-4625-B9C2-DBCBF387048B}">
  <sheetPr>
    <tabColor rgb="FF00B050"/>
  </sheetPr>
  <dimension ref="A1:T159"/>
  <sheetViews>
    <sheetView view="pageBreakPreview" zoomScale="85" zoomScaleNormal="100" zoomScaleSheetLayoutView="85" workbookViewId="0">
      <selection activeCell="D6" sqref="D6"/>
    </sheetView>
  </sheetViews>
  <sheetFormatPr defaultRowHeight="18"/>
  <cols>
    <col min="2" max="2" width="4.75" customWidth="1"/>
    <col min="3" max="3" width="13" customWidth="1"/>
    <col min="4" max="4" width="28.33203125" customWidth="1"/>
    <col min="5" max="9" width="11.25" customWidth="1"/>
    <col min="10" max="10" width="15" customWidth="1"/>
    <col min="11" max="11" width="0" hidden="1" customWidth="1"/>
  </cols>
  <sheetData>
    <row r="1" spans="1:20" s="20" customFormat="1" ht="19">
      <c r="A1" s="847" t="s">
        <v>892</v>
      </c>
      <c r="B1" s="847"/>
      <c r="C1" s="847"/>
      <c r="D1" s="847"/>
      <c r="E1" s="847"/>
      <c r="F1" s="847"/>
      <c r="G1" s="847"/>
      <c r="H1" s="847"/>
      <c r="I1" s="847"/>
      <c r="J1" s="847"/>
      <c r="K1" s="197"/>
      <c r="L1" s="197"/>
      <c r="M1" s="197"/>
      <c r="N1" s="197"/>
      <c r="O1" s="197"/>
    </row>
    <row r="2" spans="1:20" s="20" customFormat="1" ht="13.5" customHeight="1">
      <c r="E2" s="867" t="s">
        <v>109</v>
      </c>
      <c r="F2" s="867"/>
      <c r="G2" s="868">
        <f>①基本情報!D6</f>
        <v>0</v>
      </c>
      <c r="H2" s="868"/>
      <c r="I2" s="868"/>
      <c r="J2" s="868"/>
      <c r="L2" s="20" t="s">
        <v>136</v>
      </c>
    </row>
    <row r="3" spans="1:20" s="20" customFormat="1" ht="2.25" customHeight="1">
      <c r="E3" s="65"/>
      <c r="F3" s="65"/>
      <c r="G3" s="66"/>
      <c r="H3" s="66"/>
      <c r="I3" s="66"/>
      <c r="J3" s="66"/>
    </row>
    <row r="4" spans="1:20" ht="15" customHeight="1">
      <c r="A4" s="56" t="s">
        <v>286</v>
      </c>
      <c r="B4" t="s">
        <v>985</v>
      </c>
    </row>
    <row r="5" spans="1:20" ht="36">
      <c r="B5" s="64" t="s">
        <v>806</v>
      </c>
      <c r="C5" s="200" t="s">
        <v>829</v>
      </c>
      <c r="D5" s="198" t="s">
        <v>254</v>
      </c>
      <c r="E5" s="198" t="s">
        <v>255</v>
      </c>
      <c r="F5" s="198" t="s">
        <v>256</v>
      </c>
      <c r="G5" s="198" t="s">
        <v>257</v>
      </c>
      <c r="H5" s="198" t="s">
        <v>258</v>
      </c>
      <c r="I5" s="198" t="s">
        <v>259</v>
      </c>
      <c r="J5" s="198" t="s">
        <v>260</v>
      </c>
      <c r="L5" s="57" t="s">
        <v>261</v>
      </c>
      <c r="M5" s="849" t="s">
        <v>204</v>
      </c>
      <c r="N5" s="850"/>
      <c r="O5" s="849" t="s">
        <v>205</v>
      </c>
      <c r="P5" s="850"/>
      <c r="Q5" s="849" t="s">
        <v>262</v>
      </c>
      <c r="R5" s="850"/>
      <c r="S5" s="849" t="s">
        <v>263</v>
      </c>
      <c r="T5" s="850"/>
    </row>
    <row r="6" spans="1:20" ht="13.5" customHeight="1">
      <c r="A6" s="843">
        <v>4</v>
      </c>
      <c r="B6" s="880" t="str">
        <f>IF(判定!AY9&gt;=1,判定!AY9,"-")</f>
        <v>-</v>
      </c>
      <c r="C6" s="856" t="str">
        <f>IF(B6&gt;=1,IFERROR(INDEX($F$153:$G$158,MATCH(判定!AH9,$F$153:$F$158,0),2),"-"),"-")</f>
        <v>-</v>
      </c>
      <c r="D6" s="138"/>
      <c r="E6" s="60" t="str">
        <f>IF(D6="","",IF(N6="○",M$5,IF(P6="○",O$5,IF(R6="○",Q$5,IF(T6="○",S$5,"ERROR")))))</f>
        <v/>
      </c>
      <c r="F6" s="59" t="str">
        <f>IF(D6="","",IF(N6="○",M6,IF(P6="○",O6,IF(R6="○",Q6,IF(T6="○",S6,"ERROR")))))</f>
        <v/>
      </c>
      <c r="G6" s="139" t="str">
        <f>IF($D6="","",IF($E6="正規職員","-","賃金単価を記載"))</f>
        <v/>
      </c>
      <c r="H6" s="59" t="str">
        <f t="shared" ref="H6:H13" si="0">IF($D6="","",IF($E6="正規職員","-",F6*G6))</f>
        <v/>
      </c>
      <c r="I6" s="277">
        <v>271333.33333333401</v>
      </c>
      <c r="J6" s="59" t="str">
        <f>IFERROR(IF($C6="-","",IF(D6="",0,IF(E6="正規職員",I6,MIN(H6:I6)))),0)</f>
        <v/>
      </c>
      <c r="K6" s="61" t="str">
        <f>IF(D6="","",IF(OR(COUNTIFS(D6,"*要配慮*")=1,COUNTIFS(D6,"*医療的ケア*")=1),"○","エラー"))</f>
        <v/>
      </c>
      <c r="L6" s="62">
        <v>3</v>
      </c>
      <c r="M6" s="62" t="e">
        <f>VLOOKUP($D6&amp;M$5,'②-2勤務時間数入力'!$D$7:$Q$106,$L6,FALSE)</f>
        <v>#N/A</v>
      </c>
      <c r="N6" s="62" t="str">
        <f>IF(ISERROR(M6),"×",IF(M6="-","×","○"))</f>
        <v>×</v>
      </c>
      <c r="O6" s="62" t="e">
        <f>VLOOKUP($D6&amp;O$5,'②-2勤務時間数入力'!$D$7:$Q$106,$L6,FALSE)</f>
        <v>#N/A</v>
      </c>
      <c r="P6" s="62" t="str">
        <f>IF(ISERROR(O6),"×",IF(O6="-","×","○"))</f>
        <v>×</v>
      </c>
      <c r="Q6" s="62" t="e">
        <f>VLOOKUP($D6&amp;Q$5,'②-2勤務時間数入力'!$D$7:$Q$106,$L6,FALSE)</f>
        <v>#N/A</v>
      </c>
      <c r="R6" s="62" t="str">
        <f>IF(ISERROR(Q6),"×",IF(Q6="-","×","○"))</f>
        <v>×</v>
      </c>
      <c r="S6" s="62" t="e">
        <f>VLOOKUP($D6&amp;S$5,'②-2勤務時間数入力'!$D$7:$Q$106,$L6,FALSE)</f>
        <v>#N/A</v>
      </c>
      <c r="T6" s="62" t="str">
        <f>IF(ISERROR(S6),"×",IF(S6="-","×","○"))</f>
        <v>×</v>
      </c>
    </row>
    <row r="7" spans="1:20" ht="13.5" customHeight="1">
      <c r="A7" s="854"/>
      <c r="B7" s="881"/>
      <c r="C7" s="858"/>
      <c r="D7" s="138"/>
      <c r="E7" s="60" t="str">
        <f>IF(D7="","",IF(N7="○",M$5,IF(P7="○",O$5,IF(R7="○",Q$5,IF(T7="○",S$5,"ERROR")))))</f>
        <v/>
      </c>
      <c r="F7" s="59" t="str">
        <f>IF(D7="","",IF(N7="○",M7,IF(P7="○",O7,IF(R7="○",Q7,IF(T7="○",S7,"ERROR")))))</f>
        <v/>
      </c>
      <c r="G7" s="139" t="str">
        <f t="shared" ref="G7:G15" si="1">IF($D7="","",IF($E7="正規職員","-","賃金単価を記載"))</f>
        <v/>
      </c>
      <c r="H7" s="59" t="str">
        <f t="shared" si="0"/>
        <v/>
      </c>
      <c r="I7" s="59">
        <f t="shared" ref="I7:I15" si="2">$I$6</f>
        <v>271333.33333333401</v>
      </c>
      <c r="J7" s="59" t="str">
        <f>IFERROR(IF($C6="-","",IF(D7="","",IF(E7="正規職員",I7-J6,MIN(MIN(H7:I7),I6-J6)))),0)</f>
        <v/>
      </c>
      <c r="K7" s="61" t="str">
        <f t="shared" ref="K7:K15" si="3">IF(D7="","",IF(OR(COUNTIFS(D7,"*要配慮*")=1,COUNTIFS(D7,"*医療的ケア*")=1),"○","エラー"))</f>
        <v/>
      </c>
      <c r="L7" s="62">
        <f>L6</f>
        <v>3</v>
      </c>
      <c r="M7" s="62" t="e">
        <f>VLOOKUP($D7&amp;M$5,'②-2勤務時間数入力'!$D$7:$Q$106,$L7,FALSE)</f>
        <v>#N/A</v>
      </c>
      <c r="N7" s="62" t="str">
        <f>IF(ISERROR(M7),"×",IF(M7="-","×","○"))</f>
        <v>×</v>
      </c>
      <c r="O7" s="62" t="e">
        <f>VLOOKUP($D7&amp;O$5,'②-2勤務時間数入力'!$D$7:$Q$106,$L7,FALSE)</f>
        <v>#N/A</v>
      </c>
      <c r="P7" s="62" t="str">
        <f>IF(ISERROR(O7),"×",IF(O7="-","×","○"))</f>
        <v>×</v>
      </c>
      <c r="Q7" s="62" t="e">
        <f>VLOOKUP($D7&amp;Q$5,'②-2勤務時間数入力'!$D$7:$Q$106,$L7,FALSE)</f>
        <v>#N/A</v>
      </c>
      <c r="R7" s="62" t="str">
        <f>IF(ISERROR(Q7),"×",IF(Q7="-","×","○"))</f>
        <v>×</v>
      </c>
      <c r="S7" s="62" t="e">
        <f>VLOOKUP($D7&amp;S$5,'②-2勤務時間数入力'!$D$7:$Q$106,$L7,FALSE)</f>
        <v>#N/A</v>
      </c>
      <c r="T7" s="62" t="str">
        <f>IF(ISERROR(S7),"×",IF(S7="-","×","○"))</f>
        <v>×</v>
      </c>
    </row>
    <row r="8" spans="1:20" ht="13.5" customHeight="1">
      <c r="A8" s="854"/>
      <c r="B8" s="881"/>
      <c r="C8" s="856" t="str">
        <f>IF(B6&gt;=1,IFERROR(INDEX($F$153:$G$158,MATCH(判定!AI9,$F$153:$F$158,0),2),"-"),"-")</f>
        <v>-</v>
      </c>
      <c r="D8" s="138"/>
      <c r="E8" s="60" t="str">
        <f t="shared" ref="E8:E12" si="4">IF(D8="","",IF(N8="○",M$5,IF(P8="○",O$5,IF(R8="○",Q$5,IF(T8="○",S$5,"ERROR")))))</f>
        <v/>
      </c>
      <c r="F8" s="59" t="str">
        <f t="shared" ref="F8:F12" si="5">IF(D8="","",IF(N8="○",M8,IF(P8="○",O8,IF(R8="○",Q8,IF(T8="○",S8,"ERROR")))))</f>
        <v/>
      </c>
      <c r="G8" s="139" t="str">
        <f t="shared" si="1"/>
        <v/>
      </c>
      <c r="H8" s="59" t="str">
        <f t="shared" ref="H8:H12" si="6">IF($D8="","",IF($E8="正規職員","-",F8*G8))</f>
        <v/>
      </c>
      <c r="I8" s="59">
        <f t="shared" si="2"/>
        <v>271333.33333333401</v>
      </c>
      <c r="J8" s="59" t="str">
        <f>IFERROR(IF($C8="-","",IF(D8="",0,IF(E8="正規職員",I8,MIN(H8:I8)))),0)</f>
        <v/>
      </c>
      <c r="K8" s="61" t="str">
        <f t="shared" ref="K8:K12" si="7">IF(D8="","",IF(OR(COUNTIFS(D8,"*要配慮*")=1,COUNTIFS(D8,"*医療的ケア*")=1),"○","エラー"))</f>
        <v/>
      </c>
      <c r="L8" s="62">
        <f t="shared" ref="L8:L12" si="8">L7</f>
        <v>3</v>
      </c>
      <c r="M8" s="62" t="e">
        <f>VLOOKUP($D8&amp;M$5,'②-2勤務時間数入力'!$D$7:$Q$106,$L8,FALSE)</f>
        <v>#N/A</v>
      </c>
      <c r="N8" s="62" t="str">
        <f t="shared" ref="N8:N12" si="9">IF(ISERROR(M8),"×",IF(M8="-","×","○"))</f>
        <v>×</v>
      </c>
      <c r="O8" s="62" t="e">
        <f>VLOOKUP($D8&amp;O$5,'②-2勤務時間数入力'!$D$7:$Q$106,$L8,FALSE)</f>
        <v>#N/A</v>
      </c>
      <c r="P8" s="62" t="str">
        <f t="shared" ref="P8:P12" si="10">IF(ISERROR(O8),"×",IF(O8="-","×","○"))</f>
        <v>×</v>
      </c>
      <c r="Q8" s="62" t="e">
        <f>VLOOKUP($D8&amp;Q$5,'②-2勤務時間数入力'!$D$7:$Q$106,$L8,FALSE)</f>
        <v>#N/A</v>
      </c>
      <c r="R8" s="62" t="str">
        <f t="shared" ref="R8:R12" si="11">IF(ISERROR(Q8),"×",IF(Q8="-","×","○"))</f>
        <v>×</v>
      </c>
      <c r="S8" s="62" t="e">
        <f>VLOOKUP($D8&amp;S$5,'②-2勤務時間数入力'!$D$7:$Q$106,$L8,FALSE)</f>
        <v>#N/A</v>
      </c>
      <c r="T8" s="62" t="str">
        <f t="shared" ref="T8:T12" si="12">IF(ISERROR(S8),"×",IF(S8="-","×","○"))</f>
        <v>×</v>
      </c>
    </row>
    <row r="9" spans="1:20" ht="13.5" customHeight="1">
      <c r="A9" s="854"/>
      <c r="B9" s="881"/>
      <c r="C9" s="858"/>
      <c r="D9" s="138"/>
      <c r="E9" s="60" t="str">
        <f t="shared" si="4"/>
        <v/>
      </c>
      <c r="F9" s="59" t="str">
        <f t="shared" si="5"/>
        <v/>
      </c>
      <c r="G9" s="139" t="str">
        <f t="shared" si="1"/>
        <v/>
      </c>
      <c r="H9" s="59" t="str">
        <f t="shared" si="6"/>
        <v/>
      </c>
      <c r="I9" s="59">
        <f t="shared" si="2"/>
        <v>271333.33333333401</v>
      </c>
      <c r="J9" s="59" t="str">
        <f>IFERROR(IF($C8="-","",IF(D9="","",IF(E9="正規職員",I9-J8,MIN(MIN(H9:I9),I8-J8)))),0)</f>
        <v/>
      </c>
      <c r="K9" s="61" t="str">
        <f t="shared" si="7"/>
        <v/>
      </c>
      <c r="L9" s="62">
        <f t="shared" si="8"/>
        <v>3</v>
      </c>
      <c r="M9" s="62" t="e">
        <f>VLOOKUP($D9&amp;M$5,'②-2勤務時間数入力'!$D$7:$Q$106,$L9,FALSE)</f>
        <v>#N/A</v>
      </c>
      <c r="N9" s="62" t="str">
        <f t="shared" si="9"/>
        <v>×</v>
      </c>
      <c r="O9" s="62" t="e">
        <f>VLOOKUP($D9&amp;O$5,'②-2勤務時間数入力'!$D$7:$Q$106,$L9,FALSE)</f>
        <v>#N/A</v>
      </c>
      <c r="P9" s="62" t="str">
        <f t="shared" si="10"/>
        <v>×</v>
      </c>
      <c r="Q9" s="62" t="e">
        <f>VLOOKUP($D9&amp;Q$5,'②-2勤務時間数入力'!$D$7:$Q$106,$L9,FALSE)</f>
        <v>#N/A</v>
      </c>
      <c r="R9" s="62" t="str">
        <f t="shared" si="11"/>
        <v>×</v>
      </c>
      <c r="S9" s="62" t="e">
        <f>VLOOKUP($D9&amp;S$5,'②-2勤務時間数入力'!$D$7:$Q$106,$L9,FALSE)</f>
        <v>#N/A</v>
      </c>
      <c r="T9" s="62" t="str">
        <f t="shared" si="12"/>
        <v>×</v>
      </c>
    </row>
    <row r="10" spans="1:20" ht="13.5" customHeight="1">
      <c r="A10" s="854"/>
      <c r="B10" s="881"/>
      <c r="C10" s="856" t="str">
        <f>IF(B6&gt;=1,IFERROR(INDEX($F$153:$G$158,MATCH(判定!AJ9,$F$153:$F$158,0),2),"-"),"-")</f>
        <v>-</v>
      </c>
      <c r="D10" s="138"/>
      <c r="E10" s="60" t="str">
        <f t="shared" si="4"/>
        <v/>
      </c>
      <c r="F10" s="59" t="str">
        <f t="shared" si="5"/>
        <v/>
      </c>
      <c r="G10" s="139" t="str">
        <f t="shared" si="1"/>
        <v/>
      </c>
      <c r="H10" s="59" t="str">
        <f t="shared" si="6"/>
        <v/>
      </c>
      <c r="I10" s="59">
        <f t="shared" si="2"/>
        <v>271333.33333333401</v>
      </c>
      <c r="J10" s="59" t="str">
        <f>IFERROR(IF($C10="-","",IF(D10="",0,IF(E10="正規職員",I10,MIN(H10:I10)))),0)</f>
        <v/>
      </c>
      <c r="K10" s="61" t="str">
        <f t="shared" si="7"/>
        <v/>
      </c>
      <c r="L10" s="62">
        <f t="shared" si="8"/>
        <v>3</v>
      </c>
      <c r="M10" s="62" t="e">
        <f>VLOOKUP($D10&amp;M$5,'②-2勤務時間数入力'!$D$7:$Q$106,$L10,FALSE)</f>
        <v>#N/A</v>
      </c>
      <c r="N10" s="62" t="str">
        <f t="shared" si="9"/>
        <v>×</v>
      </c>
      <c r="O10" s="62" t="e">
        <f>VLOOKUP($D10&amp;O$5,'②-2勤務時間数入力'!$D$7:$Q$106,$L10,FALSE)</f>
        <v>#N/A</v>
      </c>
      <c r="P10" s="62" t="str">
        <f t="shared" si="10"/>
        <v>×</v>
      </c>
      <c r="Q10" s="62" t="e">
        <f>VLOOKUP($D10&amp;Q$5,'②-2勤務時間数入力'!$D$7:$Q$106,$L10,FALSE)</f>
        <v>#N/A</v>
      </c>
      <c r="R10" s="62" t="str">
        <f t="shared" si="11"/>
        <v>×</v>
      </c>
      <c r="S10" s="62" t="e">
        <f>VLOOKUP($D10&amp;S$5,'②-2勤務時間数入力'!$D$7:$Q$106,$L10,FALSE)</f>
        <v>#N/A</v>
      </c>
      <c r="T10" s="62" t="str">
        <f t="shared" si="12"/>
        <v>×</v>
      </c>
    </row>
    <row r="11" spans="1:20" ht="13.5" customHeight="1">
      <c r="A11" s="854"/>
      <c r="B11" s="881"/>
      <c r="C11" s="858"/>
      <c r="D11" s="138"/>
      <c r="E11" s="60" t="str">
        <f t="shared" si="4"/>
        <v/>
      </c>
      <c r="F11" s="59" t="str">
        <f t="shared" si="5"/>
        <v/>
      </c>
      <c r="G11" s="139" t="str">
        <f t="shared" si="1"/>
        <v/>
      </c>
      <c r="H11" s="59" t="str">
        <f t="shared" si="6"/>
        <v/>
      </c>
      <c r="I11" s="59">
        <f t="shared" si="2"/>
        <v>271333.33333333401</v>
      </c>
      <c r="J11" s="59" t="str">
        <f>IFERROR(IF($C10="-","",IF(D11="","",IF(E11="正規職員",I11-J10,MIN(MIN(H11:I11),I10-J10)))),0)</f>
        <v/>
      </c>
      <c r="K11" s="61" t="str">
        <f t="shared" si="7"/>
        <v/>
      </c>
      <c r="L11" s="62">
        <f t="shared" si="8"/>
        <v>3</v>
      </c>
      <c r="M11" s="62" t="e">
        <f>VLOOKUP($D11&amp;M$5,'②-2勤務時間数入力'!$D$7:$Q$106,$L11,FALSE)</f>
        <v>#N/A</v>
      </c>
      <c r="N11" s="62" t="str">
        <f t="shared" si="9"/>
        <v>×</v>
      </c>
      <c r="O11" s="62" t="e">
        <f>VLOOKUP($D11&amp;O$5,'②-2勤務時間数入力'!$D$7:$Q$106,$L11,FALSE)</f>
        <v>#N/A</v>
      </c>
      <c r="P11" s="62" t="str">
        <f t="shared" si="10"/>
        <v>×</v>
      </c>
      <c r="Q11" s="62" t="e">
        <f>VLOOKUP($D11&amp;Q$5,'②-2勤務時間数入力'!$D$7:$Q$106,$L11,FALSE)</f>
        <v>#N/A</v>
      </c>
      <c r="R11" s="62" t="str">
        <f t="shared" si="11"/>
        <v>×</v>
      </c>
      <c r="S11" s="62" t="e">
        <f>VLOOKUP($D11&amp;S$5,'②-2勤務時間数入力'!$D$7:$Q$106,$L11,FALSE)</f>
        <v>#N/A</v>
      </c>
      <c r="T11" s="62" t="str">
        <f t="shared" si="12"/>
        <v>×</v>
      </c>
    </row>
    <row r="12" spans="1:20" ht="13.5" customHeight="1">
      <c r="A12" s="854"/>
      <c r="B12" s="881"/>
      <c r="C12" s="856" t="str">
        <f>IF(B6&gt;=1,IFERROR(INDEX($F$153:$G$158,MATCH(判定!AK9,$F$153:$F$158,0),2),"-"),"-")</f>
        <v>-</v>
      </c>
      <c r="D12" s="138"/>
      <c r="E12" s="60" t="str">
        <f t="shared" si="4"/>
        <v/>
      </c>
      <c r="F12" s="59" t="str">
        <f t="shared" si="5"/>
        <v/>
      </c>
      <c r="G12" s="139" t="str">
        <f t="shared" si="1"/>
        <v/>
      </c>
      <c r="H12" s="59" t="str">
        <f t="shared" si="6"/>
        <v/>
      </c>
      <c r="I12" s="59">
        <f t="shared" si="2"/>
        <v>271333.33333333401</v>
      </c>
      <c r="J12" s="59" t="str">
        <f>IFERROR(IF($C12="-","",IF(D12="",0,IF(E12="正規職員",I12,MIN(H12:I12)))),0)</f>
        <v/>
      </c>
      <c r="K12" s="61" t="str">
        <f t="shared" si="7"/>
        <v/>
      </c>
      <c r="L12" s="62">
        <f t="shared" si="8"/>
        <v>3</v>
      </c>
      <c r="M12" s="62" t="e">
        <f>VLOOKUP($D12&amp;M$5,'②-2勤務時間数入力'!$D$7:$Q$106,$L12,FALSE)</f>
        <v>#N/A</v>
      </c>
      <c r="N12" s="62" t="str">
        <f t="shared" si="9"/>
        <v>×</v>
      </c>
      <c r="O12" s="62" t="e">
        <f>VLOOKUP($D12&amp;O$5,'②-2勤務時間数入力'!$D$7:$Q$106,$L12,FALSE)</f>
        <v>#N/A</v>
      </c>
      <c r="P12" s="62" t="str">
        <f t="shared" si="10"/>
        <v>×</v>
      </c>
      <c r="Q12" s="62" t="e">
        <f>VLOOKUP($D12&amp;Q$5,'②-2勤務時間数入力'!$D$7:$Q$106,$L12,FALSE)</f>
        <v>#N/A</v>
      </c>
      <c r="R12" s="62" t="str">
        <f t="shared" si="11"/>
        <v>×</v>
      </c>
      <c r="S12" s="62" t="e">
        <f>VLOOKUP($D12&amp;S$5,'②-2勤務時間数入力'!$D$7:$Q$106,$L12,FALSE)</f>
        <v>#N/A</v>
      </c>
      <c r="T12" s="62" t="str">
        <f t="shared" si="12"/>
        <v>×</v>
      </c>
    </row>
    <row r="13" spans="1:20" ht="13.5" customHeight="1">
      <c r="A13" s="854"/>
      <c r="B13" s="881"/>
      <c r="C13" s="858"/>
      <c r="D13" s="138"/>
      <c r="E13" s="60" t="str">
        <f t="shared" ref="E13:E15" si="13">IF(D13="","",IF(N13="○",M$5,IF(P13="○",O$5,IF(R13="○",Q$5,IF(T13="○",S$5,"ERROR")))))</f>
        <v/>
      </c>
      <c r="F13" s="59" t="str">
        <f t="shared" ref="F13:F15" si="14">IF(D13="","",IF(N13="○",M13,IF(P13="○",O13,IF(R13="○",Q13,IF(T13="○",S13,"ERROR")))))</f>
        <v/>
      </c>
      <c r="G13" s="139" t="str">
        <f t="shared" si="1"/>
        <v/>
      </c>
      <c r="H13" s="59" t="str">
        <f t="shared" si="0"/>
        <v/>
      </c>
      <c r="I13" s="59">
        <f t="shared" si="2"/>
        <v>271333.33333333401</v>
      </c>
      <c r="J13" s="59" t="str">
        <f>IFERROR(IF($C12="-","",IF(D13="","",IF(E13="正規職員",I13-J12,MIN(MIN(H13:I13),I12-J12)))),0)</f>
        <v/>
      </c>
      <c r="K13" s="61" t="str">
        <f t="shared" si="3"/>
        <v/>
      </c>
      <c r="L13" s="62">
        <f>L7</f>
        <v>3</v>
      </c>
      <c r="M13" s="62" t="e">
        <f>VLOOKUP($D13&amp;M$5,'②-2勤務時間数入力'!$D$7:$Q$106,$L13,FALSE)</f>
        <v>#N/A</v>
      </c>
      <c r="N13" s="62" t="str">
        <f>IF(ISERROR(M13),"×",IF(M13="-","×","○"))</f>
        <v>×</v>
      </c>
      <c r="O13" s="62" t="e">
        <f>VLOOKUP($D13&amp;O$5,'②-2勤務時間数入力'!$D$7:$Q$106,$L13,FALSE)</f>
        <v>#N/A</v>
      </c>
      <c r="P13" s="62" t="str">
        <f>IF(ISERROR(O13),"×",IF(O13="-","×","○"))</f>
        <v>×</v>
      </c>
      <c r="Q13" s="62" t="e">
        <f>VLOOKUP($D13&amp;Q$5,'②-2勤務時間数入力'!$D$7:$Q$106,$L13,FALSE)</f>
        <v>#N/A</v>
      </c>
      <c r="R13" s="62" t="str">
        <f>IF(ISERROR(Q13),"×",IF(Q13="-","×","○"))</f>
        <v>×</v>
      </c>
      <c r="S13" s="62" t="e">
        <f>VLOOKUP($D13&amp;S$5,'②-2勤務時間数入力'!$D$7:$Q$106,$L13,FALSE)</f>
        <v>#N/A</v>
      </c>
      <c r="T13" s="62" t="str">
        <f>IF(ISERROR(S13),"×",IF(S13="-","×","○"))</f>
        <v>×</v>
      </c>
    </row>
    <row r="14" spans="1:20" ht="13.5" customHeight="1">
      <c r="A14" s="854"/>
      <c r="B14" s="881"/>
      <c r="C14" s="856" t="str">
        <f>IF(B6&gt;=1,IFERROR(INDEX($F$153:$G$158,MATCH(判定!AL9,$F$153:$F$158,0),2),"-"),"-")</f>
        <v>-</v>
      </c>
      <c r="D14" s="138" t="s">
        <v>1054</v>
      </c>
      <c r="E14" s="60" t="str">
        <f t="shared" si="13"/>
        <v/>
      </c>
      <c r="F14" s="59" t="str">
        <f t="shared" si="14"/>
        <v/>
      </c>
      <c r="G14" s="139" t="str">
        <f t="shared" si="1"/>
        <v/>
      </c>
      <c r="H14" s="59" t="str">
        <f>IF($D14="","",IF($E14="正規職員","-",F14*G14))</f>
        <v/>
      </c>
      <c r="I14" s="59">
        <f t="shared" si="2"/>
        <v>271333.33333333401</v>
      </c>
      <c r="J14" s="59" t="str">
        <f>IFERROR(IF($C14="-","",IF(D14="",0,IF(E14="正規職員",I14,MIN(H14:I14)))),0)</f>
        <v/>
      </c>
      <c r="K14" s="61" t="str">
        <f t="shared" si="3"/>
        <v/>
      </c>
      <c r="L14" s="62">
        <f t="shared" ref="L14:L15" si="15">L13</f>
        <v>3</v>
      </c>
      <c r="M14" s="62" t="e">
        <f>VLOOKUP($D14&amp;M$5,'②-2勤務時間数入力'!$D$7:$Q$106,$L14,FALSE)</f>
        <v>#N/A</v>
      </c>
      <c r="N14" s="62" t="str">
        <f>IF(ISERROR(M14),"×",IF(M14="-","×","○"))</f>
        <v>×</v>
      </c>
      <c r="O14" s="62" t="e">
        <f>VLOOKUP($D14&amp;O$5,'②-2勤務時間数入力'!$D$7:$Q$106,$L14,FALSE)</f>
        <v>#N/A</v>
      </c>
      <c r="P14" s="62" t="str">
        <f>IF(ISERROR(O14),"×",IF(O14="-","×","○"))</f>
        <v>×</v>
      </c>
      <c r="Q14" s="62" t="e">
        <f>VLOOKUP($D14&amp;Q$5,'②-2勤務時間数入力'!$D$7:$Q$106,$L14,FALSE)</f>
        <v>#N/A</v>
      </c>
      <c r="R14" s="62" t="str">
        <f>IF(ISERROR(Q14),"×",IF(Q14="-","×","○"))</f>
        <v>×</v>
      </c>
      <c r="S14" s="62" t="e">
        <f>VLOOKUP($D14&amp;S$5,'②-2勤務時間数入力'!$D$7:$Q$106,$L14,FALSE)</f>
        <v>#N/A</v>
      </c>
      <c r="T14" s="62" t="str">
        <f>IF(ISERROR(S14),"×",IF(S14="-","×","○"))</f>
        <v>×</v>
      </c>
    </row>
    <row r="15" spans="1:20" ht="13.5" customHeight="1">
      <c r="A15" s="878"/>
      <c r="B15" s="881"/>
      <c r="C15" s="858"/>
      <c r="D15" s="138"/>
      <c r="E15" s="60" t="str">
        <f t="shared" si="13"/>
        <v/>
      </c>
      <c r="F15" s="59" t="str">
        <f t="shared" si="14"/>
        <v/>
      </c>
      <c r="G15" s="139" t="str">
        <f t="shared" si="1"/>
        <v/>
      </c>
      <c r="H15" s="59" t="str">
        <f>IF($D15="","",IF($E15="正規職員","-",F15*G15))</f>
        <v/>
      </c>
      <c r="I15" s="59">
        <f t="shared" si="2"/>
        <v>271333.33333333401</v>
      </c>
      <c r="J15" s="59" t="str">
        <f>IFERROR(IF($C14="-","",IF(D15="","",IF(E15="正規職員",I15-J14,MIN(MIN(H15:I15),I14-J14)))),0)</f>
        <v/>
      </c>
      <c r="K15" s="61" t="str">
        <f t="shared" si="3"/>
        <v/>
      </c>
      <c r="L15" s="62">
        <f t="shared" si="15"/>
        <v>3</v>
      </c>
      <c r="M15" s="62" t="e">
        <f>VLOOKUP($D15&amp;M$5,'②-2勤務時間数入力'!$D$7:$Q$106,$L15,FALSE)</f>
        <v>#N/A</v>
      </c>
      <c r="N15" s="62" t="str">
        <f>IF(ISERROR(M15),"×",IF(M15="-","×","○"))</f>
        <v>×</v>
      </c>
      <c r="O15" s="62" t="e">
        <f>VLOOKUP($D15&amp;O$5,'②-2勤務時間数入力'!$D$7:$Q$106,$L15,FALSE)</f>
        <v>#N/A</v>
      </c>
      <c r="P15" s="62" t="str">
        <f>IF(ISERROR(O15),"×",IF(O15="-","×","○"))</f>
        <v>×</v>
      </c>
      <c r="Q15" s="62" t="e">
        <f>VLOOKUP($D15&amp;Q$5,'②-2勤務時間数入力'!$D$7:$Q$106,$L15,FALSE)</f>
        <v>#N/A</v>
      </c>
      <c r="R15" s="62" t="str">
        <f>IF(ISERROR(Q15),"×",IF(Q15="-","×","○"))</f>
        <v>×</v>
      </c>
      <c r="S15" s="62" t="e">
        <f>VLOOKUP($D15&amp;S$5,'②-2勤務時間数入力'!$D$7:$Q$106,$L15,FALSE)</f>
        <v>#N/A</v>
      </c>
      <c r="T15" s="62" t="str">
        <f>IF(ISERROR(S15),"×",IF(S15="-","×","○"))</f>
        <v>×</v>
      </c>
    </row>
    <row r="16" spans="1:20" ht="13.5" customHeight="1">
      <c r="A16" s="844"/>
      <c r="B16" s="882"/>
      <c r="C16" s="433"/>
      <c r="D16" s="1" t="s">
        <v>272</v>
      </c>
      <c r="E16" s="60" t="s">
        <v>273</v>
      </c>
      <c r="F16" s="67"/>
      <c r="G16" s="60" t="s">
        <v>273</v>
      </c>
      <c r="H16" s="60" t="s">
        <v>273</v>
      </c>
      <c r="I16" s="60" t="s">
        <v>273</v>
      </c>
      <c r="J16" s="59" t="str">
        <f>IFERROR(IF(J6="","",MIN(SUM(J6:J15),(B6*I6))),0)</f>
        <v/>
      </c>
      <c r="K16" s="61"/>
      <c r="L16" s="62"/>
      <c r="M16" s="62"/>
      <c r="N16" s="62"/>
      <c r="O16" s="62"/>
      <c r="P16" s="62"/>
      <c r="Q16" s="62"/>
      <c r="R16" s="62"/>
      <c r="S16" s="62"/>
      <c r="T16" s="62"/>
    </row>
    <row r="17" spans="1:20" ht="13.5" hidden="1" customHeight="1">
      <c r="A17" s="843">
        <v>5</v>
      </c>
      <c r="B17" s="856" t="str">
        <f>IF(判定!AY10&gt;=1,判定!AY10,"-")</f>
        <v>-</v>
      </c>
      <c r="C17" s="856" t="str">
        <f>IF(B17&gt;=1,IFERROR(INDEX($F$153:$G$158,MATCH(判定!AH10,$F$153:$F$158,0),2),"-"),"-")</f>
        <v>-</v>
      </c>
      <c r="D17" s="138" t="str">
        <f t="shared" ref="D17:D26" si="16">IF(D6="","",D6)</f>
        <v/>
      </c>
      <c r="E17" s="60" t="str">
        <f>IF(D17="","",IF(N17="○",M$5,IF(P17="○",O$5,IF(R17="○",Q$5,IF(T17="○",S$5,"ERROR")))))</f>
        <v/>
      </c>
      <c r="F17" s="59" t="str">
        <f>IF(D17="","",IF(N17="○",M17,IF(P17="○",O17,IF(R17="○",Q17,IF(T17="○",S17,"ERROR")))))</f>
        <v/>
      </c>
      <c r="G17" s="139" t="str">
        <f>IF($B17="","",IF($E17="正規職員","-",IF(AND(EXACT(B6,B17),EXACT(D6,D17),EXACT(E6,E17)),G6,"賃金単価を記載")))</f>
        <v/>
      </c>
      <c r="H17" s="59" t="str">
        <f t="shared" ref="H17:H24" si="17">IF($D17="","",IF($E17="正規職員","-",F17*G17))</f>
        <v/>
      </c>
      <c r="I17" s="59">
        <f t="shared" ref="I17:I135" si="18">$I$6</f>
        <v>271333.33333333401</v>
      </c>
      <c r="J17" s="59" t="str">
        <f>IFERROR(IF($C17="-","",IF(D17="",0,IF(E17="正規職員",I17,MIN(H17:I17)))),0)</f>
        <v/>
      </c>
      <c r="K17" s="61" t="str">
        <f>IF(D17="","",IF(OR(COUNTIFS(D17,"*要配慮*")=1,COUNTIFS(D17,"*医療的ケア*")=1),"○","エラー"))</f>
        <v/>
      </c>
      <c r="L17" s="62">
        <f>L6+1</f>
        <v>4</v>
      </c>
      <c r="M17" s="62" t="e">
        <f>VLOOKUP($D17&amp;M$5,'②-2勤務時間数入力'!$D$7:$Q$106,$L17,FALSE)</f>
        <v>#N/A</v>
      </c>
      <c r="N17" s="62" t="str">
        <f t="shared" ref="N17:N26" si="19">IF(ISERROR(M17),"×",IF(M17="-","×","○"))</f>
        <v>×</v>
      </c>
      <c r="O17" s="62" t="e">
        <f>VLOOKUP($D17&amp;O$5,'②-2勤務時間数入力'!$D$7:$Q$106,$L17,FALSE)</f>
        <v>#N/A</v>
      </c>
      <c r="P17" s="62" t="str">
        <f t="shared" ref="P17:P26" si="20">IF(ISERROR(O17),"×",IF(O17="-","×","○"))</f>
        <v>×</v>
      </c>
      <c r="Q17" s="62" t="e">
        <f>VLOOKUP($D17&amp;Q$5,'②-2勤務時間数入力'!$D$7:$Q$106,$L17,FALSE)</f>
        <v>#N/A</v>
      </c>
      <c r="R17" s="62" t="str">
        <f t="shared" ref="R17:R26" si="21">IF(ISERROR(Q17),"×",IF(Q17="-","×","○"))</f>
        <v>×</v>
      </c>
      <c r="S17" s="62" t="e">
        <f>VLOOKUP($D17&amp;S$5,'②-2勤務時間数入力'!$D$7:$Q$106,$L17,FALSE)</f>
        <v>#N/A</v>
      </c>
      <c r="T17" s="62" t="str">
        <f t="shared" ref="T17:T26" si="22">IF(ISERROR(S17),"×",IF(S17="-","×","○"))</f>
        <v>×</v>
      </c>
    </row>
    <row r="18" spans="1:20" ht="13.5" hidden="1" customHeight="1">
      <c r="A18" s="854"/>
      <c r="B18" s="857"/>
      <c r="C18" s="858"/>
      <c r="D18" s="138" t="str">
        <f>IF(D7="","",D7)</f>
        <v/>
      </c>
      <c r="E18" s="60" t="str">
        <f t="shared" ref="E18:E26" si="23">IF(D18="","",IF(N18="○",M$5,IF(P18="○",O$5,IF(R18="○",Q$5,IF(T18="○",S$5,"ERROR")))))</f>
        <v/>
      </c>
      <c r="F18" s="59" t="str">
        <f t="shared" ref="F18:F26" si="24">IF(D18="","",IF(N18="○",M18,IF(P18="○",O18,IF(R18="○",Q18,IF(T18="○",S18,"ERROR")))))</f>
        <v/>
      </c>
      <c r="G18" s="139" t="str">
        <f>IF($B17="","",IF($E18="正規職員","-",IF(AND(EXACT(B6,B17),EXACT(D7,D18),EXACT(E7,E18)),G7,"賃金単価を記載")))</f>
        <v/>
      </c>
      <c r="H18" s="59" t="str">
        <f t="shared" si="17"/>
        <v/>
      </c>
      <c r="I18" s="59">
        <f t="shared" si="18"/>
        <v>271333.33333333401</v>
      </c>
      <c r="J18" s="59" t="str">
        <f t="shared" ref="J18" si="25">IFERROR(IF($C17="-","",IF(D18="","",IF(E18="正規職員",I18-J17,MIN(MIN(H18:I18),I17-J17)))),0)</f>
        <v/>
      </c>
      <c r="K18" s="61" t="str">
        <f t="shared" ref="K18:K26" si="26">IF(D18="","",IF(OR(COUNTIFS(D18,"*要配慮*")=1,COUNTIFS(D18,"*医療的ケア*")=1),"○","エラー"))</f>
        <v/>
      </c>
      <c r="L18" s="62">
        <f>L17</f>
        <v>4</v>
      </c>
      <c r="M18" s="62" t="e">
        <f>VLOOKUP($D18&amp;M$5,'②-2勤務時間数入力'!$D$7:$Q$106,$L18,FALSE)</f>
        <v>#N/A</v>
      </c>
      <c r="N18" s="62" t="str">
        <f t="shared" si="19"/>
        <v>×</v>
      </c>
      <c r="O18" s="62" t="e">
        <f>VLOOKUP($D18&amp;O$5,'②-2勤務時間数入力'!$D$7:$Q$106,$L18,FALSE)</f>
        <v>#N/A</v>
      </c>
      <c r="P18" s="62" t="str">
        <f t="shared" si="20"/>
        <v>×</v>
      </c>
      <c r="Q18" s="62" t="e">
        <f>VLOOKUP($D18&amp;Q$5,'②-2勤務時間数入力'!$D$7:$Q$106,$L18,FALSE)</f>
        <v>#N/A</v>
      </c>
      <c r="R18" s="62" t="str">
        <f t="shared" si="21"/>
        <v>×</v>
      </c>
      <c r="S18" s="62" t="e">
        <f>VLOOKUP($D18&amp;S$5,'②-2勤務時間数入力'!$D$7:$Q$106,$L18,FALSE)</f>
        <v>#N/A</v>
      </c>
      <c r="T18" s="62" t="str">
        <f t="shared" si="22"/>
        <v>×</v>
      </c>
    </row>
    <row r="19" spans="1:20" ht="13.5" hidden="1" customHeight="1">
      <c r="A19" s="854"/>
      <c r="B19" s="857"/>
      <c r="C19" s="856" t="str">
        <f>IF(B17&gt;=1,IFERROR(INDEX($F$153:$G$158,MATCH(判定!AI10,$F$153:$F$158,0),2),"-"),"-")</f>
        <v>-</v>
      </c>
      <c r="D19" s="138" t="str">
        <f>IF(D8="","",D8)</f>
        <v/>
      </c>
      <c r="E19" s="60" t="str">
        <f t="shared" si="23"/>
        <v/>
      </c>
      <c r="F19" s="59" t="str">
        <f t="shared" si="24"/>
        <v/>
      </c>
      <c r="G19" s="139" t="str">
        <f>IF($B12="","",IF($E19="正規職員","-",IF(AND(EXACT(B1,B12),EXACT(D8,D19),EXACT(E8,E19)),G8,"賃金単価を記載")))</f>
        <v/>
      </c>
      <c r="H19" s="59" t="str">
        <f t="shared" si="17"/>
        <v/>
      </c>
      <c r="I19" s="59">
        <f t="shared" si="18"/>
        <v>271333.33333333401</v>
      </c>
      <c r="J19" s="59" t="str">
        <f t="shared" ref="J19" si="27">IFERROR(IF($C19="-","",IF(D19="",0,IF(E19="正規職員",I19,MIN(H19:I19)))),0)</f>
        <v/>
      </c>
      <c r="K19" s="61" t="str">
        <f t="shared" si="26"/>
        <v/>
      </c>
      <c r="L19" s="62">
        <f t="shared" ref="L19:L25" si="28">L18</f>
        <v>4</v>
      </c>
      <c r="M19" s="62" t="e">
        <f>VLOOKUP($D19&amp;M$5,'②-2勤務時間数入力'!$D$7:$Q$106,$L19,FALSE)</f>
        <v>#N/A</v>
      </c>
      <c r="N19" s="62" t="str">
        <f t="shared" si="19"/>
        <v>×</v>
      </c>
      <c r="O19" s="62" t="e">
        <f>VLOOKUP($D19&amp;O$5,'②-2勤務時間数入力'!$D$7:$Q$106,$L19,FALSE)</f>
        <v>#N/A</v>
      </c>
      <c r="P19" s="62" t="str">
        <f t="shared" si="20"/>
        <v>×</v>
      </c>
      <c r="Q19" s="62" t="e">
        <f>VLOOKUP($D19&amp;Q$5,'②-2勤務時間数入力'!$D$7:$Q$106,$L19,FALSE)</f>
        <v>#N/A</v>
      </c>
      <c r="R19" s="62" t="str">
        <f t="shared" si="21"/>
        <v>×</v>
      </c>
      <c r="S19" s="62" t="e">
        <f>VLOOKUP($D19&amp;S$5,'②-2勤務時間数入力'!$D$7:$Q$106,$L19,FALSE)</f>
        <v>#N/A</v>
      </c>
      <c r="T19" s="62" t="str">
        <f t="shared" si="22"/>
        <v>×</v>
      </c>
    </row>
    <row r="20" spans="1:20" ht="13.5" hidden="1" customHeight="1">
      <c r="A20" s="854"/>
      <c r="B20" s="857"/>
      <c r="C20" s="858"/>
      <c r="D20" s="138" t="str">
        <f t="shared" si="16"/>
        <v/>
      </c>
      <c r="E20" s="60" t="str">
        <f t="shared" si="23"/>
        <v/>
      </c>
      <c r="F20" s="59" t="str">
        <f t="shared" si="24"/>
        <v/>
      </c>
      <c r="G20" s="139" t="str">
        <f>IF($B12="","",IF($E20="正規職員","-",IF(AND(EXACT(B1,B12),EXACT(D9,D20),EXACT(E9,E20)),G9,"賃金単価を記載")))</f>
        <v/>
      </c>
      <c r="H20" s="59" t="str">
        <f>IF($D20="","",IF($E20="正規職員","-",F20*G20))</f>
        <v/>
      </c>
      <c r="I20" s="59">
        <f t="shared" si="18"/>
        <v>271333.33333333401</v>
      </c>
      <c r="J20" s="59" t="str">
        <f t="shared" ref="J20" si="29">IFERROR(IF($C19="-","",IF(D20="","",IF(E20="正規職員",I20-J19,MIN(MIN(H20:I20),I19-J19)))),0)</f>
        <v/>
      </c>
      <c r="K20" s="61" t="str">
        <f t="shared" si="26"/>
        <v/>
      </c>
      <c r="L20" s="62">
        <f t="shared" si="28"/>
        <v>4</v>
      </c>
      <c r="M20" s="62" t="e">
        <f>VLOOKUP($D20&amp;M$5,'②-2勤務時間数入力'!$D$7:$Q$106,$L20,FALSE)</f>
        <v>#N/A</v>
      </c>
      <c r="N20" s="62" t="str">
        <f t="shared" si="19"/>
        <v>×</v>
      </c>
      <c r="O20" s="62" t="e">
        <f>VLOOKUP($D20&amp;O$5,'②-2勤務時間数入力'!$D$7:$Q$106,$L20,FALSE)</f>
        <v>#N/A</v>
      </c>
      <c r="P20" s="62" t="str">
        <f t="shared" si="20"/>
        <v>×</v>
      </c>
      <c r="Q20" s="62" t="e">
        <f>VLOOKUP($D20&amp;Q$5,'②-2勤務時間数入力'!$D$7:$Q$106,$L20,FALSE)</f>
        <v>#N/A</v>
      </c>
      <c r="R20" s="62" t="str">
        <f t="shared" si="21"/>
        <v>×</v>
      </c>
      <c r="S20" s="62" t="e">
        <f>VLOOKUP($D20&amp;S$5,'②-2勤務時間数入力'!$D$7:$Q$106,$L20,FALSE)</f>
        <v>#N/A</v>
      </c>
      <c r="T20" s="62" t="str">
        <f t="shared" si="22"/>
        <v>×</v>
      </c>
    </row>
    <row r="21" spans="1:20" ht="13.5" hidden="1" customHeight="1">
      <c r="A21" s="854"/>
      <c r="B21" s="857"/>
      <c r="C21" s="856" t="str">
        <f>IF(B17&gt;=1,IFERROR(INDEX($F$153:$G$158,MATCH(判定!AJ10,$F$153:$F$158,0),2),"-"),"-")</f>
        <v>-</v>
      </c>
      <c r="D21" s="138" t="str">
        <f t="shared" si="16"/>
        <v/>
      </c>
      <c r="E21" s="60" t="str">
        <f t="shared" ref="E21:E23" si="30">IF(D21="","",IF(N21="○",M$5,IF(P21="○",O$5,IF(R21="○",Q$5,IF(T21="○",S$5,"ERROR")))))</f>
        <v/>
      </c>
      <c r="F21" s="59" t="str">
        <f t="shared" ref="F21:F23" si="31">IF(D21="","",IF(N21="○",M21,IF(P21="○",O21,IF(R21="○",Q21,IF(T21="○",S21,"ERROR")))))</f>
        <v/>
      </c>
      <c r="G21" s="139" t="str">
        <f>IF($B14="","",IF($E21="正規職員","-",IF(AND(EXACT(B3,B14),EXACT(D10,D21),EXACT(E10,E21)),G10,"賃金単価を記載")))</f>
        <v/>
      </c>
      <c r="H21" s="59" t="str">
        <f t="shared" ref="H21" si="32">IF($D21="","",IF($E21="正規職員","-",F21*G21))</f>
        <v/>
      </c>
      <c r="I21" s="59">
        <f t="shared" si="18"/>
        <v>271333.33333333401</v>
      </c>
      <c r="J21" s="59" t="str">
        <f t="shared" ref="J21" si="33">IFERROR(IF($C21="-","",IF(D21="",0,IF(E21="正規職員",I21,MIN(H21:I21)))),0)</f>
        <v/>
      </c>
      <c r="K21" s="61" t="str">
        <f t="shared" ref="K21:K23" si="34">IF(D21="","",IF(OR(COUNTIFS(D21,"*要配慮*")=1,COUNTIFS(D21,"*医療的ケア*")=1),"○","エラー"))</f>
        <v/>
      </c>
      <c r="L21" s="62">
        <f t="shared" si="28"/>
        <v>4</v>
      </c>
      <c r="M21" s="62" t="e">
        <f>VLOOKUP($D21&amp;M$5,'②-2勤務時間数入力'!$D$7:$Q$106,$L21,FALSE)</f>
        <v>#N/A</v>
      </c>
      <c r="N21" s="62" t="str">
        <f t="shared" si="19"/>
        <v>×</v>
      </c>
      <c r="O21" s="62" t="e">
        <f>VLOOKUP($D21&amp;O$5,'②-2勤務時間数入力'!$D$7:$Q$106,$L21,FALSE)</f>
        <v>#N/A</v>
      </c>
      <c r="P21" s="62" t="str">
        <f t="shared" si="20"/>
        <v>×</v>
      </c>
      <c r="Q21" s="62" t="e">
        <f>VLOOKUP($D21&amp;Q$5,'②-2勤務時間数入力'!$D$7:$Q$106,$L21,FALSE)</f>
        <v>#N/A</v>
      </c>
      <c r="R21" s="62" t="str">
        <f t="shared" si="21"/>
        <v>×</v>
      </c>
      <c r="S21" s="62" t="e">
        <f>VLOOKUP($D21&amp;S$5,'②-2勤務時間数入力'!$D$7:$Q$106,$L21,FALSE)</f>
        <v>#N/A</v>
      </c>
      <c r="T21" s="62" t="str">
        <f t="shared" si="22"/>
        <v>×</v>
      </c>
    </row>
    <row r="22" spans="1:20" ht="13.5" hidden="1" customHeight="1">
      <c r="A22" s="854"/>
      <c r="B22" s="857"/>
      <c r="C22" s="858"/>
      <c r="D22" s="138" t="str">
        <f t="shared" si="16"/>
        <v/>
      </c>
      <c r="E22" s="60" t="str">
        <f t="shared" si="30"/>
        <v/>
      </c>
      <c r="F22" s="59" t="str">
        <f t="shared" si="31"/>
        <v/>
      </c>
      <c r="G22" s="139" t="str">
        <f>IF($B14="","",IF($E22="正規職員","-",IF(AND(EXACT(B3,B14),EXACT(D11,D22),EXACT(E11,E22)),G11,"賃金単価を記載")))</f>
        <v/>
      </c>
      <c r="H22" s="59" t="str">
        <f>IF($D22="","",IF($E22="正規職員","-",F22*G22))</f>
        <v/>
      </c>
      <c r="I22" s="59">
        <f t="shared" si="18"/>
        <v>271333.33333333401</v>
      </c>
      <c r="J22" s="59" t="str">
        <f t="shared" ref="J22" si="35">IFERROR(IF($C21="-","",IF(D22="","",IF(E22="正規職員",I22-J21,MIN(MIN(H22:I22),I21-J21)))),0)</f>
        <v/>
      </c>
      <c r="K22" s="61" t="str">
        <f t="shared" si="34"/>
        <v/>
      </c>
      <c r="L22" s="62">
        <f t="shared" si="28"/>
        <v>4</v>
      </c>
      <c r="M22" s="62" t="e">
        <f>VLOOKUP($D22&amp;M$5,'②-2勤務時間数入力'!$D$7:$Q$106,$L22,FALSE)</f>
        <v>#N/A</v>
      </c>
      <c r="N22" s="62" t="str">
        <f t="shared" si="19"/>
        <v>×</v>
      </c>
      <c r="O22" s="62" t="e">
        <f>VLOOKUP($D22&amp;O$5,'②-2勤務時間数入力'!$D$7:$Q$106,$L22,FALSE)</f>
        <v>#N/A</v>
      </c>
      <c r="P22" s="62" t="str">
        <f t="shared" si="20"/>
        <v>×</v>
      </c>
      <c r="Q22" s="62" t="e">
        <f>VLOOKUP($D22&amp;Q$5,'②-2勤務時間数入力'!$D$7:$Q$106,$L22,FALSE)</f>
        <v>#N/A</v>
      </c>
      <c r="R22" s="62" t="str">
        <f t="shared" si="21"/>
        <v>×</v>
      </c>
      <c r="S22" s="62" t="e">
        <f>VLOOKUP($D22&amp;S$5,'②-2勤務時間数入力'!$D$7:$Q$106,$L22,FALSE)</f>
        <v>#N/A</v>
      </c>
      <c r="T22" s="62" t="str">
        <f t="shared" si="22"/>
        <v>×</v>
      </c>
    </row>
    <row r="23" spans="1:20" ht="13.5" hidden="1" customHeight="1">
      <c r="A23" s="854"/>
      <c r="B23" s="857"/>
      <c r="C23" s="856" t="str">
        <f>IF(B17&gt;=1,IFERROR(INDEX($F$153:$G$158,MATCH(判定!AK10,$F$153:$F$158,0),2),"-"),"-")</f>
        <v>-</v>
      </c>
      <c r="D23" s="138" t="str">
        <f t="shared" si="16"/>
        <v/>
      </c>
      <c r="E23" s="60" t="str">
        <f t="shared" si="30"/>
        <v/>
      </c>
      <c r="F23" s="59" t="str">
        <f t="shared" si="31"/>
        <v/>
      </c>
      <c r="G23" s="139" t="str">
        <f>IF($B14="","",IF($E23="正規職員","-",IF(AND(EXACT(B3,B14),EXACT(D12,D23),EXACT(E12,E23)),G12,"賃金単価を記載")))</f>
        <v/>
      </c>
      <c r="H23" s="59" t="str">
        <f>IF($D23="","",IF($E23="正規職員","-",F23*G23))</f>
        <v/>
      </c>
      <c r="I23" s="59">
        <f t="shared" si="18"/>
        <v>271333.33333333401</v>
      </c>
      <c r="J23" s="59" t="str">
        <f t="shared" ref="J23" si="36">IFERROR(IF($C23="-","",IF(D23="",0,IF(E23="正規職員",I23,MIN(H23:I23)))),0)</f>
        <v/>
      </c>
      <c r="K23" s="61" t="str">
        <f t="shared" si="34"/>
        <v/>
      </c>
      <c r="L23" s="62">
        <f t="shared" si="28"/>
        <v>4</v>
      </c>
      <c r="M23" s="62" t="e">
        <f>VLOOKUP($D23&amp;M$5,'②-2勤務時間数入力'!$D$7:$Q$106,$L23,FALSE)</f>
        <v>#N/A</v>
      </c>
      <c r="N23" s="62" t="str">
        <f t="shared" si="19"/>
        <v>×</v>
      </c>
      <c r="O23" s="62" t="e">
        <f>VLOOKUP($D23&amp;O$5,'②-2勤務時間数入力'!$D$7:$Q$106,$L23,FALSE)</f>
        <v>#N/A</v>
      </c>
      <c r="P23" s="62" t="str">
        <f t="shared" si="20"/>
        <v>×</v>
      </c>
      <c r="Q23" s="62" t="e">
        <f>VLOOKUP($D23&amp;Q$5,'②-2勤務時間数入力'!$D$7:$Q$106,$L23,FALSE)</f>
        <v>#N/A</v>
      </c>
      <c r="R23" s="62" t="str">
        <f t="shared" si="21"/>
        <v>×</v>
      </c>
      <c r="S23" s="62" t="e">
        <f>VLOOKUP($D23&amp;S$5,'②-2勤務時間数入力'!$D$7:$Q$106,$L23,FALSE)</f>
        <v>#N/A</v>
      </c>
      <c r="T23" s="62" t="str">
        <f t="shared" si="22"/>
        <v>×</v>
      </c>
    </row>
    <row r="24" spans="1:20" ht="13.5" hidden="1" customHeight="1">
      <c r="A24" s="854"/>
      <c r="B24" s="857"/>
      <c r="C24" s="858"/>
      <c r="D24" s="138" t="str">
        <f>IF(D13="","",D13)</f>
        <v/>
      </c>
      <c r="E24" s="60" t="str">
        <f t="shared" si="23"/>
        <v/>
      </c>
      <c r="F24" s="59" t="str">
        <f t="shared" si="24"/>
        <v/>
      </c>
      <c r="G24" s="139" t="str">
        <f>IF($B17="","",IF($E24="正規職員","-",IF(AND(EXACT(B6,B17),EXACT(D13,D24),EXACT(E13,E24)),G13,"賃金単価を記載")))</f>
        <v/>
      </c>
      <c r="H24" s="59" t="str">
        <f t="shared" si="17"/>
        <v/>
      </c>
      <c r="I24" s="59">
        <f t="shared" si="18"/>
        <v>271333.33333333401</v>
      </c>
      <c r="J24" s="59" t="str">
        <f t="shared" ref="J24" si="37">IFERROR(IF($C23="-","",IF(D24="","",IF(E24="正規職員",I24-J23,MIN(MIN(H24:I24),I23-J23)))),0)</f>
        <v/>
      </c>
      <c r="K24" s="61" t="str">
        <f t="shared" si="26"/>
        <v/>
      </c>
      <c r="L24" s="62">
        <f t="shared" si="28"/>
        <v>4</v>
      </c>
      <c r="M24" s="62" t="e">
        <f>VLOOKUP($D24&amp;M$5,'②-2勤務時間数入力'!$D$7:$Q$106,$L24,FALSE)</f>
        <v>#N/A</v>
      </c>
      <c r="N24" s="62" t="str">
        <f t="shared" si="19"/>
        <v>×</v>
      </c>
      <c r="O24" s="62" t="e">
        <f>VLOOKUP($D24&amp;O$5,'②-2勤務時間数入力'!$D$7:$Q$106,$L24,FALSE)</f>
        <v>#N/A</v>
      </c>
      <c r="P24" s="62" t="str">
        <f t="shared" si="20"/>
        <v>×</v>
      </c>
      <c r="Q24" s="62" t="e">
        <f>VLOOKUP($D24&amp;Q$5,'②-2勤務時間数入力'!$D$7:$Q$106,$L24,FALSE)</f>
        <v>#N/A</v>
      </c>
      <c r="R24" s="62" t="str">
        <f t="shared" si="21"/>
        <v>×</v>
      </c>
      <c r="S24" s="62" t="e">
        <f>VLOOKUP($D24&amp;S$5,'②-2勤務時間数入力'!$D$7:$Q$106,$L24,FALSE)</f>
        <v>#N/A</v>
      </c>
      <c r="T24" s="62" t="str">
        <f t="shared" si="22"/>
        <v>×</v>
      </c>
    </row>
    <row r="25" spans="1:20" ht="13.5" hidden="1" customHeight="1">
      <c r="A25" s="854"/>
      <c r="B25" s="857"/>
      <c r="C25" s="856" t="str">
        <f>IF(B17&gt;=1,IFERROR(INDEX($F$153:$G$158,MATCH(判定!AL10,$F$153:$F$158,0),2),"-"),"-")</f>
        <v>-</v>
      </c>
      <c r="D25" s="138" t="str">
        <f t="shared" si="16"/>
        <v/>
      </c>
      <c r="E25" s="60" t="str">
        <f t="shared" si="23"/>
        <v/>
      </c>
      <c r="F25" s="59" t="str">
        <f t="shared" si="24"/>
        <v/>
      </c>
      <c r="G25" s="139" t="str">
        <f>IF($B17="","",IF($E25="正規職員","-",IF(AND(EXACT(B6,B17),EXACT(D14,D25),EXACT(E14,E25)),G14,"賃金単価を記載")))</f>
        <v/>
      </c>
      <c r="H25" s="59" t="str">
        <f>IF($D25="","",IF($E25="正規職員","-",F25*G25))</f>
        <v/>
      </c>
      <c r="I25" s="59">
        <f t="shared" si="18"/>
        <v>271333.33333333401</v>
      </c>
      <c r="J25" s="59" t="str">
        <f t="shared" ref="J25" si="38">IFERROR(IF($C25="-","",IF(D25="",0,IF(E25="正規職員",I25,MIN(H25:I25)))),0)</f>
        <v/>
      </c>
      <c r="K25" s="61" t="str">
        <f t="shared" si="26"/>
        <v/>
      </c>
      <c r="L25" s="62">
        <f t="shared" si="28"/>
        <v>4</v>
      </c>
      <c r="M25" s="62" t="e">
        <f>VLOOKUP($D25&amp;M$5,'②-2勤務時間数入力'!$D$7:$Q$106,$L25,FALSE)</f>
        <v>#N/A</v>
      </c>
      <c r="N25" s="62" t="str">
        <f t="shared" si="19"/>
        <v>×</v>
      </c>
      <c r="O25" s="62" t="e">
        <f>VLOOKUP($D25&amp;O$5,'②-2勤務時間数入力'!$D$7:$Q$106,$L25,FALSE)</f>
        <v>#N/A</v>
      </c>
      <c r="P25" s="62" t="str">
        <f t="shared" si="20"/>
        <v>×</v>
      </c>
      <c r="Q25" s="62" t="e">
        <f>VLOOKUP($D25&amp;Q$5,'②-2勤務時間数入力'!$D$7:$Q$106,$L25,FALSE)</f>
        <v>#N/A</v>
      </c>
      <c r="R25" s="62" t="str">
        <f t="shared" si="21"/>
        <v>×</v>
      </c>
      <c r="S25" s="62" t="e">
        <f>VLOOKUP($D25&amp;S$5,'②-2勤務時間数入力'!$D$7:$Q$106,$L25,FALSE)</f>
        <v>#N/A</v>
      </c>
      <c r="T25" s="62" t="str">
        <f t="shared" si="22"/>
        <v>×</v>
      </c>
    </row>
    <row r="26" spans="1:20" ht="13.5" hidden="1" customHeight="1">
      <c r="A26" s="878"/>
      <c r="B26" s="857"/>
      <c r="C26" s="858"/>
      <c r="D26" s="138" t="str">
        <f t="shared" si="16"/>
        <v/>
      </c>
      <c r="E26" s="60" t="str">
        <f t="shared" si="23"/>
        <v/>
      </c>
      <c r="F26" s="59" t="str">
        <f t="shared" si="24"/>
        <v/>
      </c>
      <c r="G26" s="139" t="str">
        <f>IF($B17="","",IF($E26="正規職員","-",IF(AND(EXACT(B6,B17),EXACT(D15,D26),EXACT(E15,E26)),G15,"賃金単価を記載")))</f>
        <v/>
      </c>
      <c r="H26" s="59" t="str">
        <f>IF($D26="","",IF($E26="正規職員","-",F26*G26))</f>
        <v/>
      </c>
      <c r="I26" s="59">
        <f t="shared" si="18"/>
        <v>271333.33333333401</v>
      </c>
      <c r="J26" s="59" t="str">
        <f t="shared" ref="J26" si="39">IFERROR(IF($C25="-","",IF(D26="","",IF(E26="正規職員",I26-J25,MIN(MIN(H26:I26),I25-J25)))),0)</f>
        <v/>
      </c>
      <c r="K26" s="61" t="str">
        <f t="shared" si="26"/>
        <v/>
      </c>
      <c r="L26" s="62">
        <f t="shared" ref="L26" si="40">L25</f>
        <v>4</v>
      </c>
      <c r="M26" s="62" t="e">
        <f>VLOOKUP($D26&amp;M$5,'②-2勤務時間数入力'!$D$7:$Q$106,$L26,FALSE)</f>
        <v>#N/A</v>
      </c>
      <c r="N26" s="62" t="str">
        <f t="shared" si="19"/>
        <v>×</v>
      </c>
      <c r="O26" s="62" t="e">
        <f>VLOOKUP($D26&amp;O$5,'②-2勤務時間数入力'!$D$7:$Q$106,$L26,FALSE)</f>
        <v>#N/A</v>
      </c>
      <c r="P26" s="62" t="str">
        <f t="shared" si="20"/>
        <v>×</v>
      </c>
      <c r="Q26" s="62" t="e">
        <f>VLOOKUP($D26&amp;Q$5,'②-2勤務時間数入力'!$D$7:$Q$106,$L26,FALSE)</f>
        <v>#N/A</v>
      </c>
      <c r="R26" s="62" t="str">
        <f t="shared" si="21"/>
        <v>×</v>
      </c>
      <c r="S26" s="62" t="e">
        <f>VLOOKUP($D26&amp;S$5,'②-2勤務時間数入力'!$D$7:$Q$106,$L26,FALSE)</f>
        <v>#N/A</v>
      </c>
      <c r="T26" s="62" t="str">
        <f t="shared" si="22"/>
        <v>×</v>
      </c>
    </row>
    <row r="27" spans="1:20" ht="13.5" hidden="1" customHeight="1">
      <c r="A27" s="844"/>
      <c r="B27" s="857"/>
      <c r="C27" s="284"/>
      <c r="D27" s="1" t="s">
        <v>274</v>
      </c>
      <c r="E27" s="60" t="s">
        <v>273</v>
      </c>
      <c r="F27" s="67"/>
      <c r="G27" s="60" t="s">
        <v>273</v>
      </c>
      <c r="H27" s="60" t="s">
        <v>273</v>
      </c>
      <c r="I27" s="60" t="s">
        <v>273</v>
      </c>
      <c r="J27" s="59" t="str">
        <f t="shared" ref="J27" si="41">IFERROR(IF(J17="","",MIN(SUM(J17:J26),(B17*I17))),0)</f>
        <v/>
      </c>
      <c r="K27" s="61"/>
      <c r="L27" s="62"/>
      <c r="M27" s="62"/>
      <c r="N27" s="62"/>
      <c r="O27" s="62"/>
      <c r="P27" s="62"/>
      <c r="Q27" s="62"/>
      <c r="R27" s="62"/>
      <c r="S27" s="62"/>
      <c r="T27" s="62"/>
    </row>
    <row r="28" spans="1:20" ht="13.5" hidden="1" customHeight="1">
      <c r="A28" s="843">
        <v>6</v>
      </c>
      <c r="B28" s="879" t="str">
        <f>IF(判定!AY11&gt;=1,判定!AY11,"-")</f>
        <v>-</v>
      </c>
      <c r="C28" s="856" t="str">
        <f>IF(B28&gt;=1,IFERROR(INDEX($F$153:$G$158,MATCH(判定!AH11,$F$153:$F$158,0),2),"-"),"-")</f>
        <v>-</v>
      </c>
      <c r="D28" s="138" t="str">
        <f>IF(D17="","",D17)</f>
        <v/>
      </c>
      <c r="E28" s="60" t="str">
        <f>IF(D28="","",IF(N28="○",M$5,IF(P28="○",O$5,IF(R28="○",Q$5,IF(T28="○",S$5,"ERROR")))))</f>
        <v/>
      </c>
      <c r="F28" s="59" t="str">
        <f>IF(D28="","",IF(N28="○",M28,IF(P28="○",O28,IF(R28="○",Q28,IF(T28="○",S28,"ERROR")))))</f>
        <v/>
      </c>
      <c r="G28" s="139" t="str">
        <f>IF($B28="","",IF($E28="正規職員","-",IF(AND(EXACT(B17,B28),EXACT(D17,D28),EXACT(E17,E28)),G17,"賃金単価を記載")))</f>
        <v/>
      </c>
      <c r="H28" s="59" t="str">
        <f t="shared" ref="H28:H35" si="42">IF($D28="","",IF($E28="正規職員","-",F28*G28))</f>
        <v/>
      </c>
      <c r="I28" s="59">
        <f t="shared" si="18"/>
        <v>271333.33333333401</v>
      </c>
      <c r="J28" s="59" t="str">
        <f t="shared" ref="J28" si="43">IFERROR(IF($C28="-","",IF(D28="",0,IF(E28="正規職員",I28,MIN(H28:I28)))),0)</f>
        <v/>
      </c>
      <c r="K28" s="61" t="str">
        <f>IF(D28="","",IF(OR(COUNTIFS(D28,"*要配慮*")=1,COUNTIFS(D28,"*医療的ケア*")=1),"○","エラー"))</f>
        <v/>
      </c>
      <c r="L28" s="62">
        <f>L17+1</f>
        <v>5</v>
      </c>
      <c r="M28" s="62" t="e">
        <f>VLOOKUP($D28&amp;M$5,'②-2勤務時間数入力'!$D$7:$Q$106,$L28,FALSE)</f>
        <v>#N/A</v>
      </c>
      <c r="N28" s="62" t="str">
        <f t="shared" ref="N28:N37" si="44">IF(ISERROR(M28),"×",IF(M28="-","×","○"))</f>
        <v>×</v>
      </c>
      <c r="O28" s="62" t="e">
        <f>VLOOKUP($D28&amp;O$5,'②-2勤務時間数入力'!$D$7:$Q$106,$L28,FALSE)</f>
        <v>#N/A</v>
      </c>
      <c r="P28" s="62" t="str">
        <f t="shared" ref="P28:P37" si="45">IF(ISERROR(O28),"×",IF(O28="-","×","○"))</f>
        <v>×</v>
      </c>
      <c r="Q28" s="62" t="e">
        <f>VLOOKUP($D28&amp;Q$5,'②-2勤務時間数入力'!$D$7:$Q$106,$L28,FALSE)</f>
        <v>#N/A</v>
      </c>
      <c r="R28" s="62" t="str">
        <f t="shared" ref="R28:R37" si="46">IF(ISERROR(Q28),"×",IF(Q28="-","×","○"))</f>
        <v>×</v>
      </c>
      <c r="S28" s="62" t="e">
        <f>VLOOKUP($D28&amp;S$5,'②-2勤務時間数入力'!$D$7:$Q$106,$L28,FALSE)</f>
        <v>#N/A</v>
      </c>
      <c r="T28" s="62" t="str">
        <f t="shared" ref="T28:T37" si="47">IF(ISERROR(S28),"×",IF(S28="-","×","○"))</f>
        <v>×</v>
      </c>
    </row>
    <row r="29" spans="1:20" ht="13.5" hidden="1" customHeight="1">
      <c r="A29" s="854"/>
      <c r="B29" s="879"/>
      <c r="C29" s="858"/>
      <c r="D29" s="138" t="str">
        <f>IF(D18="","",D18)</f>
        <v/>
      </c>
      <c r="E29" s="60" t="str">
        <f t="shared" ref="E29:E33" si="48">IF(D29="","",IF(N29="○",M$5,IF(P29="○",O$5,IF(R29="○",Q$5,IF(T29="○",S$5,"ERROR")))))</f>
        <v/>
      </c>
      <c r="F29" s="59" t="str">
        <f t="shared" ref="F29:F33" si="49">IF(D29="","",IF(N29="○",M29,IF(P29="○",O29,IF(R29="○",Q29,IF(T29="○",S29,"ERROR")))))</f>
        <v/>
      </c>
      <c r="G29" s="139" t="str">
        <f>IF($B25="","",IF($E29="正規職員","-",IF(AND(EXACT(B14,B25),EXACT(D15,D29),EXACT(E15,E29)),G15,"賃金単価を記載")))</f>
        <v/>
      </c>
      <c r="H29" s="59" t="str">
        <f t="shared" ref="H29:H32" si="50">IF($D29="","",IF($E29="正規職員","-",F29*G29))</f>
        <v/>
      </c>
      <c r="I29" s="59">
        <f t="shared" si="18"/>
        <v>271333.33333333401</v>
      </c>
      <c r="J29" s="59" t="str">
        <f t="shared" ref="J29" si="51">IFERROR(IF($C28="-","",IF(D29="","",IF(E29="正規職員",I29-J28,MIN(MIN(H29:I29),I28-J28)))),0)</f>
        <v/>
      </c>
      <c r="K29" s="61" t="str">
        <f t="shared" ref="K29:K33" si="52">IF(D29="","",IF(OR(COUNTIFS(D29,"*要配慮*")=1,COUNTIFS(D29,"*医療的ケア*")=1),"○","エラー"))</f>
        <v/>
      </c>
      <c r="L29" s="62">
        <f>L28</f>
        <v>5</v>
      </c>
      <c r="M29" s="62" t="e">
        <f>VLOOKUP($D29&amp;M$5,'②-2勤務時間数入力'!$D$7:$Q$106,$L29,FALSE)</f>
        <v>#N/A</v>
      </c>
      <c r="N29" s="62" t="str">
        <f t="shared" si="44"/>
        <v>×</v>
      </c>
      <c r="O29" s="62" t="e">
        <f>VLOOKUP($D29&amp;O$5,'②-2勤務時間数入力'!$D$7:$Q$106,$L29,FALSE)</f>
        <v>#N/A</v>
      </c>
      <c r="P29" s="62" t="str">
        <f t="shared" si="45"/>
        <v>×</v>
      </c>
      <c r="Q29" s="62" t="e">
        <f>VLOOKUP($D29&amp;Q$5,'②-2勤務時間数入力'!$D$7:$Q$106,$L29,FALSE)</f>
        <v>#N/A</v>
      </c>
      <c r="R29" s="62" t="str">
        <f t="shared" si="46"/>
        <v>×</v>
      </c>
      <c r="S29" s="62" t="e">
        <f>VLOOKUP($D29&amp;S$5,'②-2勤務時間数入力'!$D$7:$Q$106,$L29,FALSE)</f>
        <v>#N/A</v>
      </c>
      <c r="T29" s="62" t="str">
        <f t="shared" si="47"/>
        <v>×</v>
      </c>
    </row>
    <row r="30" spans="1:20" ht="13.5" hidden="1" customHeight="1">
      <c r="A30" s="854"/>
      <c r="B30" s="879"/>
      <c r="C30" s="856" t="str">
        <f>IF(B28&gt;=1,IFERROR(INDEX($F$153:$G$158,MATCH(判定!AI11,$F$153:$F$158,0),2),"-"),"-")</f>
        <v>-</v>
      </c>
      <c r="D30" s="138" t="str">
        <f>IF(D19="","",D19)</f>
        <v/>
      </c>
      <c r="E30" s="60" t="str">
        <f t="shared" ref="E30:E31" si="53">IF(D30="","",IF(N30="○",M$5,IF(P30="○",O$5,IF(R30="○",Q$5,IF(T30="○",S$5,"ERROR")))))</f>
        <v/>
      </c>
      <c r="F30" s="59" t="str">
        <f t="shared" ref="F30:F31" si="54">IF(D30="","",IF(N30="○",M30,IF(P30="○",O30,IF(R30="○",Q30,IF(T30="○",S30,"ERROR")))))</f>
        <v/>
      </c>
      <c r="G30" s="139" t="str">
        <f>IF($B23="","",IF($E30="正規職員","-",IF(AND(EXACT(B12,B23),EXACT(D19,D30),EXACT(E19,E30)),G19,"賃金単価を記載")))</f>
        <v/>
      </c>
      <c r="H30" s="59" t="str">
        <f t="shared" ref="H30" si="55">IF($D30="","",IF($E30="正規職員","-",F30*G30))</f>
        <v/>
      </c>
      <c r="I30" s="59">
        <f t="shared" si="18"/>
        <v>271333.33333333401</v>
      </c>
      <c r="J30" s="59" t="str">
        <f t="shared" ref="J30" si="56">IFERROR(IF($C30="-","",IF(D30="",0,IF(E30="正規職員",I30,MIN(H30:I30)))),0)</f>
        <v/>
      </c>
      <c r="K30" s="61" t="str">
        <f t="shared" ref="K30:K31" si="57">IF(D30="","",IF(OR(COUNTIFS(D30,"*要配慮*")=1,COUNTIFS(D30,"*医療的ケア*")=1),"○","エラー"))</f>
        <v/>
      </c>
      <c r="L30" s="62">
        <f t="shared" ref="L30:L37" si="58">L29</f>
        <v>5</v>
      </c>
      <c r="M30" s="62" t="e">
        <f>VLOOKUP($D30&amp;M$5,'②-2勤務時間数入力'!$D$7:$Q$106,$L30,FALSE)</f>
        <v>#N/A</v>
      </c>
      <c r="N30" s="62" t="str">
        <f t="shared" si="44"/>
        <v>×</v>
      </c>
      <c r="O30" s="62" t="e">
        <f>VLOOKUP($D30&amp;O$5,'②-2勤務時間数入力'!$D$7:$Q$106,$L30,FALSE)</f>
        <v>#N/A</v>
      </c>
      <c r="P30" s="62" t="str">
        <f t="shared" si="45"/>
        <v>×</v>
      </c>
      <c r="Q30" s="62" t="e">
        <f>VLOOKUP($D30&amp;Q$5,'②-2勤務時間数入力'!$D$7:$Q$106,$L30,FALSE)</f>
        <v>#N/A</v>
      </c>
      <c r="R30" s="62" t="str">
        <f t="shared" si="46"/>
        <v>×</v>
      </c>
      <c r="S30" s="62" t="e">
        <f>VLOOKUP($D30&amp;S$5,'②-2勤務時間数入力'!$D$7:$Q$106,$L30,FALSE)</f>
        <v>#N/A</v>
      </c>
      <c r="T30" s="62" t="str">
        <f t="shared" si="47"/>
        <v>×</v>
      </c>
    </row>
    <row r="31" spans="1:20" ht="13.5" hidden="1" customHeight="1">
      <c r="A31" s="854"/>
      <c r="B31" s="879"/>
      <c r="C31" s="858"/>
      <c r="D31" s="138" t="str">
        <f t="shared" ref="D31:D37" si="59">IF(D20="","",D20)</f>
        <v/>
      </c>
      <c r="E31" s="60" t="str">
        <f t="shared" si="53"/>
        <v/>
      </c>
      <c r="F31" s="59" t="str">
        <f t="shared" si="54"/>
        <v/>
      </c>
      <c r="G31" s="139" t="str">
        <f>IF($B23="","",IF($E31="正規職員","-",IF(AND(EXACT(B12,B23),EXACT(D20,D31),EXACT(E20,E31)),G20,"賃金単価を記載")))</f>
        <v/>
      </c>
      <c r="H31" s="59" t="str">
        <f>IF($D31="","",IF($E31="正規職員","-",F31*G31))</f>
        <v/>
      </c>
      <c r="I31" s="59">
        <f t="shared" si="18"/>
        <v>271333.33333333401</v>
      </c>
      <c r="J31" s="59" t="str">
        <f t="shared" ref="J31" si="60">IFERROR(IF($C30="-","",IF(D31="","",IF(E31="正規職員",I31-J30,MIN(MIN(H31:I31),I30-J30)))),0)</f>
        <v/>
      </c>
      <c r="K31" s="61" t="str">
        <f t="shared" si="57"/>
        <v/>
      </c>
      <c r="L31" s="62">
        <f t="shared" si="58"/>
        <v>5</v>
      </c>
      <c r="M31" s="62" t="e">
        <f>VLOOKUP($D31&amp;M$5,'②-2勤務時間数入力'!$D$7:$Q$106,$L31,FALSE)</f>
        <v>#N/A</v>
      </c>
      <c r="N31" s="62" t="str">
        <f t="shared" si="44"/>
        <v>×</v>
      </c>
      <c r="O31" s="62" t="e">
        <f>VLOOKUP($D31&amp;O$5,'②-2勤務時間数入力'!$D$7:$Q$106,$L31,FALSE)</f>
        <v>#N/A</v>
      </c>
      <c r="P31" s="62" t="str">
        <f t="shared" si="45"/>
        <v>×</v>
      </c>
      <c r="Q31" s="62" t="e">
        <f>VLOOKUP($D31&amp;Q$5,'②-2勤務時間数入力'!$D$7:$Q$106,$L31,FALSE)</f>
        <v>#N/A</v>
      </c>
      <c r="R31" s="62" t="str">
        <f t="shared" si="46"/>
        <v>×</v>
      </c>
      <c r="S31" s="62" t="e">
        <f>VLOOKUP($D31&amp;S$5,'②-2勤務時間数入力'!$D$7:$Q$106,$L31,FALSE)</f>
        <v>#N/A</v>
      </c>
      <c r="T31" s="62" t="str">
        <f t="shared" si="47"/>
        <v>×</v>
      </c>
    </row>
    <row r="32" spans="1:20" ht="13.5" hidden="1" customHeight="1">
      <c r="A32" s="854"/>
      <c r="B32" s="879"/>
      <c r="C32" s="856" t="str">
        <f>IF(B28&gt;=1,IFERROR(INDEX($F$153:$G$158,MATCH(判定!AJ11,$F$153:$F$158,0),2),"-"),"-")</f>
        <v>-</v>
      </c>
      <c r="D32" s="138" t="str">
        <f t="shared" si="59"/>
        <v/>
      </c>
      <c r="E32" s="60" t="str">
        <f t="shared" si="48"/>
        <v/>
      </c>
      <c r="F32" s="59" t="str">
        <f t="shared" si="49"/>
        <v/>
      </c>
      <c r="G32" s="139" t="str">
        <f>IF($B25="","",IF($E32="正規職員","-",IF(AND(EXACT(B14,B25),EXACT(D21,D32),EXACT(E21,E32)),G21,"賃金単価を記載")))</f>
        <v/>
      </c>
      <c r="H32" s="59" t="str">
        <f t="shared" si="50"/>
        <v/>
      </c>
      <c r="I32" s="59">
        <f t="shared" si="18"/>
        <v>271333.33333333401</v>
      </c>
      <c r="J32" s="59" t="str">
        <f t="shared" ref="J32" si="61">IFERROR(IF($C32="-","",IF(D32="",0,IF(E32="正規職員",I32,MIN(H32:I32)))),0)</f>
        <v/>
      </c>
      <c r="K32" s="61" t="str">
        <f t="shared" si="52"/>
        <v/>
      </c>
      <c r="L32" s="62">
        <f t="shared" si="58"/>
        <v>5</v>
      </c>
      <c r="M32" s="62" t="e">
        <f>VLOOKUP($D32&amp;M$5,'②-2勤務時間数入力'!$D$7:$Q$106,$L32,FALSE)</f>
        <v>#N/A</v>
      </c>
      <c r="N32" s="62" t="str">
        <f t="shared" si="44"/>
        <v>×</v>
      </c>
      <c r="O32" s="62" t="e">
        <f>VLOOKUP($D32&amp;O$5,'②-2勤務時間数入力'!$D$7:$Q$106,$L32,FALSE)</f>
        <v>#N/A</v>
      </c>
      <c r="P32" s="62" t="str">
        <f t="shared" si="45"/>
        <v>×</v>
      </c>
      <c r="Q32" s="62" t="e">
        <f>VLOOKUP($D32&amp;Q$5,'②-2勤務時間数入力'!$D$7:$Q$106,$L32,FALSE)</f>
        <v>#N/A</v>
      </c>
      <c r="R32" s="62" t="str">
        <f t="shared" si="46"/>
        <v>×</v>
      </c>
      <c r="S32" s="62" t="e">
        <f>VLOOKUP($D32&amp;S$5,'②-2勤務時間数入力'!$D$7:$Q$106,$L32,FALSE)</f>
        <v>#N/A</v>
      </c>
      <c r="T32" s="62" t="str">
        <f t="shared" si="47"/>
        <v>×</v>
      </c>
    </row>
    <row r="33" spans="1:20" ht="13.5" hidden="1" customHeight="1">
      <c r="A33" s="854"/>
      <c r="B33" s="879"/>
      <c r="C33" s="858"/>
      <c r="D33" s="138" t="str">
        <f t="shared" si="59"/>
        <v/>
      </c>
      <c r="E33" s="60" t="str">
        <f t="shared" si="48"/>
        <v/>
      </c>
      <c r="F33" s="59" t="str">
        <f t="shared" si="49"/>
        <v/>
      </c>
      <c r="G33" s="139" t="str">
        <f>IF($B25="","",IF($E33="正規職員","-",IF(AND(EXACT(B14,B25),EXACT(D22,D33),EXACT(E22,E33)),G22,"賃金単価を記載")))</f>
        <v/>
      </c>
      <c r="H33" s="59" t="str">
        <f>IF($D33="","",IF($E33="正規職員","-",F33*G33))</f>
        <v/>
      </c>
      <c r="I33" s="59">
        <f t="shared" si="18"/>
        <v>271333.33333333401</v>
      </c>
      <c r="J33" s="59" t="str">
        <f t="shared" ref="J33" si="62">IFERROR(IF($C32="-","",IF(D33="","",IF(E33="正規職員",I33-J32,MIN(MIN(H33:I33),I32-J32)))),0)</f>
        <v/>
      </c>
      <c r="K33" s="61" t="str">
        <f t="shared" si="52"/>
        <v/>
      </c>
      <c r="L33" s="62">
        <f t="shared" si="58"/>
        <v>5</v>
      </c>
      <c r="M33" s="62" t="e">
        <f>VLOOKUP($D33&amp;M$5,'②-2勤務時間数入力'!$D$7:$Q$106,$L33,FALSE)</f>
        <v>#N/A</v>
      </c>
      <c r="N33" s="62" t="str">
        <f t="shared" si="44"/>
        <v>×</v>
      </c>
      <c r="O33" s="62" t="e">
        <f>VLOOKUP($D33&amp;O$5,'②-2勤務時間数入力'!$D$7:$Q$106,$L33,FALSE)</f>
        <v>#N/A</v>
      </c>
      <c r="P33" s="62" t="str">
        <f t="shared" si="45"/>
        <v>×</v>
      </c>
      <c r="Q33" s="62" t="e">
        <f>VLOOKUP($D33&amp;Q$5,'②-2勤務時間数入力'!$D$7:$Q$106,$L33,FALSE)</f>
        <v>#N/A</v>
      </c>
      <c r="R33" s="62" t="str">
        <f t="shared" si="46"/>
        <v>×</v>
      </c>
      <c r="S33" s="62" t="e">
        <f>VLOOKUP($D33&amp;S$5,'②-2勤務時間数入力'!$D$7:$Q$106,$L33,FALSE)</f>
        <v>#N/A</v>
      </c>
      <c r="T33" s="62" t="str">
        <f t="shared" si="47"/>
        <v>×</v>
      </c>
    </row>
    <row r="34" spans="1:20" ht="13.5" hidden="1" customHeight="1">
      <c r="A34" s="854"/>
      <c r="B34" s="879"/>
      <c r="C34" s="856" t="str">
        <f>IF(B28&gt;=1,IFERROR(INDEX($F$153:$G$158,MATCH(判定!AK11,$F$153:$F$158,0),2),"-"),"-")</f>
        <v>-</v>
      </c>
      <c r="D34" s="138" t="str">
        <f t="shared" si="59"/>
        <v/>
      </c>
      <c r="E34" s="60" t="str">
        <f t="shared" ref="E34:E37" si="63">IF(D34="","",IF(N34="○",M$5,IF(P34="○",O$5,IF(R34="○",Q$5,IF(T34="○",S$5,"ERROR")))))</f>
        <v/>
      </c>
      <c r="F34" s="59" t="str">
        <f t="shared" ref="F34:F37" si="64">IF(D34="","",IF(N34="○",M34,IF(P34="○",O34,IF(R34="○",Q34,IF(T34="○",S34,"ERROR")))))</f>
        <v/>
      </c>
      <c r="G34" s="139" t="str">
        <f>IF($B28="","",IF($E34="正規職員","-",IF(AND(EXACT(B17,B28),EXACT(D18,D34),EXACT(E18,E34)),G18,"賃金単価を記載")))</f>
        <v/>
      </c>
      <c r="H34" s="59" t="str">
        <f t="shared" si="42"/>
        <v/>
      </c>
      <c r="I34" s="59">
        <f t="shared" si="18"/>
        <v>271333.33333333401</v>
      </c>
      <c r="J34" s="59" t="str">
        <f t="shared" ref="J34" si="65">IFERROR(IF($C34="-","",IF(D34="",0,IF(E34="正規職員",I34,MIN(H34:I34)))),0)</f>
        <v/>
      </c>
      <c r="K34" s="61" t="str">
        <f t="shared" ref="K34:K37" si="66">IF(D34="","",IF(OR(COUNTIFS(D34,"*要配慮*")=1,COUNTIFS(D34,"*医療的ケア*")=1),"○","エラー"))</f>
        <v/>
      </c>
      <c r="L34" s="62">
        <f t="shared" si="58"/>
        <v>5</v>
      </c>
      <c r="M34" s="62" t="e">
        <f>VLOOKUP($D34&amp;M$5,'②-2勤務時間数入力'!$D$7:$Q$106,$L34,FALSE)</f>
        <v>#N/A</v>
      </c>
      <c r="N34" s="62" t="str">
        <f t="shared" si="44"/>
        <v>×</v>
      </c>
      <c r="O34" s="62" t="e">
        <f>VLOOKUP($D34&amp;O$5,'②-2勤務時間数入力'!$D$7:$Q$106,$L34,FALSE)</f>
        <v>#N/A</v>
      </c>
      <c r="P34" s="62" t="str">
        <f t="shared" si="45"/>
        <v>×</v>
      </c>
      <c r="Q34" s="62" t="e">
        <f>VLOOKUP($D34&amp;Q$5,'②-2勤務時間数入力'!$D$7:$Q$106,$L34,FALSE)</f>
        <v>#N/A</v>
      </c>
      <c r="R34" s="62" t="str">
        <f t="shared" si="46"/>
        <v>×</v>
      </c>
      <c r="S34" s="62" t="e">
        <f>VLOOKUP($D34&amp;S$5,'②-2勤務時間数入力'!$D$7:$Q$106,$L34,FALSE)</f>
        <v>#N/A</v>
      </c>
      <c r="T34" s="62" t="str">
        <f t="shared" si="47"/>
        <v>×</v>
      </c>
    </row>
    <row r="35" spans="1:20" ht="13.5" hidden="1" customHeight="1">
      <c r="A35" s="854"/>
      <c r="B35" s="879"/>
      <c r="C35" s="858"/>
      <c r="D35" s="138" t="str">
        <f>IF(D24="","",D24)</f>
        <v/>
      </c>
      <c r="E35" s="60" t="str">
        <f t="shared" si="63"/>
        <v/>
      </c>
      <c r="F35" s="59" t="str">
        <f t="shared" si="64"/>
        <v/>
      </c>
      <c r="G35" s="139" t="str">
        <f>IF($B28="","",IF($E35="正規職員","-",IF(AND(EXACT(B17,B28),EXACT(D24,D35),EXACT(E24,E35)),G24,"賃金単価を記載")))</f>
        <v/>
      </c>
      <c r="H35" s="59" t="str">
        <f t="shared" si="42"/>
        <v/>
      </c>
      <c r="I35" s="59">
        <f t="shared" si="18"/>
        <v>271333.33333333401</v>
      </c>
      <c r="J35" s="59" t="str">
        <f t="shared" ref="J35" si="67">IFERROR(IF($C34="-","",IF(D35="","",IF(E35="正規職員",I35-J34,MIN(MIN(H35:I35),I34-J34)))),0)</f>
        <v/>
      </c>
      <c r="K35" s="61" t="str">
        <f t="shared" si="66"/>
        <v/>
      </c>
      <c r="L35" s="62">
        <f t="shared" si="58"/>
        <v>5</v>
      </c>
      <c r="M35" s="62" t="e">
        <f>VLOOKUP($D35&amp;M$5,'②-2勤務時間数入力'!$D$7:$Q$106,$L35,FALSE)</f>
        <v>#N/A</v>
      </c>
      <c r="N35" s="62" t="str">
        <f t="shared" si="44"/>
        <v>×</v>
      </c>
      <c r="O35" s="62" t="e">
        <f>VLOOKUP($D35&amp;O$5,'②-2勤務時間数入力'!$D$7:$Q$106,$L35,FALSE)</f>
        <v>#N/A</v>
      </c>
      <c r="P35" s="62" t="str">
        <f t="shared" si="45"/>
        <v>×</v>
      </c>
      <c r="Q35" s="62" t="e">
        <f>VLOOKUP($D35&amp;Q$5,'②-2勤務時間数入力'!$D$7:$Q$106,$L35,FALSE)</f>
        <v>#N/A</v>
      </c>
      <c r="R35" s="62" t="str">
        <f t="shared" si="46"/>
        <v>×</v>
      </c>
      <c r="S35" s="62" t="e">
        <f>VLOOKUP($D35&amp;S$5,'②-2勤務時間数入力'!$D$7:$Q$106,$L35,FALSE)</f>
        <v>#N/A</v>
      </c>
      <c r="T35" s="62" t="str">
        <f t="shared" si="47"/>
        <v>×</v>
      </c>
    </row>
    <row r="36" spans="1:20" ht="13.5" hidden="1" customHeight="1">
      <c r="A36" s="854"/>
      <c r="B36" s="879"/>
      <c r="C36" s="856" t="str">
        <f>IF(B28&gt;=1,IFERROR(INDEX($F$153:$G$158,MATCH(判定!AL11,$F$153:$F$158,0),2),"-"),"-")</f>
        <v>-</v>
      </c>
      <c r="D36" s="138" t="str">
        <f t="shared" si="59"/>
        <v/>
      </c>
      <c r="E36" s="60" t="str">
        <f t="shared" si="63"/>
        <v/>
      </c>
      <c r="F36" s="59" t="str">
        <f t="shared" si="64"/>
        <v/>
      </c>
      <c r="G36" s="139" t="str">
        <f>IF($B28="","",IF($E36="正規職員","-",IF(AND(EXACT(B17,B28),EXACT(D25,D36),EXACT(E25,E36)),G25,"賃金単価を記載")))</f>
        <v/>
      </c>
      <c r="H36" s="59" t="str">
        <f>IF($D36="","",IF($E36="正規職員","-",F36*G36))</f>
        <v/>
      </c>
      <c r="I36" s="59">
        <f t="shared" si="18"/>
        <v>271333.33333333401</v>
      </c>
      <c r="J36" s="59" t="str">
        <f t="shared" ref="J36" si="68">IFERROR(IF($C36="-","",IF(D36="",0,IF(E36="正規職員",I36,MIN(H36:I36)))),0)</f>
        <v/>
      </c>
      <c r="K36" s="61" t="str">
        <f t="shared" si="66"/>
        <v/>
      </c>
      <c r="L36" s="62">
        <f t="shared" si="58"/>
        <v>5</v>
      </c>
      <c r="M36" s="62" t="e">
        <f>VLOOKUP($D36&amp;M$5,'②-2勤務時間数入力'!$D$7:$Q$106,$L36,FALSE)</f>
        <v>#N/A</v>
      </c>
      <c r="N36" s="62" t="str">
        <f t="shared" si="44"/>
        <v>×</v>
      </c>
      <c r="O36" s="62" t="e">
        <f>VLOOKUP($D36&amp;O$5,'②-2勤務時間数入力'!$D$7:$Q$106,$L36,FALSE)</f>
        <v>#N/A</v>
      </c>
      <c r="P36" s="62" t="str">
        <f t="shared" si="45"/>
        <v>×</v>
      </c>
      <c r="Q36" s="62" t="e">
        <f>VLOOKUP($D36&amp;Q$5,'②-2勤務時間数入力'!$D$7:$Q$106,$L36,FALSE)</f>
        <v>#N/A</v>
      </c>
      <c r="R36" s="62" t="str">
        <f t="shared" si="46"/>
        <v>×</v>
      </c>
      <c r="S36" s="62" t="e">
        <f>VLOOKUP($D36&amp;S$5,'②-2勤務時間数入力'!$D$7:$Q$106,$L36,FALSE)</f>
        <v>#N/A</v>
      </c>
      <c r="T36" s="62" t="str">
        <f t="shared" si="47"/>
        <v>×</v>
      </c>
    </row>
    <row r="37" spans="1:20" ht="13.5" hidden="1" customHeight="1">
      <c r="A37" s="878"/>
      <c r="B37" s="879"/>
      <c r="C37" s="858"/>
      <c r="D37" s="138" t="str">
        <f t="shared" si="59"/>
        <v/>
      </c>
      <c r="E37" s="60" t="str">
        <f t="shared" si="63"/>
        <v/>
      </c>
      <c r="F37" s="59" t="str">
        <f t="shared" si="64"/>
        <v/>
      </c>
      <c r="G37" s="139" t="str">
        <f>IF($B28="","",IF($E37="正規職員","-",IF(AND(EXACT(B17,B28),EXACT(D26,D37),EXACT(E26,E37)),G26,"賃金単価を記載")))</f>
        <v/>
      </c>
      <c r="H37" s="59" t="str">
        <f>IF($D37="","",IF($E37="正規職員","-",F37*G37))</f>
        <v/>
      </c>
      <c r="I37" s="59">
        <f t="shared" si="18"/>
        <v>271333.33333333401</v>
      </c>
      <c r="J37" s="59" t="str">
        <f t="shared" ref="J37" si="69">IFERROR(IF($C36="-","",IF(D37="","",IF(E37="正規職員",I37-J36,MIN(MIN(H37:I37),I36-J36)))),0)</f>
        <v/>
      </c>
      <c r="K37" s="61" t="str">
        <f t="shared" si="66"/>
        <v/>
      </c>
      <c r="L37" s="62">
        <f t="shared" si="58"/>
        <v>5</v>
      </c>
      <c r="M37" s="62" t="e">
        <f>VLOOKUP($D37&amp;M$5,'②-2勤務時間数入力'!$D$7:$Q$106,$L37,FALSE)</f>
        <v>#N/A</v>
      </c>
      <c r="N37" s="62" t="str">
        <f t="shared" si="44"/>
        <v>×</v>
      </c>
      <c r="O37" s="62" t="e">
        <f>VLOOKUP($D37&amp;O$5,'②-2勤務時間数入力'!$D$7:$Q$106,$L37,FALSE)</f>
        <v>#N/A</v>
      </c>
      <c r="P37" s="62" t="str">
        <f t="shared" si="45"/>
        <v>×</v>
      </c>
      <c r="Q37" s="62" t="e">
        <f>VLOOKUP($D37&amp;Q$5,'②-2勤務時間数入力'!$D$7:$Q$106,$L37,FALSE)</f>
        <v>#N/A</v>
      </c>
      <c r="R37" s="62" t="str">
        <f t="shared" si="46"/>
        <v>×</v>
      </c>
      <c r="S37" s="62" t="e">
        <f>VLOOKUP($D37&amp;S$5,'②-2勤務時間数入力'!$D$7:$Q$106,$L37,FALSE)</f>
        <v>#N/A</v>
      </c>
      <c r="T37" s="62" t="str">
        <f t="shared" si="47"/>
        <v>×</v>
      </c>
    </row>
    <row r="38" spans="1:20" ht="13.5" hidden="1" customHeight="1">
      <c r="A38" s="844"/>
      <c r="B38" s="856"/>
      <c r="C38" s="284"/>
      <c r="D38" s="1" t="s">
        <v>275</v>
      </c>
      <c r="E38" s="60" t="s">
        <v>273</v>
      </c>
      <c r="F38" s="67"/>
      <c r="G38" s="60" t="s">
        <v>273</v>
      </c>
      <c r="H38" s="60" t="s">
        <v>273</v>
      </c>
      <c r="I38" s="60" t="s">
        <v>273</v>
      </c>
      <c r="J38" s="59" t="str">
        <f t="shared" ref="J38" si="70">IFERROR(IF(J28="","",MIN(SUM(J28:J37),(B28*I28))),0)</f>
        <v/>
      </c>
      <c r="K38" s="61"/>
      <c r="L38" s="62"/>
      <c r="M38" s="62"/>
      <c r="N38" s="62"/>
      <c r="O38" s="62"/>
      <c r="P38" s="62"/>
      <c r="Q38" s="62"/>
      <c r="R38" s="62"/>
      <c r="S38" s="62"/>
      <c r="T38" s="62"/>
    </row>
    <row r="39" spans="1:20" ht="13.5" hidden="1" customHeight="1">
      <c r="A39" s="843">
        <v>7</v>
      </c>
      <c r="B39" s="879" t="str">
        <f>IF(判定!AY12&gt;=1,判定!AY12,"-")</f>
        <v>-</v>
      </c>
      <c r="C39" s="856" t="str">
        <f>IF(B39&gt;=1,IFERROR(INDEX($F$153:$G$158,MATCH(判定!AH12,$F$153:$F$158,0),2),"-"),"-")</f>
        <v>-</v>
      </c>
      <c r="D39" s="138" t="str">
        <f t="shared" ref="D39" si="71">IF(D28="","",D28)</f>
        <v/>
      </c>
      <c r="E39" s="60" t="str">
        <f>IF(D39="","",IF(N39="○",M$5,IF(P39="○",O$5,IF(R39="○",Q$5,IF(T39="○",S$5,"ERROR")))))</f>
        <v/>
      </c>
      <c r="F39" s="59" t="str">
        <f>IF(D39="","",IF(N39="○",M39,IF(P39="○",O39,IF(R39="○",Q39,IF(T39="○",S39,"ERROR")))))</f>
        <v/>
      </c>
      <c r="G39" s="139" t="str">
        <f>IF($B39="","",IF($E39="正規職員","-",IF(AND(EXACT(B28,B39),EXACT(D28,D39),EXACT(E28,E39)),G28,"賃金単価を記載")))</f>
        <v/>
      </c>
      <c r="H39" s="59" t="str">
        <f t="shared" ref="H39:H46" si="72">IF($D39="","",IF($E39="正規職員","-",F39*G39))</f>
        <v/>
      </c>
      <c r="I39" s="59">
        <f t="shared" si="18"/>
        <v>271333.33333333401</v>
      </c>
      <c r="J39" s="59" t="str">
        <f t="shared" ref="J39" si="73">IFERROR(IF($C39="-","",IF(D39="",0,IF(E39="正規職員",I39,MIN(H39:I39)))),0)</f>
        <v/>
      </c>
      <c r="K39" s="61" t="str">
        <f>IF(D39="","",IF(OR(COUNTIFS(D39,"*要配慮*")=1,COUNTIFS(D39,"*医療的ケア*")=1),"○","エラー"))</f>
        <v/>
      </c>
      <c r="L39" s="62">
        <f t="shared" ref="L39" si="74">L28+1</f>
        <v>6</v>
      </c>
      <c r="M39" s="62" t="e">
        <f>VLOOKUP($D39&amp;M$5,'②-2勤務時間数入力'!$D$7:$Q$106,$L39,FALSE)</f>
        <v>#N/A</v>
      </c>
      <c r="N39" s="62" t="str">
        <f t="shared" ref="N39:N48" si="75">IF(ISERROR(M39),"×",IF(M39="-","×","○"))</f>
        <v>×</v>
      </c>
      <c r="O39" s="62" t="e">
        <f>VLOOKUP($D39&amp;O$5,'②-2勤務時間数入力'!$D$7:$Q$106,$L39,FALSE)</f>
        <v>#N/A</v>
      </c>
      <c r="P39" s="62" t="str">
        <f t="shared" ref="P39:P48" si="76">IF(ISERROR(O39),"×",IF(O39="-","×","○"))</f>
        <v>×</v>
      </c>
      <c r="Q39" s="62" t="e">
        <f>VLOOKUP($D39&amp;Q$5,'②-2勤務時間数入力'!$D$7:$Q$106,$L39,FALSE)</f>
        <v>#N/A</v>
      </c>
      <c r="R39" s="62" t="str">
        <f t="shared" ref="R39:R48" si="77">IF(ISERROR(Q39),"×",IF(Q39="-","×","○"))</f>
        <v>×</v>
      </c>
      <c r="S39" s="62" t="e">
        <f>VLOOKUP($D39&amp;S$5,'②-2勤務時間数入力'!$D$7:$Q$106,$L39,FALSE)</f>
        <v>#N/A</v>
      </c>
      <c r="T39" s="62" t="str">
        <f t="shared" ref="T39:T48" si="78">IF(ISERROR(S39),"×",IF(S39="-","×","○"))</f>
        <v>×</v>
      </c>
    </row>
    <row r="40" spans="1:20" ht="13.5" hidden="1" customHeight="1">
      <c r="A40" s="854"/>
      <c r="B40" s="879"/>
      <c r="C40" s="858"/>
      <c r="D40" s="138" t="str">
        <f>IF(D29="","",D29)</f>
        <v/>
      </c>
      <c r="E40" s="60" t="str">
        <f t="shared" ref="E40:E41" si="79">IF(D40="","",IF(N40="○",M$5,IF(P40="○",O$5,IF(R40="○",Q$5,IF(T40="○",S$5,"ERROR")))))</f>
        <v/>
      </c>
      <c r="F40" s="59" t="str">
        <f t="shared" ref="F40:F41" si="80">IF(D40="","",IF(N40="○",M40,IF(P40="○",O40,IF(R40="○",Q40,IF(T40="○",S40,"ERROR")))))</f>
        <v/>
      </c>
      <c r="G40" s="139" t="str">
        <f>IF($B33="","",IF($E40="正規職員","-",IF(AND(EXACT(B22,B33),EXACT(D29,D40),EXACT(E29,E40)),G29,"賃金単価を記載")))</f>
        <v/>
      </c>
      <c r="H40" s="59" t="str">
        <f t="shared" si="72"/>
        <v/>
      </c>
      <c r="I40" s="59">
        <f t="shared" si="18"/>
        <v>271333.33333333401</v>
      </c>
      <c r="J40" s="59" t="str">
        <f t="shared" ref="J40" si="81">IFERROR(IF($C39="-","",IF(D40="","",IF(E40="正規職員",I40-J39,MIN(MIN(H40:I40),I39-J39)))),0)</f>
        <v/>
      </c>
      <c r="K40" s="61" t="str">
        <f t="shared" ref="K40:K41" si="82">IF(D40="","",IF(OR(COUNTIFS(D40,"*要配慮*")=1,COUNTIFS(D40,"*医療的ケア*")=1),"○","エラー"))</f>
        <v/>
      </c>
      <c r="L40" s="62">
        <f>L39</f>
        <v>6</v>
      </c>
      <c r="M40" s="62" t="e">
        <f>VLOOKUP($D40&amp;M$5,'②-2勤務時間数入力'!$D$7:$Q$106,$L40,FALSE)</f>
        <v>#N/A</v>
      </c>
      <c r="N40" s="62" t="str">
        <f t="shared" si="75"/>
        <v>×</v>
      </c>
      <c r="O40" s="62" t="e">
        <f>VLOOKUP($D40&amp;O$5,'②-2勤務時間数入力'!$D$7:$Q$106,$L40,FALSE)</f>
        <v>#N/A</v>
      </c>
      <c r="P40" s="62" t="str">
        <f t="shared" si="76"/>
        <v>×</v>
      </c>
      <c r="Q40" s="62" t="e">
        <f>VLOOKUP($D40&amp;Q$5,'②-2勤務時間数入力'!$D$7:$Q$106,$L40,FALSE)</f>
        <v>#N/A</v>
      </c>
      <c r="R40" s="62" t="str">
        <f t="shared" si="77"/>
        <v>×</v>
      </c>
      <c r="S40" s="62" t="e">
        <f>VLOOKUP($D40&amp;S$5,'②-2勤務時間数入力'!$D$7:$Q$106,$L40,FALSE)</f>
        <v>#N/A</v>
      </c>
      <c r="T40" s="62" t="str">
        <f t="shared" si="78"/>
        <v>×</v>
      </c>
    </row>
    <row r="41" spans="1:20" ht="13.5" hidden="1" customHeight="1">
      <c r="A41" s="854"/>
      <c r="B41" s="879"/>
      <c r="C41" s="856" t="str">
        <f>IF(B39&gt;=1,IFERROR(INDEX($F$153:$G$158,MATCH(判定!AI12,$F$153:$F$158,0),2),"-"),"-")</f>
        <v>-</v>
      </c>
      <c r="D41" s="138" t="str">
        <f>IF(D30="","",D30)</f>
        <v/>
      </c>
      <c r="E41" s="60" t="str">
        <f t="shared" si="79"/>
        <v/>
      </c>
      <c r="F41" s="59" t="str">
        <f t="shared" si="80"/>
        <v/>
      </c>
      <c r="G41" s="139" t="str">
        <f>IF($B33="","",IF($E41="正規職員","-",IF(AND(EXACT(B22,B33),EXACT(D30,D41),EXACT(E30,E41)),G30,"賃金単価を記載")))</f>
        <v/>
      </c>
      <c r="H41" s="59" t="str">
        <f>IF($D41="","",IF($E41="正規職員","-",F41*G41))</f>
        <v/>
      </c>
      <c r="I41" s="59">
        <f t="shared" si="18"/>
        <v>271333.33333333401</v>
      </c>
      <c r="J41" s="59" t="str">
        <f t="shared" ref="J41" si="83">IFERROR(IF($C41="-","",IF(D41="",0,IF(E41="正規職員",I41,MIN(H41:I41)))),0)</f>
        <v/>
      </c>
      <c r="K41" s="61" t="str">
        <f t="shared" si="82"/>
        <v/>
      </c>
      <c r="L41" s="62">
        <f t="shared" ref="L41:L48" si="84">L40</f>
        <v>6</v>
      </c>
      <c r="M41" s="62" t="e">
        <f>VLOOKUP($D41&amp;M$5,'②-2勤務時間数入力'!$D$7:$Q$106,$L41,FALSE)</f>
        <v>#N/A</v>
      </c>
      <c r="N41" s="62" t="str">
        <f t="shared" si="75"/>
        <v>×</v>
      </c>
      <c r="O41" s="62" t="e">
        <f>VLOOKUP($D41&amp;O$5,'②-2勤務時間数入力'!$D$7:$Q$106,$L41,FALSE)</f>
        <v>#N/A</v>
      </c>
      <c r="P41" s="62" t="str">
        <f t="shared" si="76"/>
        <v>×</v>
      </c>
      <c r="Q41" s="62" t="e">
        <f>VLOOKUP($D41&amp;Q$5,'②-2勤務時間数入力'!$D$7:$Q$106,$L41,FALSE)</f>
        <v>#N/A</v>
      </c>
      <c r="R41" s="62" t="str">
        <f t="shared" si="77"/>
        <v>×</v>
      </c>
      <c r="S41" s="62" t="e">
        <f>VLOOKUP($D41&amp;S$5,'②-2勤務時間数入力'!$D$7:$Q$106,$L41,FALSE)</f>
        <v>#N/A</v>
      </c>
      <c r="T41" s="62" t="str">
        <f t="shared" si="78"/>
        <v>×</v>
      </c>
    </row>
    <row r="42" spans="1:20" ht="13.5" hidden="1" customHeight="1">
      <c r="A42" s="854"/>
      <c r="B42" s="879"/>
      <c r="C42" s="858"/>
      <c r="D42" s="138" t="str">
        <f t="shared" ref="D42:D48" si="85">IF(D31="","",D31)</f>
        <v/>
      </c>
      <c r="E42" s="60" t="str">
        <f t="shared" ref="E42:E44" si="86">IF(D42="","",IF(N42="○",M$5,IF(P42="○",O$5,IF(R42="○",Q$5,IF(T42="○",S$5,"ERROR")))))</f>
        <v/>
      </c>
      <c r="F42" s="59" t="str">
        <f t="shared" ref="F42:F44" si="87">IF(D42="","",IF(N42="○",M42,IF(P42="○",O42,IF(R42="○",Q42,IF(T42="○",S42,"ERROR")))))</f>
        <v/>
      </c>
      <c r="G42" s="139" t="str">
        <f>IF($B36="","",IF($E42="正規職員","-",IF(AND(EXACT(B25,B36),EXACT(D31,D42),EXACT(E31,E42)),G31,"賃金単価を記載")))</f>
        <v/>
      </c>
      <c r="H42" s="59" t="str">
        <f t="shared" ref="H42:H43" si="88">IF($D42="","",IF($E42="正規職員","-",F42*G42))</f>
        <v/>
      </c>
      <c r="I42" s="59">
        <f t="shared" si="18"/>
        <v>271333.33333333401</v>
      </c>
      <c r="J42" s="59" t="str">
        <f t="shared" ref="J42" si="89">IFERROR(IF($C41="-","",IF(D42="","",IF(E42="正規職員",I42-J41,MIN(MIN(H42:I42),I41-J41)))),0)</f>
        <v/>
      </c>
      <c r="K42" s="61" t="str">
        <f t="shared" ref="K42:K44" si="90">IF(D42="","",IF(OR(COUNTIFS(D42,"*要配慮*")=1,COUNTIFS(D42,"*医療的ケア*")=1),"○","エラー"))</f>
        <v/>
      </c>
      <c r="L42" s="62">
        <f t="shared" si="84"/>
        <v>6</v>
      </c>
      <c r="M42" s="62" t="e">
        <f>VLOOKUP($D42&amp;M$5,'②-2勤務時間数入力'!$D$7:$Q$106,$L42,FALSE)</f>
        <v>#N/A</v>
      </c>
      <c r="N42" s="62" t="str">
        <f t="shared" si="75"/>
        <v>×</v>
      </c>
      <c r="O42" s="62" t="e">
        <f>VLOOKUP($D42&amp;O$5,'②-2勤務時間数入力'!$D$7:$Q$106,$L42,FALSE)</f>
        <v>#N/A</v>
      </c>
      <c r="P42" s="62" t="str">
        <f t="shared" si="76"/>
        <v>×</v>
      </c>
      <c r="Q42" s="62" t="e">
        <f>VLOOKUP($D42&amp;Q$5,'②-2勤務時間数入力'!$D$7:$Q$106,$L42,FALSE)</f>
        <v>#N/A</v>
      </c>
      <c r="R42" s="62" t="str">
        <f t="shared" si="77"/>
        <v>×</v>
      </c>
      <c r="S42" s="62" t="e">
        <f>VLOOKUP($D42&amp;S$5,'②-2勤務時間数入力'!$D$7:$Q$106,$L42,FALSE)</f>
        <v>#N/A</v>
      </c>
      <c r="T42" s="62" t="str">
        <f t="shared" si="78"/>
        <v>×</v>
      </c>
    </row>
    <row r="43" spans="1:20" ht="13.5" hidden="1" customHeight="1">
      <c r="A43" s="854"/>
      <c r="B43" s="879"/>
      <c r="C43" s="856" t="str">
        <f>IF(B39&gt;=1,IFERROR(INDEX($F$153:$G$158,MATCH(判定!AJ12,$F$153:$F$158,0),2),"-"),"-")</f>
        <v>-</v>
      </c>
      <c r="D43" s="138" t="str">
        <f t="shared" si="85"/>
        <v/>
      </c>
      <c r="E43" s="60" t="str">
        <f t="shared" si="86"/>
        <v/>
      </c>
      <c r="F43" s="59" t="str">
        <f t="shared" si="87"/>
        <v/>
      </c>
      <c r="G43" s="139" t="str">
        <f>IF($B36="","",IF($E43="正規職員","-",IF(AND(EXACT(B25,B36),EXACT(D32,D43),EXACT(E32,E43)),G32,"賃金単価を記載")))</f>
        <v/>
      </c>
      <c r="H43" s="59" t="str">
        <f t="shared" si="88"/>
        <v/>
      </c>
      <c r="I43" s="59">
        <f t="shared" si="18"/>
        <v>271333.33333333401</v>
      </c>
      <c r="J43" s="59" t="str">
        <f t="shared" ref="J43" si="91">IFERROR(IF($C43="-","",IF(D43="",0,IF(E43="正規職員",I43,MIN(H43:I43)))),0)</f>
        <v/>
      </c>
      <c r="K43" s="61" t="str">
        <f t="shared" si="90"/>
        <v/>
      </c>
      <c r="L43" s="62">
        <f t="shared" si="84"/>
        <v>6</v>
      </c>
      <c r="M43" s="62" t="e">
        <f>VLOOKUP($D43&amp;M$5,'②-2勤務時間数入力'!$D$7:$Q$106,$L43,FALSE)</f>
        <v>#N/A</v>
      </c>
      <c r="N43" s="62" t="str">
        <f t="shared" si="75"/>
        <v>×</v>
      </c>
      <c r="O43" s="62" t="e">
        <f>VLOOKUP($D43&amp;O$5,'②-2勤務時間数入力'!$D$7:$Q$106,$L43,FALSE)</f>
        <v>#N/A</v>
      </c>
      <c r="P43" s="62" t="str">
        <f t="shared" si="76"/>
        <v>×</v>
      </c>
      <c r="Q43" s="62" t="e">
        <f>VLOOKUP($D43&amp;Q$5,'②-2勤務時間数入力'!$D$7:$Q$106,$L43,FALSE)</f>
        <v>#N/A</v>
      </c>
      <c r="R43" s="62" t="str">
        <f t="shared" si="77"/>
        <v>×</v>
      </c>
      <c r="S43" s="62" t="e">
        <f>VLOOKUP($D43&amp;S$5,'②-2勤務時間数入力'!$D$7:$Q$106,$L43,FALSE)</f>
        <v>#N/A</v>
      </c>
      <c r="T43" s="62" t="str">
        <f t="shared" si="78"/>
        <v>×</v>
      </c>
    </row>
    <row r="44" spans="1:20" ht="13.5" hidden="1" customHeight="1">
      <c r="A44" s="854"/>
      <c r="B44" s="879"/>
      <c r="C44" s="858"/>
      <c r="D44" s="138" t="str">
        <f t="shared" si="85"/>
        <v/>
      </c>
      <c r="E44" s="60" t="str">
        <f t="shared" si="86"/>
        <v/>
      </c>
      <c r="F44" s="59" t="str">
        <f t="shared" si="87"/>
        <v/>
      </c>
      <c r="G44" s="139" t="str">
        <f>IF($B36="","",IF($E44="正規職員","-",IF(AND(EXACT(B25,B36),EXACT(D33,D44),EXACT(E33,E44)),G33,"賃金単価を記載")))</f>
        <v/>
      </c>
      <c r="H44" s="59" t="str">
        <f>IF($D44="","",IF($E44="正規職員","-",F44*G44))</f>
        <v/>
      </c>
      <c r="I44" s="59">
        <f t="shared" si="18"/>
        <v>271333.33333333401</v>
      </c>
      <c r="J44" s="59" t="str">
        <f t="shared" ref="J44" si="92">IFERROR(IF($C43="-","",IF(D44="","",IF(E44="正規職員",I44-J43,MIN(MIN(H44:I44),I43-J43)))),0)</f>
        <v/>
      </c>
      <c r="K44" s="61" t="str">
        <f t="shared" si="90"/>
        <v/>
      </c>
      <c r="L44" s="62">
        <f t="shared" si="84"/>
        <v>6</v>
      </c>
      <c r="M44" s="62" t="e">
        <f>VLOOKUP($D44&amp;M$5,'②-2勤務時間数入力'!$D$7:$Q$106,$L44,FALSE)</f>
        <v>#N/A</v>
      </c>
      <c r="N44" s="62" t="str">
        <f t="shared" si="75"/>
        <v>×</v>
      </c>
      <c r="O44" s="62" t="e">
        <f>VLOOKUP($D44&amp;O$5,'②-2勤務時間数入力'!$D$7:$Q$106,$L44,FALSE)</f>
        <v>#N/A</v>
      </c>
      <c r="P44" s="62" t="str">
        <f t="shared" si="76"/>
        <v>×</v>
      </c>
      <c r="Q44" s="62" t="e">
        <f>VLOOKUP($D44&amp;Q$5,'②-2勤務時間数入力'!$D$7:$Q$106,$L44,FALSE)</f>
        <v>#N/A</v>
      </c>
      <c r="R44" s="62" t="str">
        <f t="shared" si="77"/>
        <v>×</v>
      </c>
      <c r="S44" s="62" t="e">
        <f>VLOOKUP($D44&amp;S$5,'②-2勤務時間数入力'!$D$7:$Q$106,$L44,FALSE)</f>
        <v>#N/A</v>
      </c>
      <c r="T44" s="62" t="str">
        <f t="shared" si="78"/>
        <v>×</v>
      </c>
    </row>
    <row r="45" spans="1:20" ht="13.5" hidden="1" customHeight="1">
      <c r="A45" s="854"/>
      <c r="B45" s="879"/>
      <c r="C45" s="856" t="str">
        <f>IF(B39&gt;=1,IFERROR(INDEX($F$153:$G$158,MATCH(判定!AK12,$F$153:$F$158,0),2),"-"),"-")</f>
        <v>-</v>
      </c>
      <c r="D45" s="138" t="str">
        <f t="shared" si="85"/>
        <v/>
      </c>
      <c r="E45" s="60" t="str">
        <f t="shared" ref="E45:E48" si="93">IF(D45="","",IF(N45="○",M$5,IF(P45="○",O$5,IF(R45="○",Q$5,IF(T45="○",S$5,"ERROR")))))</f>
        <v/>
      </c>
      <c r="F45" s="59" t="str">
        <f t="shared" ref="F45:F48" si="94">IF(D45="","",IF(N45="○",M45,IF(P45="○",O45,IF(R45="○",Q45,IF(T45="○",S45,"ERROR")))))</f>
        <v/>
      </c>
      <c r="G45" s="139" t="str">
        <f>IF($B39="","",IF($E45="正規職員","-",IF(AND(EXACT(B28,B39),EXACT(D34,D45),EXACT(E34,E45)),G34,"賃金単価を記載")))</f>
        <v/>
      </c>
      <c r="H45" s="59" t="str">
        <f t="shared" si="72"/>
        <v/>
      </c>
      <c r="I45" s="59">
        <f t="shared" si="18"/>
        <v>271333.33333333401</v>
      </c>
      <c r="J45" s="59" t="str">
        <f t="shared" ref="J45" si="95">IFERROR(IF($C45="-","",IF(D45="",0,IF(E45="正規職員",I45,MIN(H45:I45)))),0)</f>
        <v/>
      </c>
      <c r="K45" s="61" t="str">
        <f t="shared" ref="K45:K48" si="96">IF(D45="","",IF(OR(COUNTIFS(D45,"*要配慮*")=1,COUNTIFS(D45,"*医療的ケア*")=1),"○","エラー"))</f>
        <v/>
      </c>
      <c r="L45" s="62">
        <f t="shared" si="84"/>
        <v>6</v>
      </c>
      <c r="M45" s="62" t="e">
        <f>VLOOKUP($D45&amp;M$5,'②-2勤務時間数入力'!$D$7:$Q$106,$L45,FALSE)</f>
        <v>#N/A</v>
      </c>
      <c r="N45" s="62" t="str">
        <f t="shared" si="75"/>
        <v>×</v>
      </c>
      <c r="O45" s="62" t="e">
        <f>VLOOKUP($D45&amp;O$5,'②-2勤務時間数入力'!$D$7:$Q$106,$L45,FALSE)</f>
        <v>#N/A</v>
      </c>
      <c r="P45" s="62" t="str">
        <f t="shared" si="76"/>
        <v>×</v>
      </c>
      <c r="Q45" s="62" t="e">
        <f>VLOOKUP($D45&amp;Q$5,'②-2勤務時間数入力'!$D$7:$Q$106,$L45,FALSE)</f>
        <v>#N/A</v>
      </c>
      <c r="R45" s="62" t="str">
        <f t="shared" si="77"/>
        <v>×</v>
      </c>
      <c r="S45" s="62" t="e">
        <f>VLOOKUP($D45&amp;S$5,'②-2勤務時間数入力'!$D$7:$Q$106,$L45,FALSE)</f>
        <v>#N/A</v>
      </c>
      <c r="T45" s="62" t="str">
        <f t="shared" si="78"/>
        <v>×</v>
      </c>
    </row>
    <row r="46" spans="1:20" ht="13.5" hidden="1" customHeight="1">
      <c r="A46" s="854"/>
      <c r="B46" s="879"/>
      <c r="C46" s="858"/>
      <c r="D46" s="138" t="str">
        <f>IF(D35="","",D35)</f>
        <v/>
      </c>
      <c r="E46" s="60" t="str">
        <f t="shared" si="93"/>
        <v/>
      </c>
      <c r="F46" s="59" t="str">
        <f t="shared" si="94"/>
        <v/>
      </c>
      <c r="G46" s="139" t="str">
        <f>IF($B39="","",IF($E46="正規職員","-",IF(AND(EXACT(B28,B39),EXACT(D35,D46),EXACT(E35,E46)),G35,"賃金単価を記載")))</f>
        <v/>
      </c>
      <c r="H46" s="59" t="str">
        <f t="shared" si="72"/>
        <v/>
      </c>
      <c r="I46" s="59">
        <f t="shared" si="18"/>
        <v>271333.33333333401</v>
      </c>
      <c r="J46" s="59" t="str">
        <f t="shared" ref="J46" si="97">IFERROR(IF($C45="-","",IF(D46="","",IF(E46="正規職員",I46-J45,MIN(MIN(H46:I46),I45-J45)))),0)</f>
        <v/>
      </c>
      <c r="K46" s="61" t="str">
        <f t="shared" si="96"/>
        <v/>
      </c>
      <c r="L46" s="62">
        <f t="shared" si="84"/>
        <v>6</v>
      </c>
      <c r="M46" s="62" t="e">
        <f>VLOOKUP($D46&amp;M$5,'②-2勤務時間数入力'!$D$7:$Q$106,$L46,FALSE)</f>
        <v>#N/A</v>
      </c>
      <c r="N46" s="62" t="str">
        <f t="shared" si="75"/>
        <v>×</v>
      </c>
      <c r="O46" s="62" t="e">
        <f>VLOOKUP($D46&amp;O$5,'②-2勤務時間数入力'!$D$7:$Q$106,$L46,FALSE)</f>
        <v>#N/A</v>
      </c>
      <c r="P46" s="62" t="str">
        <f t="shared" si="76"/>
        <v>×</v>
      </c>
      <c r="Q46" s="62" t="e">
        <f>VLOOKUP($D46&amp;Q$5,'②-2勤務時間数入力'!$D$7:$Q$106,$L46,FALSE)</f>
        <v>#N/A</v>
      </c>
      <c r="R46" s="62" t="str">
        <f t="shared" si="77"/>
        <v>×</v>
      </c>
      <c r="S46" s="62" t="e">
        <f>VLOOKUP($D46&amp;S$5,'②-2勤務時間数入力'!$D$7:$Q$106,$L46,FALSE)</f>
        <v>#N/A</v>
      </c>
      <c r="T46" s="62" t="str">
        <f t="shared" si="78"/>
        <v>×</v>
      </c>
    </row>
    <row r="47" spans="1:20" ht="13.5" hidden="1" customHeight="1">
      <c r="A47" s="854"/>
      <c r="B47" s="879"/>
      <c r="C47" s="856" t="str">
        <f>IF(B39&gt;=1,IFERROR(INDEX($F$153:$G$158,MATCH(判定!AL12,$F$153:$F$158,0),2),"-"),"-")</f>
        <v>-</v>
      </c>
      <c r="D47" s="138" t="str">
        <f t="shared" si="85"/>
        <v/>
      </c>
      <c r="E47" s="60" t="str">
        <f t="shared" si="93"/>
        <v/>
      </c>
      <c r="F47" s="59" t="str">
        <f t="shared" si="94"/>
        <v/>
      </c>
      <c r="G47" s="139" t="str">
        <f>IF($B39="","",IF($E47="正規職員","-",IF(AND(EXACT(B28,B39),EXACT(D36,D47),EXACT(E36,E47)),G36,"賃金単価を記載")))</f>
        <v/>
      </c>
      <c r="H47" s="59" t="str">
        <f>IF($D47="","",IF($E47="正規職員","-",F47*G47))</f>
        <v/>
      </c>
      <c r="I47" s="59">
        <f t="shared" si="18"/>
        <v>271333.33333333401</v>
      </c>
      <c r="J47" s="59" t="str">
        <f t="shared" ref="J47" si="98">IFERROR(IF($C47="-","",IF(D47="",0,IF(E47="正規職員",I47,MIN(H47:I47)))),0)</f>
        <v/>
      </c>
      <c r="K47" s="61" t="str">
        <f t="shared" si="96"/>
        <v/>
      </c>
      <c r="L47" s="62">
        <f t="shared" si="84"/>
        <v>6</v>
      </c>
      <c r="M47" s="62" t="e">
        <f>VLOOKUP($D47&amp;M$5,'②-2勤務時間数入力'!$D$7:$Q$106,$L47,FALSE)</f>
        <v>#N/A</v>
      </c>
      <c r="N47" s="62" t="str">
        <f t="shared" si="75"/>
        <v>×</v>
      </c>
      <c r="O47" s="62" t="e">
        <f>VLOOKUP($D47&amp;O$5,'②-2勤務時間数入力'!$D$7:$Q$106,$L47,FALSE)</f>
        <v>#N/A</v>
      </c>
      <c r="P47" s="62" t="str">
        <f t="shared" si="76"/>
        <v>×</v>
      </c>
      <c r="Q47" s="62" t="e">
        <f>VLOOKUP($D47&amp;Q$5,'②-2勤務時間数入力'!$D$7:$Q$106,$L47,FALSE)</f>
        <v>#N/A</v>
      </c>
      <c r="R47" s="62" t="str">
        <f t="shared" si="77"/>
        <v>×</v>
      </c>
      <c r="S47" s="62" t="e">
        <f>VLOOKUP($D47&amp;S$5,'②-2勤務時間数入力'!$D$7:$Q$106,$L47,FALSE)</f>
        <v>#N/A</v>
      </c>
      <c r="T47" s="62" t="str">
        <f t="shared" si="78"/>
        <v>×</v>
      </c>
    </row>
    <row r="48" spans="1:20" ht="13.5" hidden="1" customHeight="1">
      <c r="A48" s="878"/>
      <c r="B48" s="879"/>
      <c r="C48" s="858"/>
      <c r="D48" s="138" t="str">
        <f t="shared" si="85"/>
        <v/>
      </c>
      <c r="E48" s="60" t="str">
        <f t="shared" si="93"/>
        <v/>
      </c>
      <c r="F48" s="59" t="str">
        <f t="shared" si="94"/>
        <v/>
      </c>
      <c r="G48" s="139" t="str">
        <f>IF($B39="","",IF($E48="正規職員","-",IF(AND(EXACT(B28,B39),EXACT(D37,D48),EXACT(E37,E48)),G37,"賃金単価を記載")))</f>
        <v/>
      </c>
      <c r="H48" s="59" t="str">
        <f>IF($D48="","",IF($E48="正規職員","-",F48*G48))</f>
        <v/>
      </c>
      <c r="I48" s="59">
        <f t="shared" si="18"/>
        <v>271333.33333333401</v>
      </c>
      <c r="J48" s="59" t="str">
        <f t="shared" ref="J48" si="99">IFERROR(IF($C47="-","",IF(D48="","",IF(E48="正規職員",I48-J47,MIN(MIN(H48:I48),I47-J47)))),0)</f>
        <v/>
      </c>
      <c r="K48" s="61" t="str">
        <f t="shared" si="96"/>
        <v/>
      </c>
      <c r="L48" s="62">
        <f t="shared" si="84"/>
        <v>6</v>
      </c>
      <c r="M48" s="62" t="e">
        <f>VLOOKUP($D48&amp;M$5,'②-2勤務時間数入力'!$D$7:$Q$106,$L48,FALSE)</f>
        <v>#N/A</v>
      </c>
      <c r="N48" s="62" t="str">
        <f t="shared" si="75"/>
        <v>×</v>
      </c>
      <c r="O48" s="62" t="e">
        <f>VLOOKUP($D48&amp;O$5,'②-2勤務時間数入力'!$D$7:$Q$106,$L48,FALSE)</f>
        <v>#N/A</v>
      </c>
      <c r="P48" s="62" t="str">
        <f t="shared" si="76"/>
        <v>×</v>
      </c>
      <c r="Q48" s="62" t="e">
        <f>VLOOKUP($D48&amp;Q$5,'②-2勤務時間数入力'!$D$7:$Q$106,$L48,FALSE)</f>
        <v>#N/A</v>
      </c>
      <c r="R48" s="62" t="str">
        <f t="shared" si="77"/>
        <v>×</v>
      </c>
      <c r="S48" s="62" t="e">
        <f>VLOOKUP($D48&amp;S$5,'②-2勤務時間数入力'!$D$7:$Q$106,$L48,FALSE)</f>
        <v>#N/A</v>
      </c>
      <c r="T48" s="62" t="str">
        <f t="shared" si="78"/>
        <v>×</v>
      </c>
    </row>
    <row r="49" spans="1:20" ht="13.5" hidden="1" customHeight="1">
      <c r="A49" s="844"/>
      <c r="B49" s="856"/>
      <c r="C49" s="284"/>
      <c r="D49" s="1" t="s">
        <v>276</v>
      </c>
      <c r="E49" s="60" t="s">
        <v>273</v>
      </c>
      <c r="F49" s="67"/>
      <c r="G49" s="60" t="s">
        <v>273</v>
      </c>
      <c r="H49" s="60" t="s">
        <v>273</v>
      </c>
      <c r="I49" s="60" t="s">
        <v>273</v>
      </c>
      <c r="J49" s="59" t="str">
        <f t="shared" ref="J49" si="100">IFERROR(IF(J39="","",MIN(SUM(J39:J48),(B39*I39))),0)</f>
        <v/>
      </c>
      <c r="K49" s="61"/>
      <c r="L49" s="62"/>
      <c r="M49" s="62"/>
      <c r="N49" s="62"/>
      <c r="O49" s="62"/>
      <c r="P49" s="62"/>
      <c r="Q49" s="62"/>
      <c r="R49" s="62"/>
      <c r="S49" s="62"/>
      <c r="T49" s="62"/>
    </row>
    <row r="50" spans="1:20" ht="13.5" hidden="1" customHeight="1">
      <c r="A50" s="843">
        <v>8</v>
      </c>
      <c r="B50" s="879" t="str">
        <f>IF(判定!AY13&gt;=1,判定!AY13,"-")</f>
        <v>-</v>
      </c>
      <c r="C50" s="856" t="str">
        <f>IF(B50&gt;=1,IFERROR(INDEX($F$153:$G$158,MATCH(判定!AH13,$F$153:$F$158,0),2),"-"),"-")</f>
        <v>-</v>
      </c>
      <c r="D50" s="138" t="str">
        <f>IF(D39="","",D39)</f>
        <v/>
      </c>
      <c r="E50" s="60" t="str">
        <f>IF(D50="","",IF(N50="○",M$5,IF(P50="○",O$5,IF(R50="○",Q$5,IF(T50="○",S$5,"ERROR")))))</f>
        <v/>
      </c>
      <c r="F50" s="59" t="str">
        <f>IF(D50="","",IF(N50="○",M50,IF(P50="○",O50,IF(R50="○",Q50,IF(T50="○",S50,"ERROR")))))</f>
        <v/>
      </c>
      <c r="G50" s="139" t="str">
        <f>IF($B50="","",IF($E50="正規職員","-",IF(AND(EXACT(B39,B50),EXACT(D39,D50),EXACT(E39,E50)),G39,"賃金単価を記載")))</f>
        <v/>
      </c>
      <c r="H50" s="59" t="str">
        <f t="shared" ref="H50:H57" si="101">IF($D50="","",IF($E50="正規職員","-",F50*G50))</f>
        <v/>
      </c>
      <c r="I50" s="59">
        <f t="shared" si="18"/>
        <v>271333.33333333401</v>
      </c>
      <c r="J50" s="59" t="str">
        <f t="shared" ref="J50" si="102">IFERROR(IF($C50="-","",IF(D50="",0,IF(E50="正規職員",I50,MIN(H50:I50)))),0)</f>
        <v/>
      </c>
      <c r="K50" s="61" t="str">
        <f>IF(D50="","",IF(OR(COUNTIFS(D50,"*要配慮*")=1,COUNTIFS(D50,"*医療的ケア*")=1),"○","エラー"))</f>
        <v/>
      </c>
      <c r="L50" s="62">
        <f t="shared" ref="L50" si="103">L39+1</f>
        <v>7</v>
      </c>
      <c r="M50" s="62" t="e">
        <f>VLOOKUP($D50&amp;M$5,'②-2勤務時間数入力'!$D$7:$Q$106,$L50,FALSE)</f>
        <v>#N/A</v>
      </c>
      <c r="N50" s="62" t="str">
        <f t="shared" ref="N50:N59" si="104">IF(ISERROR(M50),"×",IF(M50="-","×","○"))</f>
        <v>×</v>
      </c>
      <c r="O50" s="62" t="e">
        <f>VLOOKUP($D50&amp;O$5,'②-2勤務時間数入力'!$D$7:$Q$106,$L50,FALSE)</f>
        <v>#N/A</v>
      </c>
      <c r="P50" s="62" t="str">
        <f t="shared" ref="P50:P59" si="105">IF(ISERROR(O50),"×",IF(O50="-","×","○"))</f>
        <v>×</v>
      </c>
      <c r="Q50" s="62" t="e">
        <f>VLOOKUP($D50&amp;Q$5,'②-2勤務時間数入力'!$D$7:$Q$106,$L50,FALSE)</f>
        <v>#N/A</v>
      </c>
      <c r="R50" s="62" t="str">
        <f t="shared" ref="R50:R59" si="106">IF(ISERROR(Q50),"×",IF(Q50="-","×","○"))</f>
        <v>×</v>
      </c>
      <c r="S50" s="62" t="e">
        <f>VLOOKUP($D50&amp;S$5,'②-2勤務時間数入力'!$D$7:$Q$106,$L50,FALSE)</f>
        <v>#N/A</v>
      </c>
      <c r="T50" s="62" t="str">
        <f t="shared" ref="T50:T59" si="107">IF(ISERROR(S50),"×",IF(S50="-","×","○"))</f>
        <v>×</v>
      </c>
    </row>
    <row r="51" spans="1:20" ht="13.5" hidden="1" customHeight="1">
      <c r="A51" s="854"/>
      <c r="B51" s="879"/>
      <c r="C51" s="858"/>
      <c r="D51" s="138" t="str">
        <f>IF(D40="","",D40)</f>
        <v/>
      </c>
      <c r="E51" s="60" t="str">
        <f t="shared" ref="E51:E55" si="108">IF(D51="","",IF(N51="○",M$5,IF(P51="○",O$5,IF(R51="○",Q$5,IF(T51="○",S$5,"ERROR")))))</f>
        <v/>
      </c>
      <c r="F51" s="59" t="str">
        <f t="shared" ref="F51:F55" si="109">IF(D51="","",IF(N51="○",M51,IF(P51="○",O51,IF(R51="○",Q51,IF(T51="○",S51,"ERROR")))))</f>
        <v/>
      </c>
      <c r="G51" s="139" t="str">
        <f>IF($B47="","",IF($E51="正規職員","-",IF(AND(EXACT(B36,B47),EXACT(D42,D51),EXACT(E42,E51)),G42,"賃金単価を記載")))</f>
        <v/>
      </c>
      <c r="H51" s="59" t="str">
        <f t="shared" ref="H51:H52" si="110">IF($D51="","",IF($E51="正規職員","-",F51*G51))</f>
        <v/>
      </c>
      <c r="I51" s="59">
        <f t="shared" si="18"/>
        <v>271333.33333333401</v>
      </c>
      <c r="J51" s="59" t="str">
        <f t="shared" ref="J51" si="111">IFERROR(IF($C50="-","",IF(D51="","",IF(E51="正規職員",I51-J50,MIN(MIN(H51:I51),I50-J50)))),0)</f>
        <v/>
      </c>
      <c r="K51" s="61" t="str">
        <f t="shared" ref="K51:K55" si="112">IF(D51="","",IF(OR(COUNTIFS(D51,"*要配慮*")=1,COUNTIFS(D51,"*医療的ケア*")=1),"○","エラー"))</f>
        <v/>
      </c>
      <c r="L51" s="62">
        <f>L50</f>
        <v>7</v>
      </c>
      <c r="M51" s="62" t="e">
        <f>VLOOKUP($D51&amp;M$5,'②-2勤務時間数入力'!$D$7:$Q$106,$L51,FALSE)</f>
        <v>#N/A</v>
      </c>
      <c r="N51" s="62" t="str">
        <f t="shared" si="104"/>
        <v>×</v>
      </c>
      <c r="O51" s="62" t="e">
        <f>VLOOKUP($D51&amp;O$5,'②-2勤務時間数入力'!$D$7:$Q$106,$L51,FALSE)</f>
        <v>#N/A</v>
      </c>
      <c r="P51" s="62" t="str">
        <f t="shared" si="105"/>
        <v>×</v>
      </c>
      <c r="Q51" s="62" t="e">
        <f>VLOOKUP($D51&amp;Q$5,'②-2勤務時間数入力'!$D$7:$Q$106,$L51,FALSE)</f>
        <v>#N/A</v>
      </c>
      <c r="R51" s="62" t="str">
        <f t="shared" si="106"/>
        <v>×</v>
      </c>
      <c r="S51" s="62" t="e">
        <f>VLOOKUP($D51&amp;S$5,'②-2勤務時間数入力'!$D$7:$Q$106,$L51,FALSE)</f>
        <v>#N/A</v>
      </c>
      <c r="T51" s="62" t="str">
        <f t="shared" si="107"/>
        <v>×</v>
      </c>
    </row>
    <row r="52" spans="1:20" ht="13.5" hidden="1" customHeight="1">
      <c r="A52" s="854"/>
      <c r="B52" s="879"/>
      <c r="C52" s="856" t="str">
        <f>IF(B50&gt;=1,IFERROR(INDEX($F$153:$G$158,MATCH(判定!AI13,$F$153:$F$158,0),2),"-"),"-")</f>
        <v>-</v>
      </c>
      <c r="D52" s="138" t="str">
        <f>IF(D41="","",D41)</f>
        <v/>
      </c>
      <c r="E52" s="60" t="str">
        <f t="shared" si="108"/>
        <v/>
      </c>
      <c r="F52" s="59" t="str">
        <f t="shared" si="109"/>
        <v/>
      </c>
      <c r="G52" s="139" t="str">
        <f>IF($B47="","",IF($E52="正規職員","-",IF(AND(EXACT(B36,B47),EXACT(D43,D52),EXACT(E43,E52)),G43,"賃金単価を記載")))</f>
        <v/>
      </c>
      <c r="H52" s="59" t="str">
        <f t="shared" si="110"/>
        <v/>
      </c>
      <c r="I52" s="59">
        <f t="shared" si="18"/>
        <v>271333.33333333401</v>
      </c>
      <c r="J52" s="59" t="str">
        <f t="shared" ref="J52" si="113">IFERROR(IF($C52="-","",IF(D52="",0,IF(E52="正規職員",I52,MIN(H52:I52)))),0)</f>
        <v/>
      </c>
      <c r="K52" s="61" t="str">
        <f t="shared" si="112"/>
        <v/>
      </c>
      <c r="L52" s="62">
        <f t="shared" ref="L52:L59" si="114">L51</f>
        <v>7</v>
      </c>
      <c r="M52" s="62" t="e">
        <f>VLOOKUP($D52&amp;M$5,'②-2勤務時間数入力'!$D$7:$Q$106,$L52,FALSE)</f>
        <v>#N/A</v>
      </c>
      <c r="N52" s="62" t="str">
        <f t="shared" si="104"/>
        <v>×</v>
      </c>
      <c r="O52" s="62" t="e">
        <f>VLOOKUP($D52&amp;O$5,'②-2勤務時間数入力'!$D$7:$Q$106,$L52,FALSE)</f>
        <v>#N/A</v>
      </c>
      <c r="P52" s="62" t="str">
        <f t="shared" si="105"/>
        <v>×</v>
      </c>
      <c r="Q52" s="62" t="e">
        <f>VLOOKUP($D52&amp;Q$5,'②-2勤務時間数入力'!$D$7:$Q$106,$L52,FALSE)</f>
        <v>#N/A</v>
      </c>
      <c r="R52" s="62" t="str">
        <f t="shared" si="106"/>
        <v>×</v>
      </c>
      <c r="S52" s="62" t="e">
        <f>VLOOKUP($D52&amp;S$5,'②-2勤務時間数入力'!$D$7:$Q$106,$L52,FALSE)</f>
        <v>#N/A</v>
      </c>
      <c r="T52" s="62" t="str">
        <f t="shared" si="107"/>
        <v>×</v>
      </c>
    </row>
    <row r="53" spans="1:20" ht="13.5" hidden="1" customHeight="1">
      <c r="A53" s="854"/>
      <c r="B53" s="879"/>
      <c r="C53" s="858"/>
      <c r="D53" s="138" t="str">
        <f t="shared" ref="D53:D59" si="115">IF(D42="","",D42)</f>
        <v/>
      </c>
      <c r="E53" s="60" t="str">
        <f t="shared" ref="E53:E54" si="116">IF(D53="","",IF(N53="○",M$5,IF(P53="○",O$5,IF(R53="○",Q$5,IF(T53="○",S$5,"ERROR")))))</f>
        <v/>
      </c>
      <c r="F53" s="59" t="str">
        <f t="shared" ref="F53:F54" si="117">IF(D53="","",IF(N53="○",M53,IF(P53="○",O53,IF(R53="○",Q53,IF(T53="○",S53,"ERROR")))))</f>
        <v/>
      </c>
      <c r="G53" s="139" t="str">
        <f>IF($B45="","",IF($E53="正規職員","-",IF(AND(EXACT(B34,B45),EXACT(D42,D53),EXACT(E42,E53)),G42,"賃金単価を記載")))</f>
        <v/>
      </c>
      <c r="H53" s="59" t="str">
        <f>IF($D53="","",IF($E53="正規職員","-",F53*G53))</f>
        <v/>
      </c>
      <c r="I53" s="59">
        <f t="shared" si="18"/>
        <v>271333.33333333401</v>
      </c>
      <c r="J53" s="59" t="str">
        <f t="shared" ref="J53" si="118">IFERROR(IF($C52="-","",IF(D53="","",IF(E53="正規職員",I53-J52,MIN(MIN(H53:I53),I52-J52)))),0)</f>
        <v/>
      </c>
      <c r="K53" s="61" t="str">
        <f t="shared" ref="K53:K54" si="119">IF(D53="","",IF(OR(COUNTIFS(D53,"*要配慮*")=1,COUNTIFS(D53,"*医療的ケア*")=1),"○","エラー"))</f>
        <v/>
      </c>
      <c r="L53" s="62">
        <f>L50</f>
        <v>7</v>
      </c>
      <c r="M53" s="62" t="e">
        <f>VLOOKUP($D53&amp;M$5,'②-2勤務時間数入力'!$D$7:$Q$106,$L53,FALSE)</f>
        <v>#N/A</v>
      </c>
      <c r="N53" s="62" t="str">
        <f t="shared" si="104"/>
        <v>×</v>
      </c>
      <c r="O53" s="62" t="e">
        <f>VLOOKUP($D53&amp;O$5,'②-2勤務時間数入力'!$D$7:$Q$106,$L53,FALSE)</f>
        <v>#N/A</v>
      </c>
      <c r="P53" s="62" t="str">
        <f t="shared" si="105"/>
        <v>×</v>
      </c>
      <c r="Q53" s="62" t="e">
        <f>VLOOKUP($D53&amp;Q$5,'②-2勤務時間数入力'!$D$7:$Q$106,$L53,FALSE)</f>
        <v>#N/A</v>
      </c>
      <c r="R53" s="62" t="str">
        <f t="shared" si="106"/>
        <v>×</v>
      </c>
      <c r="S53" s="62" t="e">
        <f>VLOOKUP($D53&amp;S$5,'②-2勤務時間数入力'!$D$7:$Q$106,$L53,FALSE)</f>
        <v>#N/A</v>
      </c>
      <c r="T53" s="62" t="str">
        <f t="shared" si="107"/>
        <v>×</v>
      </c>
    </row>
    <row r="54" spans="1:20" ht="13.5" hidden="1" customHeight="1">
      <c r="A54" s="854"/>
      <c r="B54" s="879"/>
      <c r="C54" s="856" t="str">
        <f>IF(B50&gt;=1,IFERROR(INDEX($F$153:$G$158,MATCH(判定!AJ13,$F$153:$F$158,0),2),"-"),"-")</f>
        <v>-</v>
      </c>
      <c r="D54" s="138" t="str">
        <f t="shared" si="115"/>
        <v/>
      </c>
      <c r="E54" s="60" t="str">
        <f t="shared" si="116"/>
        <v/>
      </c>
      <c r="F54" s="59" t="str">
        <f t="shared" si="117"/>
        <v/>
      </c>
      <c r="G54" s="139" t="str">
        <f>IF($B48="","",IF($E54="正規職員","-",IF(AND(EXACT(B37,B48),EXACT(D43,D54),EXACT(E43,E54)),G43,"賃金単価を記載")))</f>
        <v/>
      </c>
      <c r="H54" s="59" t="str">
        <f t="shared" ref="H54" si="120">IF($D54="","",IF($E54="正規職員","-",F54*G54))</f>
        <v/>
      </c>
      <c r="I54" s="59">
        <f t="shared" si="18"/>
        <v>271333.33333333401</v>
      </c>
      <c r="J54" s="59" t="str">
        <f t="shared" ref="J54" si="121">IFERROR(IF($C54="-","",IF(D54="",0,IF(E54="正規職員",I54,MIN(H54:I54)))),0)</f>
        <v/>
      </c>
      <c r="K54" s="61" t="str">
        <f t="shared" si="119"/>
        <v/>
      </c>
      <c r="L54" s="62">
        <f t="shared" ref="L54" si="122">L53</f>
        <v>7</v>
      </c>
      <c r="M54" s="62" t="e">
        <f>VLOOKUP($D54&amp;M$5,'②-2勤務時間数入力'!$D$7:$Q$106,$L54,FALSE)</f>
        <v>#N/A</v>
      </c>
      <c r="N54" s="62" t="str">
        <f t="shared" si="104"/>
        <v>×</v>
      </c>
      <c r="O54" s="62" t="e">
        <f>VLOOKUP($D54&amp;O$5,'②-2勤務時間数入力'!$D$7:$Q$106,$L54,FALSE)</f>
        <v>#N/A</v>
      </c>
      <c r="P54" s="62" t="str">
        <f t="shared" si="105"/>
        <v>×</v>
      </c>
      <c r="Q54" s="62" t="e">
        <f>VLOOKUP($D54&amp;Q$5,'②-2勤務時間数入力'!$D$7:$Q$106,$L54,FALSE)</f>
        <v>#N/A</v>
      </c>
      <c r="R54" s="62" t="str">
        <f t="shared" si="106"/>
        <v>×</v>
      </c>
      <c r="S54" s="62" t="e">
        <f>VLOOKUP($D54&amp;S$5,'②-2勤務時間数入力'!$D$7:$Q$106,$L54,FALSE)</f>
        <v>#N/A</v>
      </c>
      <c r="T54" s="62" t="str">
        <f t="shared" si="107"/>
        <v>×</v>
      </c>
    </row>
    <row r="55" spans="1:20" ht="13.5" hidden="1" customHeight="1">
      <c r="A55" s="854"/>
      <c r="B55" s="879"/>
      <c r="C55" s="858"/>
      <c r="D55" s="138" t="str">
        <f t="shared" si="115"/>
        <v/>
      </c>
      <c r="E55" s="60" t="str">
        <f t="shared" si="108"/>
        <v/>
      </c>
      <c r="F55" s="59" t="str">
        <f t="shared" si="109"/>
        <v/>
      </c>
      <c r="G55" s="139" t="str">
        <f>IF($B47="","",IF($E55="正規職員","-",IF(AND(EXACT(B36,B47),EXACT(D44,D55),EXACT(E44,E55)),G44,"賃金単価を記載")))</f>
        <v/>
      </c>
      <c r="H55" s="59" t="str">
        <f>IF($D55="","",IF($E55="正規職員","-",F55*G55))</f>
        <v/>
      </c>
      <c r="I55" s="59">
        <f t="shared" si="18"/>
        <v>271333.33333333401</v>
      </c>
      <c r="J55" s="59" t="str">
        <f t="shared" ref="J55" si="123">IFERROR(IF($C54="-","",IF(D55="","",IF(E55="正規職員",I55-J54,MIN(MIN(H55:I55),I54-J54)))),0)</f>
        <v/>
      </c>
      <c r="K55" s="61" t="str">
        <f t="shared" si="112"/>
        <v/>
      </c>
      <c r="L55" s="62">
        <f>L52</f>
        <v>7</v>
      </c>
      <c r="M55" s="62" t="e">
        <f>VLOOKUP($D55&amp;M$5,'②-2勤務時間数入力'!$D$7:$Q$106,$L55,FALSE)</f>
        <v>#N/A</v>
      </c>
      <c r="N55" s="62" t="str">
        <f t="shared" si="104"/>
        <v>×</v>
      </c>
      <c r="O55" s="62" t="e">
        <f>VLOOKUP($D55&amp;O$5,'②-2勤務時間数入力'!$D$7:$Q$106,$L55,FALSE)</f>
        <v>#N/A</v>
      </c>
      <c r="P55" s="62" t="str">
        <f t="shared" si="105"/>
        <v>×</v>
      </c>
      <c r="Q55" s="62" t="e">
        <f>VLOOKUP($D55&amp;Q$5,'②-2勤務時間数入力'!$D$7:$Q$106,$L55,FALSE)</f>
        <v>#N/A</v>
      </c>
      <c r="R55" s="62" t="str">
        <f t="shared" si="106"/>
        <v>×</v>
      </c>
      <c r="S55" s="62" t="e">
        <f>VLOOKUP($D55&amp;S$5,'②-2勤務時間数入力'!$D$7:$Q$106,$L55,FALSE)</f>
        <v>#N/A</v>
      </c>
      <c r="T55" s="62" t="str">
        <f t="shared" si="107"/>
        <v>×</v>
      </c>
    </row>
    <row r="56" spans="1:20" ht="13.5" hidden="1" customHeight="1">
      <c r="A56" s="854"/>
      <c r="B56" s="879"/>
      <c r="C56" s="856" t="str">
        <f>IF(B50&gt;=1,IFERROR(INDEX($F$153:$G$158,MATCH(判定!AK13,$F$153:$F$158,0),2),"-"),"-")</f>
        <v>-</v>
      </c>
      <c r="D56" s="138" t="str">
        <f t="shared" si="115"/>
        <v/>
      </c>
      <c r="E56" s="60" t="str">
        <f t="shared" ref="E56:E59" si="124">IF(D56="","",IF(N56="○",M$5,IF(P56="○",O$5,IF(R56="○",Q$5,IF(T56="○",S$5,"ERROR")))))</f>
        <v/>
      </c>
      <c r="F56" s="59" t="str">
        <f t="shared" ref="F56:F59" si="125">IF(D56="","",IF(N56="○",M56,IF(P56="○",O56,IF(R56="○",Q56,IF(T56="○",S56,"ERROR")))))</f>
        <v/>
      </c>
      <c r="G56" s="139" t="str">
        <f>IF($B50="","",IF($E56="正規職員","-",IF(AND(EXACT(B39,B50),EXACT(D45,D56),EXACT(E45,E56)),G45,"賃金単価を記載")))</f>
        <v/>
      </c>
      <c r="H56" s="59" t="str">
        <f t="shared" si="101"/>
        <v/>
      </c>
      <c r="I56" s="59">
        <f t="shared" si="18"/>
        <v>271333.33333333401</v>
      </c>
      <c r="J56" s="59" t="str">
        <f t="shared" ref="J56" si="126">IFERROR(IF($C56="-","",IF(D56="",0,IF(E56="正規職員",I56,MIN(H56:I56)))),0)</f>
        <v/>
      </c>
      <c r="K56" s="61" t="str">
        <f t="shared" ref="K56:K59" si="127">IF(D56="","",IF(OR(COUNTIFS(D56,"*要配慮*")=1,COUNTIFS(D56,"*医療的ケア*")=1),"○","エラー"))</f>
        <v/>
      </c>
      <c r="L56" s="62">
        <f t="shared" si="114"/>
        <v>7</v>
      </c>
      <c r="M56" s="62" t="e">
        <f>VLOOKUP($D56&amp;M$5,'②-2勤務時間数入力'!$D$7:$Q$106,$L56,FALSE)</f>
        <v>#N/A</v>
      </c>
      <c r="N56" s="62" t="str">
        <f t="shared" si="104"/>
        <v>×</v>
      </c>
      <c r="O56" s="62" t="e">
        <f>VLOOKUP($D56&amp;O$5,'②-2勤務時間数入力'!$D$7:$Q$106,$L56,FALSE)</f>
        <v>#N/A</v>
      </c>
      <c r="P56" s="62" t="str">
        <f t="shared" si="105"/>
        <v>×</v>
      </c>
      <c r="Q56" s="62" t="e">
        <f>VLOOKUP($D56&amp;Q$5,'②-2勤務時間数入力'!$D$7:$Q$106,$L56,FALSE)</f>
        <v>#N/A</v>
      </c>
      <c r="R56" s="62" t="str">
        <f t="shared" si="106"/>
        <v>×</v>
      </c>
      <c r="S56" s="62" t="e">
        <f>VLOOKUP($D56&amp;S$5,'②-2勤務時間数入力'!$D$7:$Q$106,$L56,FALSE)</f>
        <v>#N/A</v>
      </c>
      <c r="T56" s="62" t="str">
        <f t="shared" si="107"/>
        <v>×</v>
      </c>
    </row>
    <row r="57" spans="1:20" ht="13.5" hidden="1" customHeight="1">
      <c r="A57" s="854"/>
      <c r="B57" s="879"/>
      <c r="C57" s="858"/>
      <c r="D57" s="138" t="str">
        <f>IF(D46="","",D46)</f>
        <v/>
      </c>
      <c r="E57" s="60" t="str">
        <f t="shared" si="124"/>
        <v/>
      </c>
      <c r="F57" s="59" t="str">
        <f t="shared" si="125"/>
        <v/>
      </c>
      <c r="G57" s="139" t="str">
        <f>IF($B50="","",IF($E57="正規職員","-",IF(AND(EXACT(B39,B50),EXACT(D46,D57),EXACT(E46,E57)),G46,"賃金単価を記載")))</f>
        <v/>
      </c>
      <c r="H57" s="59" t="str">
        <f t="shared" si="101"/>
        <v/>
      </c>
      <c r="I57" s="59">
        <f t="shared" si="18"/>
        <v>271333.33333333401</v>
      </c>
      <c r="J57" s="59" t="str">
        <f t="shared" ref="J57" si="128">IFERROR(IF($C56="-","",IF(D57="","",IF(E57="正規職員",I57-J56,MIN(MIN(H57:I57),I56-J56)))),0)</f>
        <v/>
      </c>
      <c r="K57" s="61" t="str">
        <f t="shared" si="127"/>
        <v/>
      </c>
      <c r="L57" s="62">
        <f t="shared" si="114"/>
        <v>7</v>
      </c>
      <c r="M57" s="62" t="e">
        <f>VLOOKUP($D57&amp;M$5,'②-2勤務時間数入力'!$D$7:$Q$106,$L57,FALSE)</f>
        <v>#N/A</v>
      </c>
      <c r="N57" s="62" t="str">
        <f t="shared" si="104"/>
        <v>×</v>
      </c>
      <c r="O57" s="62" t="e">
        <f>VLOOKUP($D57&amp;O$5,'②-2勤務時間数入力'!$D$7:$Q$106,$L57,FALSE)</f>
        <v>#N/A</v>
      </c>
      <c r="P57" s="62" t="str">
        <f t="shared" si="105"/>
        <v>×</v>
      </c>
      <c r="Q57" s="62" t="e">
        <f>VLOOKUP($D57&amp;Q$5,'②-2勤務時間数入力'!$D$7:$Q$106,$L57,FALSE)</f>
        <v>#N/A</v>
      </c>
      <c r="R57" s="62" t="str">
        <f t="shared" si="106"/>
        <v>×</v>
      </c>
      <c r="S57" s="62" t="e">
        <f>VLOOKUP($D57&amp;S$5,'②-2勤務時間数入力'!$D$7:$Q$106,$L57,FALSE)</f>
        <v>#N/A</v>
      </c>
      <c r="T57" s="62" t="str">
        <f t="shared" si="107"/>
        <v>×</v>
      </c>
    </row>
    <row r="58" spans="1:20" ht="13.5" hidden="1" customHeight="1">
      <c r="A58" s="854"/>
      <c r="B58" s="879"/>
      <c r="C58" s="856" t="str">
        <f>IF(B50&gt;=1,IFERROR(INDEX($F$153:$G$158,MATCH(判定!AL13,$F$153:$F$158,0),2),"-"),"-")</f>
        <v>-</v>
      </c>
      <c r="D58" s="138" t="str">
        <f t="shared" si="115"/>
        <v/>
      </c>
      <c r="E58" s="60" t="str">
        <f t="shared" si="124"/>
        <v/>
      </c>
      <c r="F58" s="59" t="str">
        <f t="shared" si="125"/>
        <v/>
      </c>
      <c r="G58" s="139" t="str">
        <f>IF($B50="","",IF($E58="正規職員","-",IF(AND(EXACT(B39,B50),EXACT(D47,D58),EXACT(E47,E58)),G47,"賃金単価を記載")))</f>
        <v/>
      </c>
      <c r="H58" s="59" t="str">
        <f>IF($D58="","",IF($E58="正規職員","-",F58*G58))</f>
        <v/>
      </c>
      <c r="I58" s="59">
        <f t="shared" si="18"/>
        <v>271333.33333333401</v>
      </c>
      <c r="J58" s="59" t="str">
        <f t="shared" ref="J58" si="129">IFERROR(IF($C58="-","",IF(D58="",0,IF(E58="正規職員",I58,MIN(H58:I58)))),0)</f>
        <v/>
      </c>
      <c r="K58" s="61" t="str">
        <f t="shared" si="127"/>
        <v/>
      </c>
      <c r="L58" s="62">
        <f t="shared" si="114"/>
        <v>7</v>
      </c>
      <c r="M58" s="62" t="e">
        <f>VLOOKUP($D58&amp;M$5,'②-2勤務時間数入力'!$D$7:$Q$106,$L58,FALSE)</f>
        <v>#N/A</v>
      </c>
      <c r="N58" s="62" t="str">
        <f t="shared" si="104"/>
        <v>×</v>
      </c>
      <c r="O58" s="62" t="e">
        <f>VLOOKUP($D58&amp;O$5,'②-2勤務時間数入力'!$D$7:$Q$106,$L58,FALSE)</f>
        <v>#N/A</v>
      </c>
      <c r="P58" s="62" t="str">
        <f t="shared" si="105"/>
        <v>×</v>
      </c>
      <c r="Q58" s="62" t="e">
        <f>VLOOKUP($D58&amp;Q$5,'②-2勤務時間数入力'!$D$7:$Q$106,$L58,FALSE)</f>
        <v>#N/A</v>
      </c>
      <c r="R58" s="62" t="str">
        <f t="shared" si="106"/>
        <v>×</v>
      </c>
      <c r="S58" s="62" t="e">
        <f>VLOOKUP($D58&amp;S$5,'②-2勤務時間数入力'!$D$7:$Q$106,$L58,FALSE)</f>
        <v>#N/A</v>
      </c>
      <c r="T58" s="62" t="str">
        <f t="shared" si="107"/>
        <v>×</v>
      </c>
    </row>
    <row r="59" spans="1:20" ht="13.5" hidden="1" customHeight="1">
      <c r="A59" s="878"/>
      <c r="B59" s="879"/>
      <c r="C59" s="858"/>
      <c r="D59" s="138" t="str">
        <f t="shared" si="115"/>
        <v/>
      </c>
      <c r="E59" s="60" t="str">
        <f t="shared" si="124"/>
        <v/>
      </c>
      <c r="F59" s="59" t="str">
        <f t="shared" si="125"/>
        <v/>
      </c>
      <c r="G59" s="139" t="str">
        <f>IF($B50="","",IF($E59="正規職員","-",IF(AND(EXACT(B39,B50),EXACT(D48,D59),EXACT(E48,E59)),G48,"賃金単価を記載")))</f>
        <v/>
      </c>
      <c r="H59" s="59" t="str">
        <f>IF($D59="","",IF($E59="正規職員","-",F59*G59))</f>
        <v/>
      </c>
      <c r="I59" s="59">
        <f t="shared" si="18"/>
        <v>271333.33333333401</v>
      </c>
      <c r="J59" s="59" t="str">
        <f t="shared" ref="J59" si="130">IFERROR(IF($C58="-","",IF(D59="","",IF(E59="正規職員",I59-J58,MIN(MIN(H59:I59),I58-J58)))),0)</f>
        <v/>
      </c>
      <c r="K59" s="61" t="str">
        <f t="shared" si="127"/>
        <v/>
      </c>
      <c r="L59" s="62">
        <f t="shared" si="114"/>
        <v>7</v>
      </c>
      <c r="M59" s="62" t="e">
        <f>VLOOKUP($D59&amp;M$5,'②-2勤務時間数入力'!$D$7:$Q$106,$L59,FALSE)</f>
        <v>#N/A</v>
      </c>
      <c r="N59" s="62" t="str">
        <f t="shared" si="104"/>
        <v>×</v>
      </c>
      <c r="O59" s="62" t="e">
        <f>VLOOKUP($D59&amp;O$5,'②-2勤務時間数入力'!$D$7:$Q$106,$L59,FALSE)</f>
        <v>#N/A</v>
      </c>
      <c r="P59" s="62" t="str">
        <f t="shared" si="105"/>
        <v>×</v>
      </c>
      <c r="Q59" s="62" t="e">
        <f>VLOOKUP($D59&amp;Q$5,'②-2勤務時間数入力'!$D$7:$Q$106,$L59,FALSE)</f>
        <v>#N/A</v>
      </c>
      <c r="R59" s="62" t="str">
        <f t="shared" si="106"/>
        <v>×</v>
      </c>
      <c r="S59" s="62" t="e">
        <f>VLOOKUP($D59&amp;S$5,'②-2勤務時間数入力'!$D$7:$Q$106,$L59,FALSE)</f>
        <v>#N/A</v>
      </c>
      <c r="T59" s="62" t="str">
        <f t="shared" si="107"/>
        <v>×</v>
      </c>
    </row>
    <row r="60" spans="1:20" ht="13.5" hidden="1" customHeight="1">
      <c r="A60" s="844"/>
      <c r="B60" s="856"/>
      <c r="C60" s="284"/>
      <c r="D60" s="1" t="s">
        <v>277</v>
      </c>
      <c r="E60" s="60" t="s">
        <v>273</v>
      </c>
      <c r="F60" s="67"/>
      <c r="G60" s="60" t="s">
        <v>273</v>
      </c>
      <c r="H60" s="60" t="s">
        <v>273</v>
      </c>
      <c r="I60" s="60" t="s">
        <v>273</v>
      </c>
      <c r="J60" s="59" t="str">
        <f t="shared" ref="J60" si="131">IFERROR(IF(J50="","",MIN(SUM(J50:J59),(B50*I50))),0)</f>
        <v/>
      </c>
      <c r="K60" s="61"/>
      <c r="L60" s="62"/>
      <c r="M60" s="62"/>
      <c r="N60" s="62"/>
      <c r="O60" s="62"/>
      <c r="P60" s="62"/>
      <c r="Q60" s="62"/>
      <c r="R60" s="62"/>
      <c r="S60" s="62"/>
      <c r="T60" s="62"/>
    </row>
    <row r="61" spans="1:20" ht="13.5" hidden="1" customHeight="1">
      <c r="A61" s="843">
        <v>9</v>
      </c>
      <c r="B61" s="879" t="str">
        <f>IF(判定!AY14&gt;=1,判定!AY14,"-")</f>
        <v>-</v>
      </c>
      <c r="C61" s="856" t="str">
        <f>IF(B61&gt;=1,IFERROR(INDEX($F$153:$G$158,MATCH(判定!AH14,$F$153:$F$158,0),2),"-"),"-")</f>
        <v>-</v>
      </c>
      <c r="D61" s="138" t="str">
        <f>IF(D50="","",D50)</f>
        <v/>
      </c>
      <c r="E61" s="60" t="str">
        <f>IF(D61="","",IF(N61="○",M$5,IF(P61="○",O$5,IF(R61="○",Q$5,IF(T61="○",S$5,"ERROR")))))</f>
        <v/>
      </c>
      <c r="F61" s="59" t="str">
        <f>IF(D61="","",IF(N61="○",M61,IF(P61="○",O61,IF(R61="○",Q61,IF(T61="○",S61,"ERROR")))))</f>
        <v/>
      </c>
      <c r="G61" s="139" t="str">
        <f>IF($B61="","",IF($E61="正規職員","-",IF(AND(EXACT(B50,B61),EXACT(D50,D61),EXACT(E50,E61)),G50,"賃金単価を記載")))</f>
        <v/>
      </c>
      <c r="H61" s="59" t="str">
        <f t="shared" ref="H61:H68" si="132">IF($D61="","",IF($E61="正規職員","-",F61*G61))</f>
        <v/>
      </c>
      <c r="I61" s="59">
        <f t="shared" si="18"/>
        <v>271333.33333333401</v>
      </c>
      <c r="J61" s="59" t="str">
        <f t="shared" ref="J61" si="133">IFERROR(IF($C61="-","",IF(D61="",0,IF(E61="正規職員",I61,MIN(H61:I61)))),0)</f>
        <v/>
      </c>
      <c r="K61" s="61" t="str">
        <f>IF(D61="","",IF(OR(COUNTIFS(D61,"*要配慮*")=1,COUNTIFS(D61,"*医療的ケア*")=1),"○","エラー"))</f>
        <v/>
      </c>
      <c r="L61" s="62">
        <f t="shared" ref="L61" si="134">L50+1</f>
        <v>8</v>
      </c>
      <c r="M61" s="62" t="e">
        <f>VLOOKUP($D61&amp;M$5,'②-2勤務時間数入力'!$D$7:$Q$106,$L61,FALSE)</f>
        <v>#N/A</v>
      </c>
      <c r="N61" s="62" t="str">
        <f t="shared" ref="N61:N70" si="135">IF(ISERROR(M61),"×",IF(M61="-","×","○"))</f>
        <v>×</v>
      </c>
      <c r="O61" s="62" t="e">
        <f>VLOOKUP($D61&amp;O$5,'②-2勤務時間数入力'!$D$7:$Q$106,$L61,FALSE)</f>
        <v>#N/A</v>
      </c>
      <c r="P61" s="62" t="str">
        <f t="shared" ref="P61:P70" si="136">IF(ISERROR(O61),"×",IF(O61="-","×","○"))</f>
        <v>×</v>
      </c>
      <c r="Q61" s="62" t="e">
        <f>VLOOKUP($D61&amp;Q$5,'②-2勤務時間数入力'!$D$7:$Q$106,$L61,FALSE)</f>
        <v>#N/A</v>
      </c>
      <c r="R61" s="62" t="str">
        <f t="shared" ref="R61:R70" si="137">IF(ISERROR(Q61),"×",IF(Q61="-","×","○"))</f>
        <v>×</v>
      </c>
      <c r="S61" s="62" t="e">
        <f>VLOOKUP($D61&amp;S$5,'②-2勤務時間数入力'!$D$7:$Q$106,$L61,FALSE)</f>
        <v>#N/A</v>
      </c>
      <c r="T61" s="62" t="str">
        <f t="shared" ref="T61:T70" si="138">IF(ISERROR(S61),"×",IF(S61="-","×","○"))</f>
        <v>×</v>
      </c>
    </row>
    <row r="62" spans="1:20" ht="13.5" hidden="1" customHeight="1">
      <c r="A62" s="854"/>
      <c r="B62" s="879"/>
      <c r="C62" s="858"/>
      <c r="D62" s="138" t="str">
        <f>IF(D51="","",D51)</f>
        <v/>
      </c>
      <c r="E62" s="60" t="str">
        <f t="shared" ref="E62:E66" si="139">IF(D62="","",IF(N62="○",M$5,IF(P62="○",O$5,IF(R62="○",Q$5,IF(T62="○",S$5,"ERROR")))))</f>
        <v/>
      </c>
      <c r="F62" s="59" t="str">
        <f t="shared" ref="F62:F66" si="140">IF(D62="","",IF(N62="○",M62,IF(P62="○",O62,IF(R62="○",Q62,IF(T62="○",S62,"ERROR")))))</f>
        <v/>
      </c>
      <c r="G62" s="139" t="str">
        <f>IF($B58="","",IF($E62="正規職員","-",IF(AND(EXACT(B47,B58),EXACT(D53,D62),EXACT(E53,E62)),G53,"賃金単価を記載")))</f>
        <v/>
      </c>
      <c r="H62" s="59" t="str">
        <f t="shared" ref="H62:H65" si="141">IF($D62="","",IF($E62="正規職員","-",F62*G62))</f>
        <v/>
      </c>
      <c r="I62" s="59">
        <f t="shared" si="18"/>
        <v>271333.33333333401</v>
      </c>
      <c r="J62" s="59" t="str">
        <f t="shared" ref="J62" si="142">IFERROR(IF($C61="-","",IF(D62="","",IF(E62="正規職員",I62-J61,MIN(MIN(H62:I62),I61-J61)))),0)</f>
        <v/>
      </c>
      <c r="K62" s="61" t="str">
        <f t="shared" ref="K62:K66" si="143">IF(D62="","",IF(OR(COUNTIFS(D62,"*要配慮*")=1,COUNTIFS(D62,"*医療的ケア*")=1),"○","エラー"))</f>
        <v/>
      </c>
      <c r="L62" s="62">
        <f>L61</f>
        <v>8</v>
      </c>
      <c r="M62" s="62" t="e">
        <f>VLOOKUP($D62&amp;M$5,'②-2勤務時間数入力'!$D$7:$Q$106,$L62,FALSE)</f>
        <v>#N/A</v>
      </c>
      <c r="N62" s="62" t="str">
        <f t="shared" si="135"/>
        <v>×</v>
      </c>
      <c r="O62" s="62" t="e">
        <f>VLOOKUP($D62&amp;O$5,'②-2勤務時間数入力'!$D$7:$Q$106,$L62,FALSE)</f>
        <v>#N/A</v>
      </c>
      <c r="P62" s="62" t="str">
        <f t="shared" si="136"/>
        <v>×</v>
      </c>
      <c r="Q62" s="62" t="e">
        <f>VLOOKUP($D62&amp;Q$5,'②-2勤務時間数入力'!$D$7:$Q$106,$L62,FALSE)</f>
        <v>#N/A</v>
      </c>
      <c r="R62" s="62" t="str">
        <f t="shared" si="137"/>
        <v>×</v>
      </c>
      <c r="S62" s="62" t="e">
        <f>VLOOKUP($D62&amp;S$5,'②-2勤務時間数入力'!$D$7:$Q$106,$L62,FALSE)</f>
        <v>#N/A</v>
      </c>
      <c r="T62" s="62" t="str">
        <f t="shared" si="138"/>
        <v>×</v>
      </c>
    </row>
    <row r="63" spans="1:20" ht="13.5" hidden="1" customHeight="1">
      <c r="A63" s="854"/>
      <c r="B63" s="879"/>
      <c r="C63" s="856" t="str">
        <f>IF(B61&gt;=1,IFERROR(INDEX($F$153:$G$158,MATCH(判定!AI14,$F$153:$F$158,0),2),"-"),"-")</f>
        <v>-</v>
      </c>
      <c r="D63" s="138" t="str">
        <f>IF(D52="","",D52)</f>
        <v/>
      </c>
      <c r="E63" s="60" t="str">
        <f t="shared" ref="E63:E64" si="144">IF(D63="","",IF(N63="○",M$5,IF(P63="○",O$5,IF(R63="○",Q$5,IF(T63="○",S$5,"ERROR")))))</f>
        <v/>
      </c>
      <c r="F63" s="59" t="str">
        <f t="shared" ref="F63:F64" si="145">IF(D63="","",IF(N63="○",M63,IF(P63="○",O63,IF(R63="○",Q63,IF(T63="○",S63,"ERROR")))))</f>
        <v/>
      </c>
      <c r="G63" s="139" t="str">
        <f>IF($B56="","",IF($E63="正規職員","-",IF(AND(EXACT(B45,B56),EXACT(D52,D63),EXACT(E52,E63)),G52,"賃金単価を記載")))</f>
        <v/>
      </c>
      <c r="H63" s="59" t="str">
        <f t="shared" ref="H63" si="146">IF($D63="","",IF($E63="正規職員","-",F63*G63))</f>
        <v/>
      </c>
      <c r="I63" s="59">
        <f t="shared" si="18"/>
        <v>271333.33333333401</v>
      </c>
      <c r="J63" s="59" t="str">
        <f t="shared" ref="J63" si="147">IFERROR(IF($C63="-","",IF(D63="",0,IF(E63="正規職員",I63,MIN(H63:I63)))),0)</f>
        <v/>
      </c>
      <c r="K63" s="61" t="str">
        <f t="shared" ref="K63:K64" si="148">IF(D63="","",IF(OR(COUNTIFS(D63,"*要配慮*")=1,COUNTIFS(D63,"*医療的ケア*")=1),"○","エラー"))</f>
        <v/>
      </c>
      <c r="L63" s="62">
        <f t="shared" ref="L63:L70" si="149">L62</f>
        <v>8</v>
      </c>
      <c r="M63" s="62" t="e">
        <f>VLOOKUP($D63&amp;M$5,'②-2勤務時間数入力'!$D$7:$Q$106,$L63,FALSE)</f>
        <v>#N/A</v>
      </c>
      <c r="N63" s="62" t="str">
        <f t="shared" si="135"/>
        <v>×</v>
      </c>
      <c r="O63" s="62" t="e">
        <f>VLOOKUP($D63&amp;O$5,'②-2勤務時間数入力'!$D$7:$Q$106,$L63,FALSE)</f>
        <v>#N/A</v>
      </c>
      <c r="P63" s="62" t="str">
        <f t="shared" si="136"/>
        <v>×</v>
      </c>
      <c r="Q63" s="62" t="e">
        <f>VLOOKUP($D63&amp;Q$5,'②-2勤務時間数入力'!$D$7:$Q$106,$L63,FALSE)</f>
        <v>#N/A</v>
      </c>
      <c r="R63" s="62" t="str">
        <f t="shared" si="137"/>
        <v>×</v>
      </c>
      <c r="S63" s="62" t="e">
        <f>VLOOKUP($D63&amp;S$5,'②-2勤務時間数入力'!$D$7:$Q$106,$L63,FALSE)</f>
        <v>#N/A</v>
      </c>
      <c r="T63" s="62" t="str">
        <f t="shared" si="138"/>
        <v>×</v>
      </c>
    </row>
    <row r="64" spans="1:20" ht="13.5" hidden="1" customHeight="1">
      <c r="A64" s="854"/>
      <c r="B64" s="879"/>
      <c r="C64" s="858"/>
      <c r="D64" s="138" t="str">
        <f t="shared" ref="D64:D70" si="150">IF(D53="","",D53)</f>
        <v/>
      </c>
      <c r="E64" s="60" t="str">
        <f t="shared" si="144"/>
        <v/>
      </c>
      <c r="F64" s="59" t="str">
        <f t="shared" si="145"/>
        <v/>
      </c>
      <c r="G64" s="139" t="str">
        <f>IF($B56="","",IF($E64="正規職員","-",IF(AND(EXACT(B45,B56),EXACT(D53,D64),EXACT(E53,E64)),G53,"賃金単価を記載")))</f>
        <v/>
      </c>
      <c r="H64" s="59" t="str">
        <f>IF($D64="","",IF($E64="正規職員","-",F64*G64))</f>
        <v/>
      </c>
      <c r="I64" s="59">
        <f t="shared" si="18"/>
        <v>271333.33333333401</v>
      </c>
      <c r="J64" s="59" t="str">
        <f t="shared" ref="J64" si="151">IFERROR(IF($C63="-","",IF(D64="","",IF(E64="正規職員",I64-J63,MIN(MIN(H64:I64),I63-J63)))),0)</f>
        <v/>
      </c>
      <c r="K64" s="61" t="str">
        <f t="shared" si="148"/>
        <v/>
      </c>
      <c r="L64" s="62">
        <f t="shared" si="149"/>
        <v>8</v>
      </c>
      <c r="M64" s="62" t="e">
        <f>VLOOKUP($D64&amp;M$5,'②-2勤務時間数入力'!$D$7:$Q$106,$L64,FALSE)</f>
        <v>#N/A</v>
      </c>
      <c r="N64" s="62" t="str">
        <f t="shared" si="135"/>
        <v>×</v>
      </c>
      <c r="O64" s="62" t="e">
        <f>VLOOKUP($D64&amp;O$5,'②-2勤務時間数入力'!$D$7:$Q$106,$L64,FALSE)</f>
        <v>#N/A</v>
      </c>
      <c r="P64" s="62" t="str">
        <f t="shared" si="136"/>
        <v>×</v>
      </c>
      <c r="Q64" s="62" t="e">
        <f>VLOOKUP($D64&amp;Q$5,'②-2勤務時間数入力'!$D$7:$Q$106,$L64,FALSE)</f>
        <v>#N/A</v>
      </c>
      <c r="R64" s="62" t="str">
        <f t="shared" si="137"/>
        <v>×</v>
      </c>
      <c r="S64" s="62" t="e">
        <f>VLOOKUP($D64&amp;S$5,'②-2勤務時間数入力'!$D$7:$Q$106,$L64,FALSE)</f>
        <v>#N/A</v>
      </c>
      <c r="T64" s="62" t="str">
        <f t="shared" si="138"/>
        <v>×</v>
      </c>
    </row>
    <row r="65" spans="1:20" ht="13.5" hidden="1" customHeight="1">
      <c r="A65" s="854"/>
      <c r="B65" s="879"/>
      <c r="C65" s="856" t="str">
        <f>IF(B61&gt;=1,IFERROR(INDEX($F$153:$G$158,MATCH(判定!AJ14,$F$153:$F$158,0),2),"-"),"-")</f>
        <v>-</v>
      </c>
      <c r="D65" s="138" t="str">
        <f t="shared" si="150"/>
        <v/>
      </c>
      <c r="E65" s="60" t="str">
        <f t="shared" si="139"/>
        <v/>
      </c>
      <c r="F65" s="59" t="str">
        <f t="shared" si="140"/>
        <v/>
      </c>
      <c r="G65" s="139" t="str">
        <f>IF($B58="","",IF($E65="正規職員","-",IF(AND(EXACT(B47,B58),EXACT(D54,D65),EXACT(E54,E65)),G54,"賃金単価を記載")))</f>
        <v/>
      </c>
      <c r="H65" s="59" t="str">
        <f t="shared" si="141"/>
        <v/>
      </c>
      <c r="I65" s="59">
        <f t="shared" si="18"/>
        <v>271333.33333333401</v>
      </c>
      <c r="J65" s="59" t="str">
        <f t="shared" ref="J65" si="152">IFERROR(IF($C65="-","",IF(D65="",0,IF(E65="正規職員",I65,MIN(H65:I65)))),0)</f>
        <v/>
      </c>
      <c r="K65" s="61" t="str">
        <f t="shared" si="143"/>
        <v/>
      </c>
      <c r="L65" s="62">
        <f t="shared" si="149"/>
        <v>8</v>
      </c>
      <c r="M65" s="62" t="e">
        <f>VLOOKUP($D65&amp;M$5,'②-2勤務時間数入力'!$D$7:$Q$106,$L65,FALSE)</f>
        <v>#N/A</v>
      </c>
      <c r="N65" s="62" t="str">
        <f t="shared" si="135"/>
        <v>×</v>
      </c>
      <c r="O65" s="62" t="e">
        <f>VLOOKUP($D65&amp;O$5,'②-2勤務時間数入力'!$D$7:$Q$106,$L65,FALSE)</f>
        <v>#N/A</v>
      </c>
      <c r="P65" s="62" t="str">
        <f t="shared" si="136"/>
        <v>×</v>
      </c>
      <c r="Q65" s="62" t="e">
        <f>VLOOKUP($D65&amp;Q$5,'②-2勤務時間数入力'!$D$7:$Q$106,$L65,FALSE)</f>
        <v>#N/A</v>
      </c>
      <c r="R65" s="62" t="str">
        <f t="shared" si="137"/>
        <v>×</v>
      </c>
      <c r="S65" s="62" t="e">
        <f>VLOOKUP($D65&amp;S$5,'②-2勤務時間数入力'!$D$7:$Q$106,$L65,FALSE)</f>
        <v>#N/A</v>
      </c>
      <c r="T65" s="62" t="str">
        <f t="shared" si="138"/>
        <v>×</v>
      </c>
    </row>
    <row r="66" spans="1:20" ht="13.5" hidden="1" customHeight="1">
      <c r="A66" s="854"/>
      <c r="B66" s="879"/>
      <c r="C66" s="858"/>
      <c r="D66" s="138" t="str">
        <f t="shared" si="150"/>
        <v/>
      </c>
      <c r="E66" s="60" t="str">
        <f t="shared" si="139"/>
        <v/>
      </c>
      <c r="F66" s="59" t="str">
        <f t="shared" si="140"/>
        <v/>
      </c>
      <c r="G66" s="139" t="str">
        <f>IF($B58="","",IF($E66="正規職員","-",IF(AND(EXACT(B47,B58),EXACT(D55,D66),EXACT(E55,E66)),G55,"賃金単価を記載")))</f>
        <v/>
      </c>
      <c r="H66" s="59" t="str">
        <f>IF($D66="","",IF($E66="正規職員","-",F66*G66))</f>
        <v/>
      </c>
      <c r="I66" s="59">
        <f t="shared" si="18"/>
        <v>271333.33333333401</v>
      </c>
      <c r="J66" s="59" t="str">
        <f t="shared" ref="J66" si="153">IFERROR(IF($C65="-","",IF(D66="","",IF(E66="正規職員",I66-J65,MIN(MIN(H66:I66),I65-J65)))),0)</f>
        <v/>
      </c>
      <c r="K66" s="61" t="str">
        <f t="shared" si="143"/>
        <v/>
      </c>
      <c r="L66" s="62">
        <f t="shared" si="149"/>
        <v>8</v>
      </c>
      <c r="M66" s="62" t="e">
        <f>VLOOKUP($D66&amp;M$5,'②-2勤務時間数入力'!$D$7:$Q$106,$L66,FALSE)</f>
        <v>#N/A</v>
      </c>
      <c r="N66" s="62" t="str">
        <f t="shared" si="135"/>
        <v>×</v>
      </c>
      <c r="O66" s="62" t="e">
        <f>VLOOKUP($D66&amp;O$5,'②-2勤務時間数入力'!$D$7:$Q$106,$L66,FALSE)</f>
        <v>#N/A</v>
      </c>
      <c r="P66" s="62" t="str">
        <f t="shared" si="136"/>
        <v>×</v>
      </c>
      <c r="Q66" s="62" t="e">
        <f>VLOOKUP($D66&amp;Q$5,'②-2勤務時間数入力'!$D$7:$Q$106,$L66,FALSE)</f>
        <v>#N/A</v>
      </c>
      <c r="R66" s="62" t="str">
        <f t="shared" si="137"/>
        <v>×</v>
      </c>
      <c r="S66" s="62" t="e">
        <f>VLOOKUP($D66&amp;S$5,'②-2勤務時間数入力'!$D$7:$Q$106,$L66,FALSE)</f>
        <v>#N/A</v>
      </c>
      <c r="T66" s="62" t="str">
        <f t="shared" si="138"/>
        <v>×</v>
      </c>
    </row>
    <row r="67" spans="1:20" ht="13.5" hidden="1" customHeight="1">
      <c r="A67" s="854"/>
      <c r="B67" s="879"/>
      <c r="C67" s="856" t="str">
        <f>IF(B61&gt;=1,IFERROR(INDEX($F$153:$G$158,MATCH(判定!AK14,$F$153:$F$158,0),2),"-"),"-")</f>
        <v>-</v>
      </c>
      <c r="D67" s="138" t="str">
        <f t="shared" si="150"/>
        <v/>
      </c>
      <c r="E67" s="60" t="str">
        <f t="shared" ref="E67:E70" si="154">IF(D67="","",IF(N67="○",M$5,IF(P67="○",O$5,IF(R67="○",Q$5,IF(T67="○",S$5,"ERROR")))))</f>
        <v/>
      </c>
      <c r="F67" s="59" t="str">
        <f t="shared" ref="F67:F70" si="155">IF(D67="","",IF(N67="○",M67,IF(P67="○",O67,IF(R67="○",Q67,IF(T67="○",S67,"ERROR")))))</f>
        <v/>
      </c>
      <c r="G67" s="139" t="str">
        <f>IF($B61="","",IF($E67="正規職員","-",IF(AND(EXACT(B50,B61),EXACT(D56,D67),EXACT(E56,E67)),G56,"賃金単価を記載")))</f>
        <v/>
      </c>
      <c r="H67" s="59" t="str">
        <f t="shared" si="132"/>
        <v/>
      </c>
      <c r="I67" s="59">
        <f t="shared" si="18"/>
        <v>271333.33333333401</v>
      </c>
      <c r="J67" s="59" t="str">
        <f t="shared" ref="J67" si="156">IFERROR(IF($C67="-","",IF(D67="",0,IF(E67="正規職員",I67,MIN(H67:I67)))),0)</f>
        <v/>
      </c>
      <c r="K67" s="61" t="str">
        <f t="shared" ref="K67:K70" si="157">IF(D67="","",IF(OR(COUNTIFS(D67,"*要配慮*")=1,COUNTIFS(D67,"*医療的ケア*")=1),"○","エラー"))</f>
        <v/>
      </c>
      <c r="L67" s="62">
        <f t="shared" si="149"/>
        <v>8</v>
      </c>
      <c r="M67" s="62" t="e">
        <f>VLOOKUP($D67&amp;M$5,'②-2勤務時間数入力'!$D$7:$Q$106,$L67,FALSE)</f>
        <v>#N/A</v>
      </c>
      <c r="N67" s="62" t="str">
        <f t="shared" si="135"/>
        <v>×</v>
      </c>
      <c r="O67" s="62" t="e">
        <f>VLOOKUP($D67&amp;O$5,'②-2勤務時間数入力'!$D$7:$Q$106,$L67,FALSE)</f>
        <v>#N/A</v>
      </c>
      <c r="P67" s="62" t="str">
        <f t="shared" si="136"/>
        <v>×</v>
      </c>
      <c r="Q67" s="62" t="e">
        <f>VLOOKUP($D67&amp;Q$5,'②-2勤務時間数入力'!$D$7:$Q$106,$L67,FALSE)</f>
        <v>#N/A</v>
      </c>
      <c r="R67" s="62" t="str">
        <f t="shared" si="137"/>
        <v>×</v>
      </c>
      <c r="S67" s="62" t="e">
        <f>VLOOKUP($D67&amp;S$5,'②-2勤務時間数入力'!$D$7:$Q$106,$L67,FALSE)</f>
        <v>#N/A</v>
      </c>
      <c r="T67" s="62" t="str">
        <f t="shared" si="138"/>
        <v>×</v>
      </c>
    </row>
    <row r="68" spans="1:20" ht="13.5" hidden="1" customHeight="1">
      <c r="A68" s="854"/>
      <c r="B68" s="879"/>
      <c r="C68" s="858"/>
      <c r="D68" s="138" t="str">
        <f>IF(D57="","",D57)</f>
        <v/>
      </c>
      <c r="E68" s="60" t="str">
        <f t="shared" si="154"/>
        <v/>
      </c>
      <c r="F68" s="59" t="str">
        <f t="shared" si="155"/>
        <v/>
      </c>
      <c r="G68" s="139" t="str">
        <f>IF($B61="","",IF($E68="正規職員","-",IF(AND(EXACT(B50,B61),EXACT(D57,D68),EXACT(E57,E68)),G57,"賃金単価を記載")))</f>
        <v/>
      </c>
      <c r="H68" s="59" t="str">
        <f t="shared" si="132"/>
        <v/>
      </c>
      <c r="I68" s="59">
        <f t="shared" si="18"/>
        <v>271333.33333333401</v>
      </c>
      <c r="J68" s="59" t="str">
        <f t="shared" ref="J68" si="158">IFERROR(IF($C67="-","",IF(D68="","",IF(E68="正規職員",I68-J67,MIN(MIN(H68:I68),I67-J67)))),0)</f>
        <v/>
      </c>
      <c r="K68" s="61" t="str">
        <f t="shared" si="157"/>
        <v/>
      </c>
      <c r="L68" s="62">
        <f t="shared" si="149"/>
        <v>8</v>
      </c>
      <c r="M68" s="62" t="e">
        <f>VLOOKUP($D68&amp;M$5,'②-2勤務時間数入力'!$D$7:$Q$106,$L68,FALSE)</f>
        <v>#N/A</v>
      </c>
      <c r="N68" s="62" t="str">
        <f t="shared" si="135"/>
        <v>×</v>
      </c>
      <c r="O68" s="62" t="e">
        <f>VLOOKUP($D68&amp;O$5,'②-2勤務時間数入力'!$D$7:$Q$106,$L68,FALSE)</f>
        <v>#N/A</v>
      </c>
      <c r="P68" s="62" t="str">
        <f t="shared" si="136"/>
        <v>×</v>
      </c>
      <c r="Q68" s="62" t="e">
        <f>VLOOKUP($D68&amp;Q$5,'②-2勤務時間数入力'!$D$7:$Q$106,$L68,FALSE)</f>
        <v>#N/A</v>
      </c>
      <c r="R68" s="62" t="str">
        <f t="shared" si="137"/>
        <v>×</v>
      </c>
      <c r="S68" s="62" t="e">
        <f>VLOOKUP($D68&amp;S$5,'②-2勤務時間数入力'!$D$7:$Q$106,$L68,FALSE)</f>
        <v>#N/A</v>
      </c>
      <c r="T68" s="62" t="str">
        <f t="shared" si="138"/>
        <v>×</v>
      </c>
    </row>
    <row r="69" spans="1:20" ht="13.5" hidden="1" customHeight="1">
      <c r="A69" s="854"/>
      <c r="B69" s="879"/>
      <c r="C69" s="856" t="str">
        <f>IF(B61&gt;=1,IFERROR(INDEX($F$153:$G$158,MATCH(判定!AL14,$F$153:$F$158,0),2),"-"),"-")</f>
        <v>-</v>
      </c>
      <c r="D69" s="138" t="str">
        <f t="shared" si="150"/>
        <v/>
      </c>
      <c r="E69" s="60" t="str">
        <f t="shared" si="154"/>
        <v/>
      </c>
      <c r="F69" s="59" t="str">
        <f t="shared" si="155"/>
        <v/>
      </c>
      <c r="G69" s="139" t="str">
        <f>IF($B61="","",IF($E69="正規職員","-",IF(AND(EXACT(B50,B61),EXACT(D58,D69),EXACT(E58,E69)),G58,"賃金単価を記載")))</f>
        <v/>
      </c>
      <c r="H69" s="59" t="str">
        <f>IF($D69="","",IF($E69="正規職員","-",F69*G69))</f>
        <v/>
      </c>
      <c r="I69" s="59">
        <f t="shared" si="18"/>
        <v>271333.33333333401</v>
      </c>
      <c r="J69" s="59" t="str">
        <f t="shared" ref="J69" si="159">IFERROR(IF($C69="-","",IF(D69="",0,IF(E69="正規職員",I69,MIN(H69:I69)))),0)</f>
        <v/>
      </c>
      <c r="K69" s="61" t="str">
        <f t="shared" si="157"/>
        <v/>
      </c>
      <c r="L69" s="62">
        <f t="shared" si="149"/>
        <v>8</v>
      </c>
      <c r="M69" s="62" t="e">
        <f>VLOOKUP($D69&amp;M$5,'②-2勤務時間数入力'!$D$7:$Q$106,$L69,FALSE)</f>
        <v>#N/A</v>
      </c>
      <c r="N69" s="62" t="str">
        <f t="shared" si="135"/>
        <v>×</v>
      </c>
      <c r="O69" s="62" t="e">
        <f>VLOOKUP($D69&amp;O$5,'②-2勤務時間数入力'!$D$7:$Q$106,$L69,FALSE)</f>
        <v>#N/A</v>
      </c>
      <c r="P69" s="62" t="str">
        <f t="shared" si="136"/>
        <v>×</v>
      </c>
      <c r="Q69" s="62" t="e">
        <f>VLOOKUP($D69&amp;Q$5,'②-2勤務時間数入力'!$D$7:$Q$106,$L69,FALSE)</f>
        <v>#N/A</v>
      </c>
      <c r="R69" s="62" t="str">
        <f t="shared" si="137"/>
        <v>×</v>
      </c>
      <c r="S69" s="62" t="e">
        <f>VLOOKUP($D69&amp;S$5,'②-2勤務時間数入力'!$D$7:$Q$106,$L69,FALSE)</f>
        <v>#N/A</v>
      </c>
      <c r="T69" s="62" t="str">
        <f t="shared" si="138"/>
        <v>×</v>
      </c>
    </row>
    <row r="70" spans="1:20" ht="13.5" hidden="1" customHeight="1">
      <c r="A70" s="878"/>
      <c r="B70" s="879"/>
      <c r="C70" s="858"/>
      <c r="D70" s="138" t="str">
        <f t="shared" si="150"/>
        <v/>
      </c>
      <c r="E70" s="60" t="str">
        <f t="shared" si="154"/>
        <v/>
      </c>
      <c r="F70" s="59" t="str">
        <f t="shared" si="155"/>
        <v/>
      </c>
      <c r="G70" s="139" t="str">
        <f>IF($B61="","",IF($E70="正規職員","-",IF(AND(EXACT(B50,B61),EXACT(D59,D70),EXACT(E59,E70)),G59,"賃金単価を記載")))</f>
        <v/>
      </c>
      <c r="H70" s="59" t="str">
        <f>IF($D70="","",IF($E70="正規職員","-",F70*G70))</f>
        <v/>
      </c>
      <c r="I70" s="59">
        <f t="shared" si="18"/>
        <v>271333.33333333401</v>
      </c>
      <c r="J70" s="59" t="str">
        <f t="shared" ref="J70" si="160">IFERROR(IF($C69="-","",IF(D70="","",IF(E70="正規職員",I70-J69,MIN(MIN(H70:I70),I69-J69)))),0)</f>
        <v/>
      </c>
      <c r="K70" s="61" t="str">
        <f t="shared" si="157"/>
        <v/>
      </c>
      <c r="L70" s="62">
        <f t="shared" si="149"/>
        <v>8</v>
      </c>
      <c r="M70" s="62" t="e">
        <f>VLOOKUP($D70&amp;M$5,'②-2勤務時間数入力'!$D$7:$Q$106,$L70,FALSE)</f>
        <v>#N/A</v>
      </c>
      <c r="N70" s="62" t="str">
        <f t="shared" si="135"/>
        <v>×</v>
      </c>
      <c r="O70" s="62" t="e">
        <f>VLOOKUP($D70&amp;O$5,'②-2勤務時間数入力'!$D$7:$Q$106,$L70,FALSE)</f>
        <v>#N/A</v>
      </c>
      <c r="P70" s="62" t="str">
        <f t="shared" si="136"/>
        <v>×</v>
      </c>
      <c r="Q70" s="62" t="e">
        <f>VLOOKUP($D70&amp;Q$5,'②-2勤務時間数入力'!$D$7:$Q$106,$L70,FALSE)</f>
        <v>#N/A</v>
      </c>
      <c r="R70" s="62" t="str">
        <f t="shared" si="137"/>
        <v>×</v>
      </c>
      <c r="S70" s="62" t="e">
        <f>VLOOKUP($D70&amp;S$5,'②-2勤務時間数入力'!$D$7:$Q$106,$L70,FALSE)</f>
        <v>#N/A</v>
      </c>
      <c r="T70" s="62" t="str">
        <f t="shared" si="138"/>
        <v>×</v>
      </c>
    </row>
    <row r="71" spans="1:20" ht="13.5" hidden="1" customHeight="1">
      <c r="A71" s="844"/>
      <c r="B71" s="856"/>
      <c r="C71" s="284"/>
      <c r="D71" s="1" t="s">
        <v>278</v>
      </c>
      <c r="E71" s="60" t="s">
        <v>273</v>
      </c>
      <c r="F71" s="67"/>
      <c r="G71" s="60" t="s">
        <v>273</v>
      </c>
      <c r="H71" s="60" t="s">
        <v>273</v>
      </c>
      <c r="I71" s="60" t="s">
        <v>273</v>
      </c>
      <c r="J71" s="59" t="str">
        <f t="shared" ref="J71" si="161">IFERROR(IF(J61="","",MIN(SUM(J61:J70),(B61*I61))),0)</f>
        <v/>
      </c>
      <c r="K71" s="61"/>
      <c r="L71" s="62"/>
      <c r="M71" s="62"/>
      <c r="N71" s="62"/>
      <c r="O71" s="62"/>
      <c r="P71" s="62"/>
      <c r="Q71" s="62"/>
      <c r="R71" s="62"/>
      <c r="S71" s="62"/>
      <c r="T71" s="62"/>
    </row>
    <row r="72" spans="1:20" ht="13.5" hidden="1" customHeight="1">
      <c r="A72" s="843">
        <v>10</v>
      </c>
      <c r="B72" s="856" t="str">
        <f>IF(判定!AY15&gt;=1,判定!AY15,"-")</f>
        <v>-</v>
      </c>
      <c r="C72" s="856" t="str">
        <f>IF(B72&gt;=1,IFERROR(INDEX($F$153:$G$158,MATCH(判定!AH15,$F$153:$F$158,0),2),"-"),"-")</f>
        <v>-</v>
      </c>
      <c r="D72" s="138" t="str">
        <f>IF(D61="","",D61)</f>
        <v/>
      </c>
      <c r="E72" s="60" t="str">
        <f>IF(D72="","",IF(N72="○",M$5,IF(P72="○",O$5,IF(R72="○",Q$5,IF(T72="○",S$5,"ERROR")))))</f>
        <v/>
      </c>
      <c r="F72" s="59" t="str">
        <f>IF(D72="","",IF(N72="○",M72,IF(P72="○",O72,IF(R72="○",Q72,IF(T72="○",S72,"ERROR")))))</f>
        <v/>
      </c>
      <c r="G72" s="139" t="str">
        <f>IF($B72="","",IF($E72="正規職員","-",IF(AND(EXACT(B61,B72),EXACT(D61,D72),EXACT(E61,E72)),G61,"賃金単価を記載")))</f>
        <v/>
      </c>
      <c r="H72" s="59" t="str">
        <f t="shared" ref="H72:H79" si="162">IF($D72="","",IF($E72="正規職員","-",F72*G72))</f>
        <v/>
      </c>
      <c r="I72" s="59">
        <f t="shared" si="18"/>
        <v>271333.33333333401</v>
      </c>
      <c r="J72" s="59" t="str">
        <f t="shared" ref="J72" si="163">IFERROR(IF($C72="-","",IF(D72="",0,IF(E72="正規職員",I72,MIN(H72:I72)))),0)</f>
        <v/>
      </c>
      <c r="K72" s="61" t="str">
        <f>IF(D72="","",IF(OR(COUNTIFS(D72,"*要配慮*")=1,COUNTIFS(D72,"*医療的ケア*")=1),"○","エラー"))</f>
        <v/>
      </c>
      <c r="L72" s="62">
        <f t="shared" ref="L72" si="164">L61+1</f>
        <v>9</v>
      </c>
      <c r="M72" s="62" t="e">
        <f>VLOOKUP($D72&amp;M$5,'②-2勤務時間数入力'!$D$7:$Q$106,$L72,FALSE)</f>
        <v>#N/A</v>
      </c>
      <c r="N72" s="62" t="str">
        <f t="shared" ref="N72:N81" si="165">IF(ISERROR(M72),"×",IF(M72="-","×","○"))</f>
        <v>×</v>
      </c>
      <c r="O72" s="62" t="e">
        <f>VLOOKUP($D72&amp;O$5,'②-2勤務時間数入力'!$D$7:$Q$106,$L72,FALSE)</f>
        <v>#N/A</v>
      </c>
      <c r="P72" s="62" t="str">
        <f t="shared" ref="P72:P81" si="166">IF(ISERROR(O72),"×",IF(O72="-","×","○"))</f>
        <v>×</v>
      </c>
      <c r="Q72" s="62" t="e">
        <f>VLOOKUP($D72&amp;Q$5,'②-2勤務時間数入力'!$D$7:$Q$106,$L72,FALSE)</f>
        <v>#N/A</v>
      </c>
      <c r="R72" s="62" t="str">
        <f t="shared" ref="R72:R81" si="167">IF(ISERROR(Q72),"×",IF(Q72="-","×","○"))</f>
        <v>×</v>
      </c>
      <c r="S72" s="62" t="e">
        <f>VLOOKUP($D72&amp;S$5,'②-2勤務時間数入力'!$D$7:$Q$106,$L72,FALSE)</f>
        <v>#N/A</v>
      </c>
      <c r="T72" s="62" t="str">
        <f t="shared" ref="T72:T81" si="168">IF(ISERROR(S72),"×",IF(S72="-","×","○"))</f>
        <v>×</v>
      </c>
    </row>
    <row r="73" spans="1:20" ht="13.5" hidden="1" customHeight="1">
      <c r="A73" s="854"/>
      <c r="B73" s="857"/>
      <c r="C73" s="858"/>
      <c r="D73" s="138" t="str">
        <f>IF(D62="","",D62)</f>
        <v/>
      </c>
      <c r="E73" s="60" t="str">
        <f t="shared" ref="E73:E77" si="169">IF(D73="","",IF(N73="○",M$5,IF(P73="○",O$5,IF(R73="○",Q$5,IF(T73="○",S$5,"ERROR")))))</f>
        <v/>
      </c>
      <c r="F73" s="59" t="str">
        <f t="shared" ref="F73:F77" si="170">IF(D73="","",IF(N73="○",M73,IF(P73="○",O73,IF(R73="○",Q73,IF(T73="○",S73,"ERROR")))))</f>
        <v/>
      </c>
      <c r="G73" s="139" t="str">
        <f>IF($B69="","",IF($E73="正規職員","-",IF(AND(EXACT(B58,B69),EXACT(D64,D73),EXACT(E64,E73)),G64,"賃金単価を記載")))</f>
        <v/>
      </c>
      <c r="H73" s="59" t="str">
        <f t="shared" ref="H73:H76" si="171">IF($D73="","",IF($E73="正規職員","-",F73*G73))</f>
        <v/>
      </c>
      <c r="I73" s="59">
        <f t="shared" si="18"/>
        <v>271333.33333333401</v>
      </c>
      <c r="J73" s="59" t="str">
        <f t="shared" ref="J73" si="172">IFERROR(IF($C72="-","",IF(D73="","",IF(E73="正規職員",I73-J72,MIN(MIN(H73:I73),I72-J72)))),0)</f>
        <v/>
      </c>
      <c r="K73" s="61" t="str">
        <f t="shared" ref="K73:K77" si="173">IF(D73="","",IF(OR(COUNTIFS(D73,"*要配慮*")=1,COUNTIFS(D73,"*医療的ケア*")=1),"○","エラー"))</f>
        <v/>
      </c>
      <c r="L73" s="62">
        <f>L72</f>
        <v>9</v>
      </c>
      <c r="M73" s="62" t="e">
        <f>VLOOKUP($D73&amp;M$5,'②-2勤務時間数入力'!$D$7:$Q$106,$L73,FALSE)</f>
        <v>#N/A</v>
      </c>
      <c r="N73" s="62" t="str">
        <f t="shared" si="165"/>
        <v>×</v>
      </c>
      <c r="O73" s="62" t="e">
        <f>VLOOKUP($D73&amp;O$5,'②-2勤務時間数入力'!$D$7:$Q$106,$L73,FALSE)</f>
        <v>#N/A</v>
      </c>
      <c r="P73" s="62" t="str">
        <f t="shared" si="166"/>
        <v>×</v>
      </c>
      <c r="Q73" s="62" t="e">
        <f>VLOOKUP($D73&amp;Q$5,'②-2勤務時間数入力'!$D$7:$Q$106,$L73,FALSE)</f>
        <v>#N/A</v>
      </c>
      <c r="R73" s="62" t="str">
        <f t="shared" si="167"/>
        <v>×</v>
      </c>
      <c r="S73" s="62" t="e">
        <f>VLOOKUP($D73&amp;S$5,'②-2勤務時間数入力'!$D$7:$Q$106,$L73,FALSE)</f>
        <v>#N/A</v>
      </c>
      <c r="T73" s="62" t="str">
        <f t="shared" si="168"/>
        <v>×</v>
      </c>
    </row>
    <row r="74" spans="1:20" ht="13.5" hidden="1" customHeight="1">
      <c r="A74" s="854"/>
      <c r="B74" s="857"/>
      <c r="C74" s="856" t="str">
        <f>IF(B72&gt;=1,IFERROR(INDEX($F$153:$G$158,MATCH(判定!AI15,$F$153:$F$158,0),2),"-"),"-")</f>
        <v>-</v>
      </c>
      <c r="D74" s="138" t="str">
        <f>IF(D63="","",D63)</f>
        <v/>
      </c>
      <c r="E74" s="60" t="str">
        <f t="shared" ref="E74:E75" si="174">IF(D74="","",IF(N74="○",M$5,IF(P74="○",O$5,IF(R74="○",Q$5,IF(T74="○",S$5,"ERROR")))))</f>
        <v/>
      </c>
      <c r="F74" s="59" t="str">
        <f t="shared" ref="F74:F75" si="175">IF(D74="","",IF(N74="○",M74,IF(P74="○",O74,IF(R74="○",Q74,IF(T74="○",S74,"ERROR")))))</f>
        <v/>
      </c>
      <c r="G74" s="139" t="str">
        <f>IF($B67="","",IF($E74="正規職員","-",IF(AND(EXACT(B56,B67),EXACT(D63,D74),EXACT(E63,E74)),G63,"賃金単価を記載")))</f>
        <v/>
      </c>
      <c r="H74" s="59" t="str">
        <f t="shared" ref="H74" si="176">IF($D74="","",IF($E74="正規職員","-",F74*G74))</f>
        <v/>
      </c>
      <c r="I74" s="59">
        <f t="shared" si="18"/>
        <v>271333.33333333401</v>
      </c>
      <c r="J74" s="59" t="str">
        <f t="shared" ref="J74" si="177">IFERROR(IF($C74="-","",IF(D74="",0,IF(E74="正規職員",I74,MIN(H74:I74)))),0)</f>
        <v/>
      </c>
      <c r="K74" s="61" t="str">
        <f t="shared" ref="K74:K75" si="178">IF(D74="","",IF(OR(COUNTIFS(D74,"*要配慮*")=1,COUNTIFS(D74,"*医療的ケア*")=1),"○","エラー"))</f>
        <v/>
      </c>
      <c r="L74" s="62">
        <f t="shared" ref="L74:L81" si="179">L73</f>
        <v>9</v>
      </c>
      <c r="M74" s="62" t="e">
        <f>VLOOKUP($D74&amp;M$5,'②-2勤務時間数入力'!$D$7:$Q$106,$L74,FALSE)</f>
        <v>#N/A</v>
      </c>
      <c r="N74" s="62" t="str">
        <f t="shared" si="165"/>
        <v>×</v>
      </c>
      <c r="O74" s="62" t="e">
        <f>VLOOKUP($D74&amp;O$5,'②-2勤務時間数入力'!$D$7:$Q$106,$L74,FALSE)</f>
        <v>#N/A</v>
      </c>
      <c r="P74" s="62" t="str">
        <f t="shared" si="166"/>
        <v>×</v>
      </c>
      <c r="Q74" s="62" t="e">
        <f>VLOOKUP($D74&amp;Q$5,'②-2勤務時間数入力'!$D$7:$Q$106,$L74,FALSE)</f>
        <v>#N/A</v>
      </c>
      <c r="R74" s="62" t="str">
        <f t="shared" si="167"/>
        <v>×</v>
      </c>
      <c r="S74" s="62" t="e">
        <f>VLOOKUP($D74&amp;S$5,'②-2勤務時間数入力'!$D$7:$Q$106,$L74,FALSE)</f>
        <v>#N/A</v>
      </c>
      <c r="T74" s="62" t="str">
        <f t="shared" si="168"/>
        <v>×</v>
      </c>
    </row>
    <row r="75" spans="1:20" ht="13.5" hidden="1" customHeight="1">
      <c r="A75" s="854"/>
      <c r="B75" s="857"/>
      <c r="C75" s="858"/>
      <c r="D75" s="138" t="str">
        <f t="shared" ref="D75:D81" si="180">IF(D64="","",D64)</f>
        <v/>
      </c>
      <c r="E75" s="60" t="str">
        <f t="shared" si="174"/>
        <v/>
      </c>
      <c r="F75" s="59" t="str">
        <f t="shared" si="175"/>
        <v/>
      </c>
      <c r="G75" s="139" t="str">
        <f>IF($B67="","",IF($E75="正規職員","-",IF(AND(EXACT(B56,B67),EXACT(D64,D75),EXACT(E64,E75)),G64,"賃金単価を記載")))</f>
        <v/>
      </c>
      <c r="H75" s="59" t="str">
        <f>IF($D75="","",IF($E75="正規職員","-",F75*G75))</f>
        <v/>
      </c>
      <c r="I75" s="59">
        <f t="shared" si="18"/>
        <v>271333.33333333401</v>
      </c>
      <c r="J75" s="59" t="str">
        <f t="shared" ref="J75" si="181">IFERROR(IF($C74="-","",IF(D75="","",IF(E75="正規職員",I75-J74,MIN(MIN(H75:I75),I74-J74)))),0)</f>
        <v/>
      </c>
      <c r="K75" s="61" t="str">
        <f t="shared" si="178"/>
        <v/>
      </c>
      <c r="L75" s="62">
        <f t="shared" si="179"/>
        <v>9</v>
      </c>
      <c r="M75" s="62" t="e">
        <f>VLOOKUP($D75&amp;M$5,'②-2勤務時間数入力'!$D$7:$Q$106,$L75,FALSE)</f>
        <v>#N/A</v>
      </c>
      <c r="N75" s="62" t="str">
        <f t="shared" si="165"/>
        <v>×</v>
      </c>
      <c r="O75" s="62" t="e">
        <f>VLOOKUP($D75&amp;O$5,'②-2勤務時間数入力'!$D$7:$Q$106,$L75,FALSE)</f>
        <v>#N/A</v>
      </c>
      <c r="P75" s="62" t="str">
        <f t="shared" si="166"/>
        <v>×</v>
      </c>
      <c r="Q75" s="62" t="e">
        <f>VLOOKUP($D75&amp;Q$5,'②-2勤務時間数入力'!$D$7:$Q$106,$L75,FALSE)</f>
        <v>#N/A</v>
      </c>
      <c r="R75" s="62" t="str">
        <f t="shared" si="167"/>
        <v>×</v>
      </c>
      <c r="S75" s="62" t="e">
        <f>VLOOKUP($D75&amp;S$5,'②-2勤務時間数入力'!$D$7:$Q$106,$L75,FALSE)</f>
        <v>#N/A</v>
      </c>
      <c r="T75" s="62" t="str">
        <f t="shared" si="168"/>
        <v>×</v>
      </c>
    </row>
    <row r="76" spans="1:20" ht="13.5" hidden="1" customHeight="1">
      <c r="A76" s="854"/>
      <c r="B76" s="857"/>
      <c r="C76" s="856" t="str">
        <f>IF(B72&gt;=1,IFERROR(INDEX($F$153:$G$158,MATCH(判定!AJ15,$F$153:$F$158,0),2),"-"),"-")</f>
        <v>-</v>
      </c>
      <c r="D76" s="138" t="str">
        <f t="shared" si="180"/>
        <v/>
      </c>
      <c r="E76" s="60" t="str">
        <f t="shared" si="169"/>
        <v/>
      </c>
      <c r="F76" s="59" t="str">
        <f t="shared" si="170"/>
        <v/>
      </c>
      <c r="G76" s="139" t="str">
        <f>IF($B69="","",IF($E76="正規職員","-",IF(AND(EXACT(B58,B69),EXACT(D65,D76),EXACT(E65,E76)),G65,"賃金単価を記載")))</f>
        <v/>
      </c>
      <c r="H76" s="59" t="str">
        <f t="shared" si="171"/>
        <v/>
      </c>
      <c r="I76" s="59">
        <f t="shared" si="18"/>
        <v>271333.33333333401</v>
      </c>
      <c r="J76" s="59" t="str">
        <f t="shared" ref="J76" si="182">IFERROR(IF($C76="-","",IF(D76="",0,IF(E76="正規職員",I76,MIN(H76:I76)))),0)</f>
        <v/>
      </c>
      <c r="K76" s="61" t="str">
        <f t="shared" si="173"/>
        <v/>
      </c>
      <c r="L76" s="62">
        <f t="shared" si="179"/>
        <v>9</v>
      </c>
      <c r="M76" s="62" t="e">
        <f>VLOOKUP($D76&amp;M$5,'②-2勤務時間数入力'!$D$7:$Q$106,$L76,FALSE)</f>
        <v>#N/A</v>
      </c>
      <c r="N76" s="62" t="str">
        <f t="shared" si="165"/>
        <v>×</v>
      </c>
      <c r="O76" s="62" t="e">
        <f>VLOOKUP($D76&amp;O$5,'②-2勤務時間数入力'!$D$7:$Q$106,$L76,FALSE)</f>
        <v>#N/A</v>
      </c>
      <c r="P76" s="62" t="str">
        <f t="shared" si="166"/>
        <v>×</v>
      </c>
      <c r="Q76" s="62" t="e">
        <f>VLOOKUP($D76&amp;Q$5,'②-2勤務時間数入力'!$D$7:$Q$106,$L76,FALSE)</f>
        <v>#N/A</v>
      </c>
      <c r="R76" s="62" t="str">
        <f t="shared" si="167"/>
        <v>×</v>
      </c>
      <c r="S76" s="62" t="e">
        <f>VLOOKUP($D76&amp;S$5,'②-2勤務時間数入力'!$D$7:$Q$106,$L76,FALSE)</f>
        <v>#N/A</v>
      </c>
      <c r="T76" s="62" t="str">
        <f t="shared" si="168"/>
        <v>×</v>
      </c>
    </row>
    <row r="77" spans="1:20" ht="13.5" hidden="1" customHeight="1">
      <c r="A77" s="854"/>
      <c r="B77" s="857"/>
      <c r="C77" s="858"/>
      <c r="D77" s="138" t="str">
        <f t="shared" si="180"/>
        <v/>
      </c>
      <c r="E77" s="60" t="str">
        <f t="shared" si="169"/>
        <v/>
      </c>
      <c r="F77" s="59" t="str">
        <f t="shared" si="170"/>
        <v/>
      </c>
      <c r="G77" s="139" t="str">
        <f>IF($B69="","",IF($E77="正規職員","-",IF(AND(EXACT(B58,B69),EXACT(D66,D77),EXACT(E66,E77)),G66,"賃金単価を記載")))</f>
        <v/>
      </c>
      <c r="H77" s="59" t="str">
        <f>IF($D77="","",IF($E77="正規職員","-",F77*G77))</f>
        <v/>
      </c>
      <c r="I77" s="59">
        <f t="shared" si="18"/>
        <v>271333.33333333401</v>
      </c>
      <c r="J77" s="59" t="str">
        <f t="shared" ref="J77" si="183">IFERROR(IF($C76="-","",IF(D77="","",IF(E77="正規職員",I77-J76,MIN(MIN(H77:I77),I76-J76)))),0)</f>
        <v/>
      </c>
      <c r="K77" s="61" t="str">
        <f t="shared" si="173"/>
        <v/>
      </c>
      <c r="L77" s="62">
        <f t="shared" si="179"/>
        <v>9</v>
      </c>
      <c r="M77" s="62" t="e">
        <f>VLOOKUP($D77&amp;M$5,'②-2勤務時間数入力'!$D$7:$Q$106,$L77,FALSE)</f>
        <v>#N/A</v>
      </c>
      <c r="N77" s="62" t="str">
        <f t="shared" si="165"/>
        <v>×</v>
      </c>
      <c r="O77" s="62" t="e">
        <f>VLOOKUP($D77&amp;O$5,'②-2勤務時間数入力'!$D$7:$Q$106,$L77,FALSE)</f>
        <v>#N/A</v>
      </c>
      <c r="P77" s="62" t="str">
        <f t="shared" si="166"/>
        <v>×</v>
      </c>
      <c r="Q77" s="62" t="e">
        <f>VLOOKUP($D77&amp;Q$5,'②-2勤務時間数入力'!$D$7:$Q$106,$L77,FALSE)</f>
        <v>#N/A</v>
      </c>
      <c r="R77" s="62" t="str">
        <f t="shared" si="167"/>
        <v>×</v>
      </c>
      <c r="S77" s="62" t="e">
        <f>VLOOKUP($D77&amp;S$5,'②-2勤務時間数入力'!$D$7:$Q$106,$L77,FALSE)</f>
        <v>#N/A</v>
      </c>
      <c r="T77" s="62" t="str">
        <f t="shared" si="168"/>
        <v>×</v>
      </c>
    </row>
    <row r="78" spans="1:20" ht="13.5" hidden="1" customHeight="1">
      <c r="A78" s="854"/>
      <c r="B78" s="857"/>
      <c r="C78" s="856" t="str">
        <f>IF(B72&gt;=1,IFERROR(INDEX($F$153:$G$158,MATCH(判定!AK15,$F$153:$F$158,0),2),"-"),"-")</f>
        <v>-</v>
      </c>
      <c r="D78" s="138" t="str">
        <f t="shared" si="180"/>
        <v/>
      </c>
      <c r="E78" s="60" t="str">
        <f t="shared" ref="E78:E81" si="184">IF(D78="","",IF(N78="○",M$5,IF(P78="○",O$5,IF(R78="○",Q$5,IF(T78="○",S$5,"ERROR")))))</f>
        <v/>
      </c>
      <c r="F78" s="59" t="str">
        <f t="shared" ref="F78:F81" si="185">IF(D78="","",IF(N78="○",M78,IF(P78="○",O78,IF(R78="○",Q78,IF(T78="○",S78,"ERROR")))))</f>
        <v/>
      </c>
      <c r="G78" s="139" t="str">
        <f>IF($B72="","",IF($E78="正規職員","-",IF(AND(EXACT(B61,B72),EXACT(D67,D78),EXACT(E67,E78)),G67,"賃金単価を記載")))</f>
        <v/>
      </c>
      <c r="H78" s="59" t="str">
        <f t="shared" si="162"/>
        <v/>
      </c>
      <c r="I78" s="59">
        <f t="shared" si="18"/>
        <v>271333.33333333401</v>
      </c>
      <c r="J78" s="59" t="str">
        <f t="shared" ref="J78" si="186">IFERROR(IF($C78="-","",IF(D78="",0,IF(E78="正規職員",I78,MIN(H78:I78)))),0)</f>
        <v/>
      </c>
      <c r="K78" s="61" t="str">
        <f t="shared" ref="K78:K81" si="187">IF(D78="","",IF(OR(COUNTIFS(D78,"*要配慮*")=1,COUNTIFS(D78,"*医療的ケア*")=1),"○","エラー"))</f>
        <v/>
      </c>
      <c r="L78" s="62">
        <f t="shared" si="179"/>
        <v>9</v>
      </c>
      <c r="M78" s="62" t="e">
        <f>VLOOKUP($D78&amp;M$5,'②-2勤務時間数入力'!$D$7:$Q$106,$L78,FALSE)</f>
        <v>#N/A</v>
      </c>
      <c r="N78" s="62" t="str">
        <f t="shared" si="165"/>
        <v>×</v>
      </c>
      <c r="O78" s="62" t="e">
        <f>VLOOKUP($D78&amp;O$5,'②-2勤務時間数入力'!$D$7:$Q$106,$L78,FALSE)</f>
        <v>#N/A</v>
      </c>
      <c r="P78" s="62" t="str">
        <f t="shared" si="166"/>
        <v>×</v>
      </c>
      <c r="Q78" s="62" t="e">
        <f>VLOOKUP($D78&amp;Q$5,'②-2勤務時間数入力'!$D$7:$Q$106,$L78,FALSE)</f>
        <v>#N/A</v>
      </c>
      <c r="R78" s="62" t="str">
        <f t="shared" si="167"/>
        <v>×</v>
      </c>
      <c r="S78" s="62" t="e">
        <f>VLOOKUP($D78&amp;S$5,'②-2勤務時間数入力'!$D$7:$Q$106,$L78,FALSE)</f>
        <v>#N/A</v>
      </c>
      <c r="T78" s="62" t="str">
        <f t="shared" si="168"/>
        <v>×</v>
      </c>
    </row>
    <row r="79" spans="1:20" ht="13.5" hidden="1" customHeight="1">
      <c r="A79" s="854"/>
      <c r="B79" s="857"/>
      <c r="C79" s="858"/>
      <c r="D79" s="138" t="str">
        <f>IF(D68="","",D68)</f>
        <v/>
      </c>
      <c r="E79" s="60" t="str">
        <f t="shared" si="184"/>
        <v/>
      </c>
      <c r="F79" s="59" t="str">
        <f t="shared" si="185"/>
        <v/>
      </c>
      <c r="G79" s="139" t="str">
        <f>IF($B72="","",IF($E79="正規職員","-",IF(AND(EXACT(B61,B72),EXACT(D68,D79),EXACT(E68,E79)),G68,"賃金単価を記載")))</f>
        <v/>
      </c>
      <c r="H79" s="59" t="str">
        <f t="shared" si="162"/>
        <v/>
      </c>
      <c r="I79" s="59">
        <f t="shared" si="18"/>
        <v>271333.33333333401</v>
      </c>
      <c r="J79" s="59" t="str">
        <f t="shared" ref="J79" si="188">IFERROR(IF($C78="-","",IF(D79="","",IF(E79="正規職員",I79-J78,MIN(MIN(H79:I79),I78-J78)))),0)</f>
        <v/>
      </c>
      <c r="K79" s="61" t="str">
        <f t="shared" si="187"/>
        <v/>
      </c>
      <c r="L79" s="62">
        <f t="shared" si="179"/>
        <v>9</v>
      </c>
      <c r="M79" s="62" t="e">
        <f>VLOOKUP($D79&amp;M$5,'②-2勤務時間数入力'!$D$7:$Q$106,$L79,FALSE)</f>
        <v>#N/A</v>
      </c>
      <c r="N79" s="62" t="str">
        <f t="shared" si="165"/>
        <v>×</v>
      </c>
      <c r="O79" s="62" t="e">
        <f>VLOOKUP($D79&amp;O$5,'②-2勤務時間数入力'!$D$7:$Q$106,$L79,FALSE)</f>
        <v>#N/A</v>
      </c>
      <c r="P79" s="62" t="str">
        <f t="shared" si="166"/>
        <v>×</v>
      </c>
      <c r="Q79" s="62" t="e">
        <f>VLOOKUP($D79&amp;Q$5,'②-2勤務時間数入力'!$D$7:$Q$106,$L79,FALSE)</f>
        <v>#N/A</v>
      </c>
      <c r="R79" s="62" t="str">
        <f t="shared" si="167"/>
        <v>×</v>
      </c>
      <c r="S79" s="62" t="e">
        <f>VLOOKUP($D79&amp;S$5,'②-2勤務時間数入力'!$D$7:$Q$106,$L79,FALSE)</f>
        <v>#N/A</v>
      </c>
      <c r="T79" s="62" t="str">
        <f t="shared" si="168"/>
        <v>×</v>
      </c>
    </row>
    <row r="80" spans="1:20" ht="13.5" hidden="1" customHeight="1">
      <c r="A80" s="854"/>
      <c r="B80" s="857"/>
      <c r="C80" s="856" t="str">
        <f>IF(B72&gt;=1,IFERROR(INDEX($F$153:$G$158,MATCH(判定!AL15,$F$153:$F$158,0),2),"-"),"-")</f>
        <v>-</v>
      </c>
      <c r="D80" s="138" t="str">
        <f t="shared" si="180"/>
        <v/>
      </c>
      <c r="E80" s="60" t="str">
        <f t="shared" si="184"/>
        <v/>
      </c>
      <c r="F80" s="59" t="str">
        <f t="shared" si="185"/>
        <v/>
      </c>
      <c r="G80" s="139" t="str">
        <f>IF($B72="","",IF($E80="正規職員","-",IF(AND(EXACT(B61,B72),EXACT(D69,D80),EXACT(E69,E80)),G69,"賃金単価を記載")))</f>
        <v/>
      </c>
      <c r="H80" s="59" t="str">
        <f>IF($D80="","",IF($E80="正規職員","-",F80*G80))</f>
        <v/>
      </c>
      <c r="I80" s="59">
        <f t="shared" si="18"/>
        <v>271333.33333333401</v>
      </c>
      <c r="J80" s="59" t="str">
        <f t="shared" ref="J80" si="189">IFERROR(IF($C80="-","",IF(D80="",0,IF(E80="正規職員",I80,MIN(H80:I80)))),0)</f>
        <v/>
      </c>
      <c r="K80" s="61" t="str">
        <f t="shared" si="187"/>
        <v/>
      </c>
      <c r="L80" s="62">
        <f t="shared" si="179"/>
        <v>9</v>
      </c>
      <c r="M80" s="62" t="e">
        <f>VLOOKUP($D80&amp;M$5,'②-2勤務時間数入力'!$D$7:$Q$106,$L80,FALSE)</f>
        <v>#N/A</v>
      </c>
      <c r="N80" s="62" t="str">
        <f t="shared" si="165"/>
        <v>×</v>
      </c>
      <c r="O80" s="62" t="e">
        <f>VLOOKUP($D80&amp;O$5,'②-2勤務時間数入力'!$D$7:$Q$106,$L80,FALSE)</f>
        <v>#N/A</v>
      </c>
      <c r="P80" s="62" t="str">
        <f t="shared" si="166"/>
        <v>×</v>
      </c>
      <c r="Q80" s="62" t="e">
        <f>VLOOKUP($D80&amp;Q$5,'②-2勤務時間数入力'!$D$7:$Q$106,$L80,FALSE)</f>
        <v>#N/A</v>
      </c>
      <c r="R80" s="62" t="str">
        <f t="shared" si="167"/>
        <v>×</v>
      </c>
      <c r="S80" s="62" t="e">
        <f>VLOOKUP($D80&amp;S$5,'②-2勤務時間数入力'!$D$7:$Q$106,$L80,FALSE)</f>
        <v>#N/A</v>
      </c>
      <c r="T80" s="62" t="str">
        <f t="shared" si="168"/>
        <v>×</v>
      </c>
    </row>
    <row r="81" spans="1:20" ht="13.5" hidden="1" customHeight="1">
      <c r="A81" s="878"/>
      <c r="B81" s="857"/>
      <c r="C81" s="858"/>
      <c r="D81" s="138" t="str">
        <f t="shared" si="180"/>
        <v/>
      </c>
      <c r="E81" s="60" t="str">
        <f t="shared" si="184"/>
        <v/>
      </c>
      <c r="F81" s="59" t="str">
        <f t="shared" si="185"/>
        <v/>
      </c>
      <c r="G81" s="139" t="str">
        <f>IF($B72="","",IF($E81="正規職員","-",IF(AND(EXACT(B61,B72),EXACT(D70,D81),EXACT(E70,E81)),G70,"賃金単価を記載")))</f>
        <v/>
      </c>
      <c r="H81" s="59" t="str">
        <f>IF($D81="","",IF($E81="正規職員","-",F81*G81))</f>
        <v/>
      </c>
      <c r="I81" s="59">
        <f t="shared" si="18"/>
        <v>271333.33333333401</v>
      </c>
      <c r="J81" s="59" t="str">
        <f t="shared" ref="J81" si="190">IFERROR(IF($C80="-","",IF(D81="","",IF(E81="正規職員",I81-J80,MIN(MIN(H81:I81),I80-J80)))),0)</f>
        <v/>
      </c>
      <c r="K81" s="61" t="str">
        <f t="shared" si="187"/>
        <v/>
      </c>
      <c r="L81" s="62">
        <f t="shared" si="179"/>
        <v>9</v>
      </c>
      <c r="M81" s="62" t="e">
        <f>VLOOKUP($D81&amp;M$5,'②-2勤務時間数入力'!$D$7:$Q$106,$L81,FALSE)</f>
        <v>#N/A</v>
      </c>
      <c r="N81" s="62" t="str">
        <f t="shared" si="165"/>
        <v>×</v>
      </c>
      <c r="O81" s="62" t="e">
        <f>VLOOKUP($D81&amp;O$5,'②-2勤務時間数入力'!$D$7:$Q$106,$L81,FALSE)</f>
        <v>#N/A</v>
      </c>
      <c r="P81" s="62" t="str">
        <f t="shared" si="166"/>
        <v>×</v>
      </c>
      <c r="Q81" s="62" t="e">
        <f>VLOOKUP($D81&amp;Q$5,'②-2勤務時間数入力'!$D$7:$Q$106,$L81,FALSE)</f>
        <v>#N/A</v>
      </c>
      <c r="R81" s="62" t="str">
        <f t="shared" si="167"/>
        <v>×</v>
      </c>
      <c r="S81" s="62" t="e">
        <f>VLOOKUP($D81&amp;S$5,'②-2勤務時間数入力'!$D$7:$Q$106,$L81,FALSE)</f>
        <v>#N/A</v>
      </c>
      <c r="T81" s="62" t="str">
        <f t="shared" si="168"/>
        <v>×</v>
      </c>
    </row>
    <row r="82" spans="1:20" ht="13.5" hidden="1" customHeight="1">
      <c r="A82" s="844"/>
      <c r="B82" s="858"/>
      <c r="C82" s="284"/>
      <c r="D82" s="1" t="s">
        <v>279</v>
      </c>
      <c r="E82" s="60" t="s">
        <v>273</v>
      </c>
      <c r="F82" s="67"/>
      <c r="G82" s="60" t="s">
        <v>273</v>
      </c>
      <c r="H82" s="60" t="s">
        <v>273</v>
      </c>
      <c r="I82" s="60" t="s">
        <v>273</v>
      </c>
      <c r="J82" s="59" t="str">
        <f t="shared" ref="J82" si="191">IFERROR(IF(J72="","",MIN(SUM(J72:J81),(B72*I72))),0)</f>
        <v/>
      </c>
      <c r="K82" s="61"/>
      <c r="L82" s="62"/>
      <c r="M82" s="62"/>
      <c r="N82" s="62"/>
      <c r="O82" s="62"/>
      <c r="P82" s="62"/>
      <c r="Q82" s="62"/>
      <c r="R82" s="62"/>
      <c r="S82" s="62"/>
      <c r="T82" s="62"/>
    </row>
    <row r="83" spans="1:20" ht="13.5" hidden="1" customHeight="1">
      <c r="A83" s="843">
        <v>11</v>
      </c>
      <c r="B83" s="856" t="str">
        <f>IF(判定!AY16&gt;=1,判定!AY16,"-")</f>
        <v>-</v>
      </c>
      <c r="C83" s="856" t="str">
        <f>IF(B83&gt;=1,IFERROR(INDEX($F$153:$G$158,MATCH(判定!AH16,$F$153:$F$158,0),2),"-"),"-")</f>
        <v>-</v>
      </c>
      <c r="D83" s="138" t="str">
        <f>IF(D72="","",D72)</f>
        <v/>
      </c>
      <c r="E83" s="60" t="str">
        <f>IF(D83="","",IF(N83="○",M$5,IF(P83="○",O$5,IF(R83="○",Q$5,IF(T83="○",S$5,"ERROR")))))</f>
        <v/>
      </c>
      <c r="F83" s="59" t="str">
        <f>IF(D83="","",IF(N83="○",M83,IF(P83="○",O83,IF(R83="○",Q83,IF(T83="○",S83,"ERROR")))))</f>
        <v/>
      </c>
      <c r="G83" s="139" t="str">
        <f>IF($B83="","",IF($E83="正規職員","-",IF(AND(EXACT(B72,B83),EXACT(D72,D83),EXACT(E72,E83)),G72,"賃金単価を記載")))</f>
        <v/>
      </c>
      <c r="H83" s="59" t="str">
        <f t="shared" ref="H83:H90" si="192">IF($D83="","",IF($E83="正規職員","-",F83*G83))</f>
        <v/>
      </c>
      <c r="I83" s="59">
        <f t="shared" si="18"/>
        <v>271333.33333333401</v>
      </c>
      <c r="J83" s="59" t="str">
        <f t="shared" ref="J83" si="193">IFERROR(IF($C83="-","",IF(D83="",0,IF(E83="正規職員",I83,MIN(H83:I83)))),0)</f>
        <v/>
      </c>
      <c r="K83" s="61" t="str">
        <f>IF(D83="","",IF(OR(COUNTIFS(D83,"*要配慮*")=1,COUNTIFS(D83,"*医療的ケア*")=1),"○","エラー"))</f>
        <v/>
      </c>
      <c r="L83" s="62">
        <f t="shared" ref="L83" si="194">L72+1</f>
        <v>10</v>
      </c>
      <c r="M83" s="62" t="e">
        <f>VLOOKUP($D83&amp;M$5,'②-2勤務時間数入力'!$D$7:$Q$106,$L83,FALSE)</f>
        <v>#N/A</v>
      </c>
      <c r="N83" s="62" t="str">
        <f t="shared" ref="N83:N92" si="195">IF(ISERROR(M83),"×",IF(M83="-","×","○"))</f>
        <v>×</v>
      </c>
      <c r="O83" s="62" t="e">
        <f>VLOOKUP($D83&amp;O$5,'②-2勤務時間数入力'!$D$7:$Q$106,$L83,FALSE)</f>
        <v>#N/A</v>
      </c>
      <c r="P83" s="62" t="str">
        <f t="shared" ref="P83:P92" si="196">IF(ISERROR(O83),"×",IF(O83="-","×","○"))</f>
        <v>×</v>
      </c>
      <c r="Q83" s="62" t="e">
        <f>VLOOKUP($D83&amp;Q$5,'②-2勤務時間数入力'!$D$7:$Q$106,$L83,FALSE)</f>
        <v>#N/A</v>
      </c>
      <c r="R83" s="62" t="str">
        <f t="shared" ref="R83:R92" si="197">IF(ISERROR(Q83),"×",IF(Q83="-","×","○"))</f>
        <v>×</v>
      </c>
      <c r="S83" s="62" t="e">
        <f>VLOOKUP($D83&amp;S$5,'②-2勤務時間数入力'!$D$7:$Q$106,$L83,FALSE)</f>
        <v>#N/A</v>
      </c>
      <c r="T83" s="62" t="str">
        <f t="shared" ref="T83:T92" si="198">IF(ISERROR(S83),"×",IF(S83="-","×","○"))</f>
        <v>×</v>
      </c>
    </row>
    <row r="84" spans="1:20" ht="13.5" hidden="1" customHeight="1">
      <c r="A84" s="854"/>
      <c r="B84" s="857"/>
      <c r="C84" s="858"/>
      <c r="D84" s="138" t="str">
        <f>IF(D73="","",D73)</f>
        <v/>
      </c>
      <c r="E84" s="60" t="str">
        <f t="shared" ref="E84:E88" si="199">IF(D84="","",IF(N84="○",M$5,IF(P84="○",O$5,IF(R84="○",Q$5,IF(T84="○",S$5,"ERROR")))))</f>
        <v/>
      </c>
      <c r="F84" s="59" t="str">
        <f t="shared" ref="F84:F88" si="200">IF(D84="","",IF(N84="○",M84,IF(P84="○",O84,IF(R84="○",Q84,IF(T84="○",S84,"ERROR")))))</f>
        <v/>
      </c>
      <c r="G84" s="139" t="str">
        <f>IF($B80="","",IF($E84="正規職員","-",IF(AND(EXACT(B69,B80),EXACT(D75,D84),EXACT(E75,E84)),G75,"賃金単価を記載")))</f>
        <v/>
      </c>
      <c r="H84" s="59" t="str">
        <f t="shared" ref="H84:H85" si="201">IF($D84="","",IF($E84="正規職員","-",F84*G84))</f>
        <v/>
      </c>
      <c r="I84" s="59">
        <f t="shared" si="18"/>
        <v>271333.33333333401</v>
      </c>
      <c r="J84" s="59" t="str">
        <f t="shared" ref="J84" si="202">IFERROR(IF($C83="-","",IF(D84="","",IF(E84="正規職員",I84-J83,MIN(MIN(H84:I84),I83-J83)))),0)</f>
        <v/>
      </c>
      <c r="K84" s="61" t="str">
        <f t="shared" ref="K84:K88" si="203">IF(D84="","",IF(OR(COUNTIFS(D84,"*要配慮*")=1,COUNTIFS(D84,"*医療的ケア*")=1),"○","エラー"))</f>
        <v/>
      </c>
      <c r="L84" s="62">
        <f>L83</f>
        <v>10</v>
      </c>
      <c r="M84" s="62" t="e">
        <f>VLOOKUP($D84&amp;M$5,'②-2勤務時間数入力'!$D$7:$Q$106,$L84,FALSE)</f>
        <v>#N/A</v>
      </c>
      <c r="N84" s="62" t="str">
        <f t="shared" si="195"/>
        <v>×</v>
      </c>
      <c r="O84" s="62" t="e">
        <f>VLOOKUP($D84&amp;O$5,'②-2勤務時間数入力'!$D$7:$Q$106,$L84,FALSE)</f>
        <v>#N/A</v>
      </c>
      <c r="P84" s="62" t="str">
        <f t="shared" si="196"/>
        <v>×</v>
      </c>
      <c r="Q84" s="62" t="e">
        <f>VLOOKUP($D84&amp;Q$5,'②-2勤務時間数入力'!$D$7:$Q$106,$L84,FALSE)</f>
        <v>#N/A</v>
      </c>
      <c r="R84" s="62" t="str">
        <f t="shared" si="197"/>
        <v>×</v>
      </c>
      <c r="S84" s="62" t="e">
        <f>VLOOKUP($D84&amp;S$5,'②-2勤務時間数入力'!$D$7:$Q$106,$L84,FALSE)</f>
        <v>#N/A</v>
      </c>
      <c r="T84" s="62" t="str">
        <f t="shared" si="198"/>
        <v>×</v>
      </c>
    </row>
    <row r="85" spans="1:20" ht="13.5" hidden="1" customHeight="1">
      <c r="A85" s="854"/>
      <c r="B85" s="857"/>
      <c r="C85" s="856" t="str">
        <f>IF(B83&gt;=1,IFERROR(INDEX($F$153:$G$158,MATCH(判定!AI16,$F$153:$F$158,0),2),"-"),"-")</f>
        <v>-</v>
      </c>
      <c r="D85" s="138" t="str">
        <f>IF(D74="","",D74)</f>
        <v/>
      </c>
      <c r="E85" s="60" t="str">
        <f t="shared" si="199"/>
        <v/>
      </c>
      <c r="F85" s="59" t="str">
        <f t="shared" si="200"/>
        <v/>
      </c>
      <c r="G85" s="139" t="str">
        <f>IF($B80="","",IF($E85="正規職員","-",IF(AND(EXACT(B69,B80),EXACT(D76,D85),EXACT(E76,E85)),G76,"賃金単価を記載")))</f>
        <v/>
      </c>
      <c r="H85" s="59" t="str">
        <f t="shared" si="201"/>
        <v/>
      </c>
      <c r="I85" s="59">
        <f t="shared" si="18"/>
        <v>271333.33333333401</v>
      </c>
      <c r="J85" s="59" t="str">
        <f t="shared" ref="J85" si="204">IFERROR(IF($C85="-","",IF(D85="",0,IF(E85="正規職員",I85,MIN(H85:I85)))),0)</f>
        <v/>
      </c>
      <c r="K85" s="61" t="str">
        <f t="shared" si="203"/>
        <v/>
      </c>
      <c r="L85" s="62">
        <f t="shared" ref="L85:L92" si="205">L84</f>
        <v>10</v>
      </c>
      <c r="M85" s="62" t="e">
        <f>VLOOKUP($D85&amp;M$5,'②-2勤務時間数入力'!$D$7:$Q$106,$L85,FALSE)</f>
        <v>#N/A</v>
      </c>
      <c r="N85" s="62" t="str">
        <f t="shared" si="195"/>
        <v>×</v>
      </c>
      <c r="O85" s="62" t="e">
        <f>VLOOKUP($D85&amp;O$5,'②-2勤務時間数入力'!$D$7:$Q$106,$L85,FALSE)</f>
        <v>#N/A</v>
      </c>
      <c r="P85" s="62" t="str">
        <f t="shared" si="196"/>
        <v>×</v>
      </c>
      <c r="Q85" s="62" t="e">
        <f>VLOOKUP($D85&amp;Q$5,'②-2勤務時間数入力'!$D$7:$Q$106,$L85,FALSE)</f>
        <v>#N/A</v>
      </c>
      <c r="R85" s="62" t="str">
        <f t="shared" si="197"/>
        <v>×</v>
      </c>
      <c r="S85" s="62" t="e">
        <f>VLOOKUP($D85&amp;S$5,'②-2勤務時間数入力'!$D$7:$Q$106,$L85,FALSE)</f>
        <v>#N/A</v>
      </c>
      <c r="T85" s="62" t="str">
        <f t="shared" si="198"/>
        <v>×</v>
      </c>
    </row>
    <row r="86" spans="1:20" ht="13.5" hidden="1" customHeight="1">
      <c r="A86" s="854"/>
      <c r="B86" s="857"/>
      <c r="C86" s="858"/>
      <c r="D86" s="138" t="str">
        <f t="shared" ref="D86:D92" si="206">IF(D75="","",D75)</f>
        <v/>
      </c>
      <c r="E86" s="60" t="str">
        <f t="shared" ref="E86:E87" si="207">IF(D86="","",IF(N86="○",M$5,IF(P86="○",O$5,IF(R86="○",Q$5,IF(T86="○",S$5,"ERROR")))))</f>
        <v/>
      </c>
      <c r="F86" s="59" t="str">
        <f t="shared" ref="F86:F87" si="208">IF(D86="","",IF(N86="○",M86,IF(P86="○",O86,IF(R86="○",Q86,IF(T86="○",S86,"ERROR")))))</f>
        <v/>
      </c>
      <c r="G86" s="139" t="str">
        <f>IF($B78="","",IF($E86="正規職員","-",IF(AND(EXACT(B67,B78),EXACT(D75,D86),EXACT(E75,E86)),G75,"賃金単価を記載")))</f>
        <v/>
      </c>
      <c r="H86" s="59" t="str">
        <f>IF($D86="","",IF($E86="正規職員","-",F86*G86))</f>
        <v/>
      </c>
      <c r="I86" s="59">
        <f t="shared" si="18"/>
        <v>271333.33333333401</v>
      </c>
      <c r="J86" s="59" t="str">
        <f t="shared" ref="J86" si="209">IFERROR(IF($C85="-","",IF(D86="","",IF(E86="正規職員",I86-J85,MIN(MIN(H86:I86),I85-J85)))),0)</f>
        <v/>
      </c>
      <c r="K86" s="61" t="str">
        <f t="shared" ref="K86:K87" si="210">IF(D86="","",IF(OR(COUNTIFS(D86,"*要配慮*")=1,COUNTIFS(D86,"*医療的ケア*")=1),"○","エラー"))</f>
        <v/>
      </c>
      <c r="L86" s="62">
        <f t="shared" si="205"/>
        <v>10</v>
      </c>
      <c r="M86" s="62" t="e">
        <f>VLOOKUP($D86&amp;M$5,'②-2勤務時間数入力'!$D$7:$Q$106,$L86,FALSE)</f>
        <v>#N/A</v>
      </c>
      <c r="N86" s="62" t="str">
        <f t="shared" si="195"/>
        <v>×</v>
      </c>
      <c r="O86" s="62" t="e">
        <f>VLOOKUP($D86&amp;O$5,'②-2勤務時間数入力'!$D$7:$Q$106,$L86,FALSE)</f>
        <v>#N/A</v>
      </c>
      <c r="P86" s="62" t="str">
        <f t="shared" si="196"/>
        <v>×</v>
      </c>
      <c r="Q86" s="62" t="e">
        <f>VLOOKUP($D86&amp;Q$5,'②-2勤務時間数入力'!$D$7:$Q$106,$L86,FALSE)</f>
        <v>#N/A</v>
      </c>
      <c r="R86" s="62" t="str">
        <f t="shared" si="197"/>
        <v>×</v>
      </c>
      <c r="S86" s="62" t="e">
        <f>VLOOKUP($D86&amp;S$5,'②-2勤務時間数入力'!$D$7:$Q$106,$L86,FALSE)</f>
        <v>#N/A</v>
      </c>
      <c r="T86" s="62" t="str">
        <f t="shared" si="198"/>
        <v>×</v>
      </c>
    </row>
    <row r="87" spans="1:20" ht="13.5" hidden="1" customHeight="1">
      <c r="A87" s="854"/>
      <c r="B87" s="857"/>
      <c r="C87" s="856" t="str">
        <f>IF(B83&gt;=1,IFERROR(INDEX($F$153:$G$158,MATCH(判定!AJ16,$F$153:$F$158,0),2),"-"),"-")</f>
        <v>-</v>
      </c>
      <c r="D87" s="138" t="str">
        <f t="shared" si="206"/>
        <v/>
      </c>
      <c r="E87" s="60" t="str">
        <f t="shared" si="207"/>
        <v/>
      </c>
      <c r="F87" s="59" t="str">
        <f t="shared" si="208"/>
        <v/>
      </c>
      <c r="G87" s="139" t="str">
        <f>IF($B81="","",IF($E87="正規職員","-",IF(AND(EXACT(B70,B81),EXACT(D76,D87),EXACT(E76,E87)),G76,"賃金単価を記載")))</f>
        <v/>
      </c>
      <c r="H87" s="59" t="str">
        <f t="shared" ref="H87" si="211">IF($D87="","",IF($E87="正規職員","-",F87*G87))</f>
        <v/>
      </c>
      <c r="I87" s="59">
        <f t="shared" si="18"/>
        <v>271333.33333333401</v>
      </c>
      <c r="J87" s="59" t="str">
        <f t="shared" ref="J87" si="212">IFERROR(IF($C87="-","",IF(D87="",0,IF(E87="正規職員",I87,MIN(H87:I87)))),0)</f>
        <v/>
      </c>
      <c r="K87" s="61" t="str">
        <f t="shared" si="210"/>
        <v/>
      </c>
      <c r="L87" s="62">
        <f t="shared" si="205"/>
        <v>10</v>
      </c>
      <c r="M87" s="62" t="e">
        <f>VLOOKUP($D87&amp;M$5,'②-2勤務時間数入力'!$D$7:$Q$106,$L87,FALSE)</f>
        <v>#N/A</v>
      </c>
      <c r="N87" s="62" t="str">
        <f t="shared" si="195"/>
        <v>×</v>
      </c>
      <c r="O87" s="62" t="e">
        <f>VLOOKUP($D87&amp;O$5,'②-2勤務時間数入力'!$D$7:$Q$106,$L87,FALSE)</f>
        <v>#N/A</v>
      </c>
      <c r="P87" s="62" t="str">
        <f t="shared" si="196"/>
        <v>×</v>
      </c>
      <c r="Q87" s="62" t="e">
        <f>VLOOKUP($D87&amp;Q$5,'②-2勤務時間数入力'!$D$7:$Q$106,$L87,FALSE)</f>
        <v>#N/A</v>
      </c>
      <c r="R87" s="62" t="str">
        <f t="shared" si="197"/>
        <v>×</v>
      </c>
      <c r="S87" s="62" t="e">
        <f>VLOOKUP($D87&amp;S$5,'②-2勤務時間数入力'!$D$7:$Q$106,$L87,FALSE)</f>
        <v>#N/A</v>
      </c>
      <c r="T87" s="62" t="str">
        <f t="shared" si="198"/>
        <v>×</v>
      </c>
    </row>
    <row r="88" spans="1:20" ht="13.5" hidden="1" customHeight="1">
      <c r="A88" s="854"/>
      <c r="B88" s="857"/>
      <c r="C88" s="858"/>
      <c r="D88" s="138" t="str">
        <f t="shared" si="206"/>
        <v/>
      </c>
      <c r="E88" s="60" t="str">
        <f t="shared" si="199"/>
        <v/>
      </c>
      <c r="F88" s="59" t="str">
        <f t="shared" si="200"/>
        <v/>
      </c>
      <c r="G88" s="139" t="str">
        <f>IF($B80="","",IF($E88="正規職員","-",IF(AND(EXACT(B69,B80),EXACT(D77,D88),EXACT(E77,E88)),G77,"賃金単価を記載")))</f>
        <v/>
      </c>
      <c r="H88" s="59" t="str">
        <f>IF($D88="","",IF($E88="正規職員","-",F88*G88))</f>
        <v/>
      </c>
      <c r="I88" s="59">
        <f t="shared" si="18"/>
        <v>271333.33333333401</v>
      </c>
      <c r="J88" s="59" t="str">
        <f t="shared" ref="J88" si="213">IFERROR(IF($C87="-","",IF(D88="","",IF(E88="正規職員",I88-J87,MIN(MIN(H88:I88),I87-J87)))),0)</f>
        <v/>
      </c>
      <c r="K88" s="61" t="str">
        <f t="shared" si="203"/>
        <v/>
      </c>
      <c r="L88" s="62">
        <f t="shared" si="205"/>
        <v>10</v>
      </c>
      <c r="M88" s="62" t="e">
        <f>VLOOKUP($D88&amp;M$5,'②-2勤務時間数入力'!$D$7:$Q$106,$L88,FALSE)</f>
        <v>#N/A</v>
      </c>
      <c r="N88" s="62" t="str">
        <f t="shared" si="195"/>
        <v>×</v>
      </c>
      <c r="O88" s="62" t="e">
        <f>VLOOKUP($D88&amp;O$5,'②-2勤務時間数入力'!$D$7:$Q$106,$L88,FALSE)</f>
        <v>#N/A</v>
      </c>
      <c r="P88" s="62" t="str">
        <f t="shared" si="196"/>
        <v>×</v>
      </c>
      <c r="Q88" s="62" t="e">
        <f>VLOOKUP($D88&amp;Q$5,'②-2勤務時間数入力'!$D$7:$Q$106,$L88,FALSE)</f>
        <v>#N/A</v>
      </c>
      <c r="R88" s="62" t="str">
        <f t="shared" si="197"/>
        <v>×</v>
      </c>
      <c r="S88" s="62" t="e">
        <f>VLOOKUP($D88&amp;S$5,'②-2勤務時間数入力'!$D$7:$Q$106,$L88,FALSE)</f>
        <v>#N/A</v>
      </c>
      <c r="T88" s="62" t="str">
        <f t="shared" si="198"/>
        <v>×</v>
      </c>
    </row>
    <row r="89" spans="1:20" ht="13.5" hidden="1" customHeight="1">
      <c r="A89" s="854"/>
      <c r="B89" s="857"/>
      <c r="C89" s="856" t="str">
        <f>IF(B83&gt;=1,IFERROR(INDEX($F$153:$G$158,MATCH(判定!AK16,$F$153:$F$158,0),2),"-"),"-")</f>
        <v>-</v>
      </c>
      <c r="D89" s="138" t="str">
        <f t="shared" si="206"/>
        <v/>
      </c>
      <c r="E89" s="60" t="str">
        <f t="shared" ref="E89:E92" si="214">IF(D89="","",IF(N89="○",M$5,IF(P89="○",O$5,IF(R89="○",Q$5,IF(T89="○",S$5,"ERROR")))))</f>
        <v/>
      </c>
      <c r="F89" s="59" t="str">
        <f t="shared" ref="F89:F92" si="215">IF(D89="","",IF(N89="○",M89,IF(P89="○",O89,IF(R89="○",Q89,IF(T89="○",S89,"ERROR")))))</f>
        <v/>
      </c>
      <c r="G89" s="139" t="str">
        <f>IF($B83="","",IF($E89="正規職員","-",IF(AND(EXACT(B72,B83),EXACT(D78,D89),EXACT(E78,E89)),G78,"賃金単価を記載")))</f>
        <v/>
      </c>
      <c r="H89" s="59" t="str">
        <f t="shared" si="192"/>
        <v/>
      </c>
      <c r="I89" s="59">
        <f t="shared" si="18"/>
        <v>271333.33333333401</v>
      </c>
      <c r="J89" s="59" t="str">
        <f t="shared" ref="J89" si="216">IFERROR(IF($C89="-","",IF(D89="",0,IF(E89="正規職員",I89,MIN(H89:I89)))),0)</f>
        <v/>
      </c>
      <c r="K89" s="61" t="str">
        <f t="shared" ref="K89:K92" si="217">IF(D89="","",IF(OR(COUNTIFS(D89,"*要配慮*")=1,COUNTIFS(D89,"*医療的ケア*")=1),"○","エラー"))</f>
        <v/>
      </c>
      <c r="L89" s="62">
        <f t="shared" si="205"/>
        <v>10</v>
      </c>
      <c r="M89" s="62" t="e">
        <f>VLOOKUP($D89&amp;M$5,'②-2勤務時間数入力'!$D$7:$Q$106,$L89,FALSE)</f>
        <v>#N/A</v>
      </c>
      <c r="N89" s="62" t="str">
        <f t="shared" si="195"/>
        <v>×</v>
      </c>
      <c r="O89" s="62" t="e">
        <f>VLOOKUP($D89&amp;O$5,'②-2勤務時間数入力'!$D$7:$Q$106,$L89,FALSE)</f>
        <v>#N/A</v>
      </c>
      <c r="P89" s="62" t="str">
        <f t="shared" si="196"/>
        <v>×</v>
      </c>
      <c r="Q89" s="62" t="e">
        <f>VLOOKUP($D89&amp;Q$5,'②-2勤務時間数入力'!$D$7:$Q$106,$L89,FALSE)</f>
        <v>#N/A</v>
      </c>
      <c r="R89" s="62" t="str">
        <f t="shared" si="197"/>
        <v>×</v>
      </c>
      <c r="S89" s="62" t="e">
        <f>VLOOKUP($D89&amp;S$5,'②-2勤務時間数入力'!$D$7:$Q$106,$L89,FALSE)</f>
        <v>#N/A</v>
      </c>
      <c r="T89" s="62" t="str">
        <f t="shared" si="198"/>
        <v>×</v>
      </c>
    </row>
    <row r="90" spans="1:20" ht="13.5" hidden="1" customHeight="1">
      <c r="A90" s="854"/>
      <c r="B90" s="857"/>
      <c r="C90" s="858"/>
      <c r="D90" s="138" t="str">
        <f>IF(D79="","",D79)</f>
        <v/>
      </c>
      <c r="E90" s="60" t="str">
        <f t="shared" si="214"/>
        <v/>
      </c>
      <c r="F90" s="59" t="str">
        <f t="shared" si="215"/>
        <v/>
      </c>
      <c r="G90" s="139" t="str">
        <f>IF($B83="","",IF($E90="正規職員","-",IF(AND(EXACT(B72,B83),EXACT(D79,D90),EXACT(E79,E90)),G79,"賃金単価を記載")))</f>
        <v/>
      </c>
      <c r="H90" s="59" t="str">
        <f t="shared" si="192"/>
        <v/>
      </c>
      <c r="I90" s="59">
        <f t="shared" si="18"/>
        <v>271333.33333333401</v>
      </c>
      <c r="J90" s="59" t="str">
        <f t="shared" ref="J90" si="218">IFERROR(IF($C89="-","",IF(D90="","",IF(E90="正規職員",I90-J89,MIN(MIN(H90:I90),I89-J89)))),0)</f>
        <v/>
      </c>
      <c r="K90" s="61" t="str">
        <f t="shared" si="217"/>
        <v/>
      </c>
      <c r="L90" s="62">
        <f t="shared" si="205"/>
        <v>10</v>
      </c>
      <c r="M90" s="62" t="e">
        <f>VLOOKUP($D90&amp;M$5,'②-2勤務時間数入力'!$D$7:$Q$106,$L90,FALSE)</f>
        <v>#N/A</v>
      </c>
      <c r="N90" s="62" t="str">
        <f t="shared" si="195"/>
        <v>×</v>
      </c>
      <c r="O90" s="62" t="e">
        <f>VLOOKUP($D90&amp;O$5,'②-2勤務時間数入力'!$D$7:$Q$106,$L90,FALSE)</f>
        <v>#N/A</v>
      </c>
      <c r="P90" s="62" t="str">
        <f t="shared" si="196"/>
        <v>×</v>
      </c>
      <c r="Q90" s="62" t="e">
        <f>VLOOKUP($D90&amp;Q$5,'②-2勤務時間数入力'!$D$7:$Q$106,$L90,FALSE)</f>
        <v>#N/A</v>
      </c>
      <c r="R90" s="62" t="str">
        <f t="shared" si="197"/>
        <v>×</v>
      </c>
      <c r="S90" s="62" t="e">
        <f>VLOOKUP($D90&amp;S$5,'②-2勤務時間数入力'!$D$7:$Q$106,$L90,FALSE)</f>
        <v>#N/A</v>
      </c>
      <c r="T90" s="62" t="str">
        <f t="shared" si="198"/>
        <v>×</v>
      </c>
    </row>
    <row r="91" spans="1:20" ht="13.5" hidden="1" customHeight="1">
      <c r="A91" s="854"/>
      <c r="B91" s="857"/>
      <c r="C91" s="856" t="str">
        <f>IF(B83&gt;=1,IFERROR(INDEX($F$153:$G$158,MATCH(判定!AL16,$F$153:$F$158,0),2),"-"),"-")</f>
        <v>-</v>
      </c>
      <c r="D91" s="138" t="str">
        <f t="shared" si="206"/>
        <v/>
      </c>
      <c r="E91" s="60" t="str">
        <f t="shared" si="214"/>
        <v/>
      </c>
      <c r="F91" s="59" t="str">
        <f t="shared" si="215"/>
        <v/>
      </c>
      <c r="G91" s="139" t="str">
        <f>IF($B83="","",IF($E91="正規職員","-",IF(AND(EXACT(B72,B83),EXACT(D80,D91),EXACT(E80,E91)),G80,"賃金単価を記載")))</f>
        <v/>
      </c>
      <c r="H91" s="59" t="str">
        <f>IF($D91="","",IF($E91="正規職員","-",F91*G91))</f>
        <v/>
      </c>
      <c r="I91" s="59">
        <f t="shared" si="18"/>
        <v>271333.33333333401</v>
      </c>
      <c r="J91" s="59" t="str">
        <f t="shared" ref="J91" si="219">IFERROR(IF($C91="-","",IF(D91="",0,IF(E91="正規職員",I91,MIN(H91:I91)))),0)</f>
        <v/>
      </c>
      <c r="K91" s="61" t="str">
        <f t="shared" si="217"/>
        <v/>
      </c>
      <c r="L91" s="62">
        <f t="shared" si="205"/>
        <v>10</v>
      </c>
      <c r="M91" s="62" t="e">
        <f>VLOOKUP($D91&amp;M$5,'②-2勤務時間数入力'!$D$7:$Q$106,$L91,FALSE)</f>
        <v>#N/A</v>
      </c>
      <c r="N91" s="62" t="str">
        <f t="shared" si="195"/>
        <v>×</v>
      </c>
      <c r="O91" s="62" t="e">
        <f>VLOOKUP($D91&amp;O$5,'②-2勤務時間数入力'!$D$7:$Q$106,$L91,FALSE)</f>
        <v>#N/A</v>
      </c>
      <c r="P91" s="62" t="str">
        <f t="shared" si="196"/>
        <v>×</v>
      </c>
      <c r="Q91" s="62" t="e">
        <f>VLOOKUP($D91&amp;Q$5,'②-2勤務時間数入力'!$D$7:$Q$106,$L91,FALSE)</f>
        <v>#N/A</v>
      </c>
      <c r="R91" s="62" t="str">
        <f t="shared" si="197"/>
        <v>×</v>
      </c>
      <c r="S91" s="62" t="e">
        <f>VLOOKUP($D91&amp;S$5,'②-2勤務時間数入力'!$D$7:$Q$106,$L91,FALSE)</f>
        <v>#N/A</v>
      </c>
      <c r="T91" s="62" t="str">
        <f t="shared" si="198"/>
        <v>×</v>
      </c>
    </row>
    <row r="92" spans="1:20" ht="13.5" hidden="1" customHeight="1">
      <c r="A92" s="878"/>
      <c r="B92" s="857"/>
      <c r="C92" s="858"/>
      <c r="D92" s="138" t="str">
        <f t="shared" si="206"/>
        <v/>
      </c>
      <c r="E92" s="60" t="str">
        <f t="shared" si="214"/>
        <v/>
      </c>
      <c r="F92" s="59" t="str">
        <f t="shared" si="215"/>
        <v/>
      </c>
      <c r="G92" s="139" t="str">
        <f>IF($B83="","",IF($E92="正規職員","-",IF(AND(EXACT(B72,B83),EXACT(D81,D92),EXACT(E81,E92)),G81,"賃金単価を記載")))</f>
        <v/>
      </c>
      <c r="H92" s="59" t="str">
        <f>IF($D92="","",IF($E92="正規職員","-",F92*G92))</f>
        <v/>
      </c>
      <c r="I92" s="59">
        <f t="shared" si="18"/>
        <v>271333.33333333401</v>
      </c>
      <c r="J92" s="59" t="str">
        <f t="shared" ref="J92" si="220">IFERROR(IF($C91="-","",IF(D92="","",IF(E92="正規職員",I92-J91,MIN(MIN(H92:I92),I91-J91)))),0)</f>
        <v/>
      </c>
      <c r="K92" s="61" t="str">
        <f t="shared" si="217"/>
        <v/>
      </c>
      <c r="L92" s="62">
        <f t="shared" si="205"/>
        <v>10</v>
      </c>
      <c r="M92" s="62" t="e">
        <f>VLOOKUP($D92&amp;M$5,'②-2勤務時間数入力'!$D$7:$Q$106,$L92,FALSE)</f>
        <v>#N/A</v>
      </c>
      <c r="N92" s="62" t="str">
        <f t="shared" si="195"/>
        <v>×</v>
      </c>
      <c r="O92" s="62" t="e">
        <f>VLOOKUP($D92&amp;O$5,'②-2勤務時間数入力'!$D$7:$Q$106,$L92,FALSE)</f>
        <v>#N/A</v>
      </c>
      <c r="P92" s="62" t="str">
        <f t="shared" si="196"/>
        <v>×</v>
      </c>
      <c r="Q92" s="62" t="e">
        <f>VLOOKUP($D92&amp;Q$5,'②-2勤務時間数入力'!$D$7:$Q$106,$L92,FALSE)</f>
        <v>#N/A</v>
      </c>
      <c r="R92" s="62" t="str">
        <f t="shared" si="197"/>
        <v>×</v>
      </c>
      <c r="S92" s="62" t="e">
        <f>VLOOKUP($D92&amp;S$5,'②-2勤務時間数入力'!$D$7:$Q$106,$L92,FALSE)</f>
        <v>#N/A</v>
      </c>
      <c r="T92" s="62" t="str">
        <f t="shared" si="198"/>
        <v>×</v>
      </c>
    </row>
    <row r="93" spans="1:20" ht="13.5" hidden="1" customHeight="1">
      <c r="A93" s="844"/>
      <c r="B93" s="858"/>
      <c r="C93" s="284"/>
      <c r="D93" s="1" t="s">
        <v>280</v>
      </c>
      <c r="E93" s="60" t="s">
        <v>273</v>
      </c>
      <c r="F93" s="67"/>
      <c r="G93" s="60" t="s">
        <v>273</v>
      </c>
      <c r="H93" s="60" t="s">
        <v>273</v>
      </c>
      <c r="I93" s="60" t="s">
        <v>273</v>
      </c>
      <c r="J93" s="59" t="str">
        <f t="shared" ref="J93" si="221">IFERROR(IF(J83="","",MIN(SUM(J83:J92),(B83*I83))),0)</f>
        <v/>
      </c>
      <c r="K93" s="61"/>
      <c r="L93" s="62"/>
      <c r="M93" s="62"/>
      <c r="N93" s="62"/>
      <c r="O93" s="62"/>
      <c r="P93" s="62"/>
      <c r="Q93" s="62"/>
      <c r="R93" s="62"/>
      <c r="S93" s="62"/>
      <c r="T93" s="62"/>
    </row>
    <row r="94" spans="1:20" ht="13.5" hidden="1" customHeight="1">
      <c r="A94" s="843">
        <v>12</v>
      </c>
      <c r="B94" s="856" t="str">
        <f>IF(判定!AY17&gt;=1,判定!AY17,"-")</f>
        <v>-</v>
      </c>
      <c r="C94" s="856" t="str">
        <f>IF(B94&gt;=1,IFERROR(INDEX($F$153:$G$158,MATCH(判定!AH17,$F$153:$F$158,0),2),"-"),"-")</f>
        <v>-</v>
      </c>
      <c r="D94" s="138" t="str">
        <f>IF(D83="","",D83)</f>
        <v/>
      </c>
      <c r="E94" s="60" t="str">
        <f>IF(D94="","",IF(N94="○",M$5,IF(P94="○",O$5,IF(R94="○",Q$5,IF(T94="○",S$5,"ERROR")))))</f>
        <v/>
      </c>
      <c r="F94" s="59" t="str">
        <f>IF(D94="","",IF(N94="○",M94,IF(P94="○",O94,IF(R94="○",Q94,IF(T94="○",S94,"ERROR")))))</f>
        <v/>
      </c>
      <c r="G94" s="139" t="str">
        <f>IF($B94="","",IF($E94="正規職員","-",IF(AND(EXACT(B83,B94),EXACT(D83,D94),EXACT(E83,E94)),G83,"賃金単価を記載")))</f>
        <v/>
      </c>
      <c r="H94" s="59" t="str">
        <f t="shared" ref="H94:H101" si="222">IF($D94="","",IF($E94="正規職員","-",F94*G94))</f>
        <v/>
      </c>
      <c r="I94" s="59">
        <f t="shared" si="18"/>
        <v>271333.33333333401</v>
      </c>
      <c r="J94" s="59" t="str">
        <f t="shared" ref="J94" si="223">IFERROR(IF($C94="-","",IF(D94="",0,IF(E94="正規職員",I94,MIN(H94:I94)))),0)</f>
        <v/>
      </c>
      <c r="K94" s="61" t="str">
        <f>IF(D94="","",IF(OR(COUNTIFS(D94,"*要配慮*")=1,COUNTIFS(D94,"*医療的ケア*")=1),"○","エラー"))</f>
        <v/>
      </c>
      <c r="L94" s="62">
        <f t="shared" ref="L94" si="224">L83+1</f>
        <v>11</v>
      </c>
      <c r="M94" s="62" t="e">
        <f>VLOOKUP($D94&amp;M$5,'②-2勤務時間数入力'!$D$7:$Q$106,$L94,FALSE)</f>
        <v>#N/A</v>
      </c>
      <c r="N94" s="62" t="str">
        <f t="shared" ref="N94:N103" si="225">IF(ISERROR(M94),"×",IF(M94="-","×","○"))</f>
        <v>×</v>
      </c>
      <c r="O94" s="62" t="e">
        <f>VLOOKUP($D94&amp;O$5,'②-2勤務時間数入力'!$D$7:$Q$106,$L94,FALSE)</f>
        <v>#N/A</v>
      </c>
      <c r="P94" s="62" t="str">
        <f t="shared" ref="P94:P103" si="226">IF(ISERROR(O94),"×",IF(O94="-","×","○"))</f>
        <v>×</v>
      </c>
      <c r="Q94" s="62" t="e">
        <f>VLOOKUP($D94&amp;Q$5,'②-2勤務時間数入力'!$D$7:$Q$106,$L94,FALSE)</f>
        <v>#N/A</v>
      </c>
      <c r="R94" s="62" t="str">
        <f t="shared" ref="R94:R103" si="227">IF(ISERROR(Q94),"×",IF(Q94="-","×","○"))</f>
        <v>×</v>
      </c>
      <c r="S94" s="62" t="e">
        <f>VLOOKUP($D94&amp;S$5,'②-2勤務時間数入力'!$D$7:$Q$106,$L94,FALSE)</f>
        <v>#N/A</v>
      </c>
      <c r="T94" s="62" t="str">
        <f t="shared" ref="T94:T103" si="228">IF(ISERROR(S94),"×",IF(S94="-","×","○"))</f>
        <v>×</v>
      </c>
    </row>
    <row r="95" spans="1:20" ht="13.5" hidden="1" customHeight="1">
      <c r="A95" s="854"/>
      <c r="B95" s="857"/>
      <c r="C95" s="858"/>
      <c r="D95" s="138" t="str">
        <f>IF(D84="","",D84)</f>
        <v/>
      </c>
      <c r="E95" s="60" t="str">
        <f t="shared" ref="E95:E99" si="229">IF(D95="","",IF(N95="○",M$5,IF(P95="○",O$5,IF(R95="○",Q$5,IF(T95="○",S$5,"ERROR")))))</f>
        <v/>
      </c>
      <c r="F95" s="59" t="str">
        <f t="shared" ref="F95:F99" si="230">IF(D95="","",IF(N95="○",M95,IF(P95="○",O95,IF(R95="○",Q95,IF(T95="○",S95,"ERROR")))))</f>
        <v/>
      </c>
      <c r="G95" s="139" t="str">
        <f>IF($B91="","",IF($E95="正規職員","-",IF(AND(EXACT(B80,B91),EXACT(D86,D95),EXACT(E86,E95)),G86,"賃金単価を記載")))</f>
        <v/>
      </c>
      <c r="H95" s="59" t="str">
        <f t="shared" ref="H95:H96" si="231">IF($D95="","",IF($E95="正規職員","-",F95*G95))</f>
        <v/>
      </c>
      <c r="I95" s="59">
        <f t="shared" si="18"/>
        <v>271333.33333333401</v>
      </c>
      <c r="J95" s="59" t="str">
        <f t="shared" ref="J95" si="232">IFERROR(IF($C94="-","",IF(D95="","",IF(E95="正規職員",I95-J94,MIN(MIN(H95:I95),I94-J94)))),0)</f>
        <v/>
      </c>
      <c r="K95" s="61" t="str">
        <f t="shared" ref="K95:K99" si="233">IF(D95="","",IF(OR(COUNTIFS(D95,"*要配慮*")=1,COUNTIFS(D95,"*医療的ケア*")=1),"○","エラー"))</f>
        <v/>
      </c>
      <c r="L95" s="62">
        <f>L94</f>
        <v>11</v>
      </c>
      <c r="M95" s="62" t="e">
        <f>VLOOKUP($D95&amp;M$5,'②-2勤務時間数入力'!$D$7:$Q$106,$L95,FALSE)</f>
        <v>#N/A</v>
      </c>
      <c r="N95" s="62" t="str">
        <f t="shared" si="225"/>
        <v>×</v>
      </c>
      <c r="O95" s="62" t="e">
        <f>VLOOKUP($D95&amp;O$5,'②-2勤務時間数入力'!$D$7:$Q$106,$L95,FALSE)</f>
        <v>#N/A</v>
      </c>
      <c r="P95" s="62" t="str">
        <f t="shared" si="226"/>
        <v>×</v>
      </c>
      <c r="Q95" s="62" t="e">
        <f>VLOOKUP($D95&amp;Q$5,'②-2勤務時間数入力'!$D$7:$Q$106,$L95,FALSE)</f>
        <v>#N/A</v>
      </c>
      <c r="R95" s="62" t="str">
        <f t="shared" si="227"/>
        <v>×</v>
      </c>
      <c r="S95" s="62" t="e">
        <f>VLOOKUP($D95&amp;S$5,'②-2勤務時間数入力'!$D$7:$Q$106,$L95,FALSE)</f>
        <v>#N/A</v>
      </c>
      <c r="T95" s="62" t="str">
        <f t="shared" si="228"/>
        <v>×</v>
      </c>
    </row>
    <row r="96" spans="1:20" ht="13.5" hidden="1" customHeight="1">
      <c r="A96" s="854"/>
      <c r="B96" s="857"/>
      <c r="C96" s="856" t="str">
        <f>IF(B94&gt;=1,IFERROR(INDEX($F$153:$G$158,MATCH(判定!AI17,$F$153:$F$158,0),2),"-"),"-")</f>
        <v>-</v>
      </c>
      <c r="D96" s="138" t="str">
        <f>IF(D85="","",D85)</f>
        <v/>
      </c>
      <c r="E96" s="60" t="str">
        <f t="shared" si="229"/>
        <v/>
      </c>
      <c r="F96" s="59" t="str">
        <f t="shared" si="230"/>
        <v/>
      </c>
      <c r="G96" s="139" t="str">
        <f>IF($B91="","",IF($E96="正規職員","-",IF(AND(EXACT(B80,B91),EXACT(D87,D96),EXACT(E87,E96)),G87,"賃金単価を記載")))</f>
        <v/>
      </c>
      <c r="H96" s="59" t="str">
        <f t="shared" si="231"/>
        <v/>
      </c>
      <c r="I96" s="59">
        <f t="shared" si="18"/>
        <v>271333.33333333401</v>
      </c>
      <c r="J96" s="59" t="str">
        <f t="shared" ref="J96" si="234">IFERROR(IF($C96="-","",IF(D96="",0,IF(E96="正規職員",I96,MIN(H96:I96)))),0)</f>
        <v/>
      </c>
      <c r="K96" s="61" t="str">
        <f t="shared" si="233"/>
        <v/>
      </c>
      <c r="L96" s="62">
        <f t="shared" ref="L96:L102" si="235">L95</f>
        <v>11</v>
      </c>
      <c r="M96" s="62" t="e">
        <f>VLOOKUP($D96&amp;M$5,'②-2勤務時間数入力'!$D$7:$Q$106,$L96,FALSE)</f>
        <v>#N/A</v>
      </c>
      <c r="N96" s="62" t="str">
        <f t="shared" si="225"/>
        <v>×</v>
      </c>
      <c r="O96" s="62" t="e">
        <f>VLOOKUP($D96&amp;O$5,'②-2勤務時間数入力'!$D$7:$Q$106,$L96,FALSE)</f>
        <v>#N/A</v>
      </c>
      <c r="P96" s="62" t="str">
        <f t="shared" si="226"/>
        <v>×</v>
      </c>
      <c r="Q96" s="62" t="e">
        <f>VLOOKUP($D96&amp;Q$5,'②-2勤務時間数入力'!$D$7:$Q$106,$L96,FALSE)</f>
        <v>#N/A</v>
      </c>
      <c r="R96" s="62" t="str">
        <f t="shared" si="227"/>
        <v>×</v>
      </c>
      <c r="S96" s="62" t="e">
        <f>VLOOKUP($D96&amp;S$5,'②-2勤務時間数入力'!$D$7:$Q$106,$L96,FALSE)</f>
        <v>#N/A</v>
      </c>
      <c r="T96" s="62" t="str">
        <f t="shared" si="228"/>
        <v>×</v>
      </c>
    </row>
    <row r="97" spans="1:20" ht="13.5" hidden="1" customHeight="1">
      <c r="A97" s="854"/>
      <c r="B97" s="857"/>
      <c r="C97" s="858"/>
      <c r="D97" s="138" t="str">
        <f t="shared" ref="D97:D103" si="236">IF(D86="","",D86)</f>
        <v/>
      </c>
      <c r="E97" s="60" t="str">
        <f t="shared" ref="E97:E98" si="237">IF(D97="","",IF(N97="○",M$5,IF(P97="○",O$5,IF(R97="○",Q$5,IF(T97="○",S$5,"ERROR")))))</f>
        <v/>
      </c>
      <c r="F97" s="59" t="str">
        <f t="shared" ref="F97:F98" si="238">IF(D97="","",IF(N97="○",M97,IF(P97="○",O97,IF(R97="○",Q97,IF(T97="○",S97,"ERROR")))))</f>
        <v/>
      </c>
      <c r="G97" s="139" t="str">
        <f>IF($B89="","",IF($E97="正規職員","-",IF(AND(EXACT(B78,B89),EXACT(D86,D97),EXACT(E86,E97)),G86,"賃金単価を記載")))</f>
        <v/>
      </c>
      <c r="H97" s="59" t="str">
        <f>IF($D97="","",IF($E97="正規職員","-",F97*G97))</f>
        <v/>
      </c>
      <c r="I97" s="59">
        <f t="shared" si="18"/>
        <v>271333.33333333401</v>
      </c>
      <c r="J97" s="59" t="str">
        <f t="shared" ref="J97" si="239">IFERROR(IF($C96="-","",IF(D97="","",IF(E97="正規職員",I97-J96,MIN(MIN(H97:I97),I96-J96)))),0)</f>
        <v/>
      </c>
      <c r="K97" s="61" t="str">
        <f t="shared" ref="K97:K98" si="240">IF(D97="","",IF(OR(COUNTIFS(D97,"*要配慮*")=1,COUNTIFS(D97,"*医療的ケア*")=1),"○","エラー"))</f>
        <v/>
      </c>
      <c r="L97" s="62">
        <f t="shared" si="235"/>
        <v>11</v>
      </c>
      <c r="M97" s="62" t="e">
        <f>VLOOKUP($D97&amp;M$5,'②-2勤務時間数入力'!$D$7:$Q$106,$L97,FALSE)</f>
        <v>#N/A</v>
      </c>
      <c r="N97" s="62" t="str">
        <f t="shared" si="225"/>
        <v>×</v>
      </c>
      <c r="O97" s="62" t="e">
        <f>VLOOKUP($D97&amp;O$5,'②-2勤務時間数入力'!$D$7:$Q$106,$L97,FALSE)</f>
        <v>#N/A</v>
      </c>
      <c r="P97" s="62" t="str">
        <f t="shared" si="226"/>
        <v>×</v>
      </c>
      <c r="Q97" s="62" t="e">
        <f>VLOOKUP($D97&amp;Q$5,'②-2勤務時間数入力'!$D$7:$Q$106,$L97,FALSE)</f>
        <v>#N/A</v>
      </c>
      <c r="R97" s="62" t="str">
        <f t="shared" si="227"/>
        <v>×</v>
      </c>
      <c r="S97" s="62" t="e">
        <f>VLOOKUP($D97&amp;S$5,'②-2勤務時間数入力'!$D$7:$Q$106,$L97,FALSE)</f>
        <v>#N/A</v>
      </c>
      <c r="T97" s="62" t="str">
        <f t="shared" si="228"/>
        <v>×</v>
      </c>
    </row>
    <row r="98" spans="1:20" ht="13.5" hidden="1" customHeight="1">
      <c r="A98" s="854"/>
      <c r="B98" s="857"/>
      <c r="C98" s="856" t="str">
        <f>IF(B94&gt;=1,IFERROR(INDEX($F$153:$G$158,MATCH(判定!AJ17,$F$153:$F$158,0),2),"-"),"-")</f>
        <v>-</v>
      </c>
      <c r="D98" s="138" t="str">
        <f t="shared" si="236"/>
        <v/>
      </c>
      <c r="E98" s="60" t="str">
        <f t="shared" si="237"/>
        <v/>
      </c>
      <c r="F98" s="59" t="str">
        <f t="shared" si="238"/>
        <v/>
      </c>
      <c r="G98" s="139" t="str">
        <f>IF($B92="","",IF($E98="正規職員","-",IF(AND(EXACT(B81,B92),EXACT(D87,D98),EXACT(E87,E98)),G87,"賃金単価を記載")))</f>
        <v/>
      </c>
      <c r="H98" s="59" t="str">
        <f t="shared" ref="H98" si="241">IF($D98="","",IF($E98="正規職員","-",F98*G98))</f>
        <v/>
      </c>
      <c r="I98" s="59">
        <f t="shared" si="18"/>
        <v>271333.33333333401</v>
      </c>
      <c r="J98" s="59" t="str">
        <f t="shared" ref="J98" si="242">IFERROR(IF($C98="-","",IF(D98="",0,IF(E98="正規職員",I98,MIN(H98:I98)))),0)</f>
        <v/>
      </c>
      <c r="K98" s="61" t="str">
        <f t="shared" si="240"/>
        <v/>
      </c>
      <c r="L98" s="62">
        <f t="shared" si="235"/>
        <v>11</v>
      </c>
      <c r="M98" s="62" t="e">
        <f>VLOOKUP($D98&amp;M$5,'②-2勤務時間数入力'!$D$7:$Q$106,$L98,FALSE)</f>
        <v>#N/A</v>
      </c>
      <c r="N98" s="62" t="str">
        <f t="shared" si="225"/>
        <v>×</v>
      </c>
      <c r="O98" s="62" t="e">
        <f>VLOOKUP($D98&amp;O$5,'②-2勤務時間数入力'!$D$7:$Q$106,$L98,FALSE)</f>
        <v>#N/A</v>
      </c>
      <c r="P98" s="62" t="str">
        <f t="shared" si="226"/>
        <v>×</v>
      </c>
      <c r="Q98" s="62" t="e">
        <f>VLOOKUP($D98&amp;Q$5,'②-2勤務時間数入力'!$D$7:$Q$106,$L98,FALSE)</f>
        <v>#N/A</v>
      </c>
      <c r="R98" s="62" t="str">
        <f t="shared" si="227"/>
        <v>×</v>
      </c>
      <c r="S98" s="62" t="e">
        <f>VLOOKUP($D98&amp;S$5,'②-2勤務時間数入力'!$D$7:$Q$106,$L98,FALSE)</f>
        <v>#N/A</v>
      </c>
      <c r="T98" s="62" t="str">
        <f t="shared" si="228"/>
        <v>×</v>
      </c>
    </row>
    <row r="99" spans="1:20" ht="13.5" hidden="1" customHeight="1">
      <c r="A99" s="854"/>
      <c r="B99" s="857"/>
      <c r="C99" s="858"/>
      <c r="D99" s="138" t="str">
        <f t="shared" si="236"/>
        <v/>
      </c>
      <c r="E99" s="60" t="str">
        <f t="shared" si="229"/>
        <v/>
      </c>
      <c r="F99" s="59" t="str">
        <f t="shared" si="230"/>
        <v/>
      </c>
      <c r="G99" s="139" t="str">
        <f>IF($B91="","",IF($E99="正規職員","-",IF(AND(EXACT(B80,B91),EXACT(D88,D99),EXACT(E88,E99)),G88,"賃金単価を記載")))</f>
        <v/>
      </c>
      <c r="H99" s="59" t="str">
        <f>IF($D99="","",IF($E99="正規職員","-",F99*G99))</f>
        <v/>
      </c>
      <c r="I99" s="59">
        <f t="shared" si="18"/>
        <v>271333.33333333401</v>
      </c>
      <c r="J99" s="59" t="str">
        <f t="shared" ref="J99" si="243">IFERROR(IF($C98="-","",IF(D99="","",IF(E99="正規職員",I99-J98,MIN(MIN(H99:I99),I98-J98)))),0)</f>
        <v/>
      </c>
      <c r="K99" s="61" t="str">
        <f t="shared" si="233"/>
        <v/>
      </c>
      <c r="L99" s="62">
        <f t="shared" si="235"/>
        <v>11</v>
      </c>
      <c r="M99" s="62" t="e">
        <f>VLOOKUP($D99&amp;M$5,'②-2勤務時間数入力'!$D$7:$Q$106,$L99,FALSE)</f>
        <v>#N/A</v>
      </c>
      <c r="N99" s="62" t="str">
        <f t="shared" si="225"/>
        <v>×</v>
      </c>
      <c r="O99" s="62" t="e">
        <f>VLOOKUP($D99&amp;O$5,'②-2勤務時間数入力'!$D$7:$Q$106,$L99,FALSE)</f>
        <v>#N/A</v>
      </c>
      <c r="P99" s="62" t="str">
        <f t="shared" si="226"/>
        <v>×</v>
      </c>
      <c r="Q99" s="62" t="e">
        <f>VLOOKUP($D99&amp;Q$5,'②-2勤務時間数入力'!$D$7:$Q$106,$L99,FALSE)</f>
        <v>#N/A</v>
      </c>
      <c r="R99" s="62" t="str">
        <f t="shared" si="227"/>
        <v>×</v>
      </c>
      <c r="S99" s="62" t="e">
        <f>VLOOKUP($D99&amp;S$5,'②-2勤務時間数入力'!$D$7:$Q$106,$L99,FALSE)</f>
        <v>#N/A</v>
      </c>
      <c r="T99" s="62" t="str">
        <f t="shared" si="228"/>
        <v>×</v>
      </c>
    </row>
    <row r="100" spans="1:20" ht="13.5" hidden="1" customHeight="1">
      <c r="A100" s="854"/>
      <c r="B100" s="857"/>
      <c r="C100" s="856" t="str">
        <f>IF(B94&gt;=1,IFERROR(INDEX($F$153:$G$158,MATCH(判定!AK17,$F$153:$F$158,0),2),"-"),"-")</f>
        <v>-</v>
      </c>
      <c r="D100" s="138" t="str">
        <f t="shared" si="236"/>
        <v/>
      </c>
      <c r="E100" s="60" t="str">
        <f t="shared" ref="E100:E103" si="244">IF(D100="","",IF(N100="○",M$5,IF(P100="○",O$5,IF(R100="○",Q$5,IF(T100="○",S$5,"ERROR")))))</f>
        <v/>
      </c>
      <c r="F100" s="59" t="str">
        <f t="shared" ref="F100:F103" si="245">IF(D100="","",IF(N100="○",M100,IF(P100="○",O100,IF(R100="○",Q100,IF(T100="○",S100,"ERROR")))))</f>
        <v/>
      </c>
      <c r="G100" s="139" t="str">
        <f>IF($B94="","",IF($E100="正規職員","-",IF(AND(EXACT(B83,B94),EXACT(D89,D100),EXACT(E89,E100)),G89,"賃金単価を記載")))</f>
        <v/>
      </c>
      <c r="H100" s="59" t="str">
        <f t="shared" si="222"/>
        <v/>
      </c>
      <c r="I100" s="59">
        <f t="shared" si="18"/>
        <v>271333.33333333401</v>
      </c>
      <c r="J100" s="59" t="str">
        <f t="shared" ref="J100" si="246">IFERROR(IF($C100="-","",IF(D100="",0,IF(E100="正規職員",I100,MIN(H100:I100)))),0)</f>
        <v/>
      </c>
      <c r="K100" s="61" t="str">
        <f t="shared" ref="K100:K103" si="247">IF(D100="","",IF(OR(COUNTIFS(D100,"*要配慮*")=1,COUNTIFS(D100,"*医療的ケア*")=1),"○","エラー"))</f>
        <v/>
      </c>
      <c r="L100" s="62">
        <f t="shared" si="235"/>
        <v>11</v>
      </c>
      <c r="M100" s="62" t="e">
        <f>VLOOKUP($D100&amp;M$5,'②-2勤務時間数入力'!$D$7:$Q$106,$L100,FALSE)</f>
        <v>#N/A</v>
      </c>
      <c r="N100" s="62" t="str">
        <f t="shared" si="225"/>
        <v>×</v>
      </c>
      <c r="O100" s="62" t="e">
        <f>VLOOKUP($D100&amp;O$5,'②-2勤務時間数入力'!$D$7:$Q$106,$L100,FALSE)</f>
        <v>#N/A</v>
      </c>
      <c r="P100" s="62" t="str">
        <f t="shared" si="226"/>
        <v>×</v>
      </c>
      <c r="Q100" s="62" t="e">
        <f>VLOOKUP($D100&amp;Q$5,'②-2勤務時間数入力'!$D$7:$Q$106,$L100,FALSE)</f>
        <v>#N/A</v>
      </c>
      <c r="R100" s="62" t="str">
        <f t="shared" si="227"/>
        <v>×</v>
      </c>
      <c r="S100" s="62" t="e">
        <f>VLOOKUP($D100&amp;S$5,'②-2勤務時間数入力'!$D$7:$Q$106,$L100,FALSE)</f>
        <v>#N/A</v>
      </c>
      <c r="T100" s="62" t="str">
        <f t="shared" si="228"/>
        <v>×</v>
      </c>
    </row>
    <row r="101" spans="1:20" ht="13.5" hidden="1" customHeight="1">
      <c r="A101" s="854"/>
      <c r="B101" s="857"/>
      <c r="C101" s="858"/>
      <c r="D101" s="138" t="str">
        <f>IF(D90="","",D90)</f>
        <v/>
      </c>
      <c r="E101" s="60" t="str">
        <f t="shared" si="244"/>
        <v/>
      </c>
      <c r="F101" s="59" t="str">
        <f t="shared" si="245"/>
        <v/>
      </c>
      <c r="G101" s="139" t="str">
        <f>IF($B94="","",IF($E101="正規職員","-",IF(AND(EXACT(B83,B94),EXACT(D90,D101),EXACT(E90,E101)),G90,"賃金単価を記載")))</f>
        <v/>
      </c>
      <c r="H101" s="59" t="str">
        <f t="shared" si="222"/>
        <v/>
      </c>
      <c r="I101" s="59">
        <f t="shared" si="18"/>
        <v>271333.33333333401</v>
      </c>
      <c r="J101" s="59" t="str">
        <f t="shared" ref="J101" si="248">IFERROR(IF($C100="-","",IF(D101="","",IF(E101="正規職員",I101-J100,MIN(MIN(H101:I101),I100-J100)))),0)</f>
        <v/>
      </c>
      <c r="K101" s="61" t="str">
        <f t="shared" si="247"/>
        <v/>
      </c>
      <c r="L101" s="62">
        <f t="shared" si="235"/>
        <v>11</v>
      </c>
      <c r="M101" s="62" t="e">
        <f>VLOOKUP($D101&amp;M$5,'②-2勤務時間数入力'!$D$7:$Q$106,$L101,FALSE)</f>
        <v>#N/A</v>
      </c>
      <c r="N101" s="62" t="str">
        <f t="shared" si="225"/>
        <v>×</v>
      </c>
      <c r="O101" s="62" t="e">
        <f>VLOOKUP($D101&amp;O$5,'②-2勤務時間数入力'!$D$7:$Q$106,$L101,FALSE)</f>
        <v>#N/A</v>
      </c>
      <c r="P101" s="62" t="str">
        <f t="shared" si="226"/>
        <v>×</v>
      </c>
      <c r="Q101" s="62" t="e">
        <f>VLOOKUP($D101&amp;Q$5,'②-2勤務時間数入力'!$D$7:$Q$106,$L101,FALSE)</f>
        <v>#N/A</v>
      </c>
      <c r="R101" s="62" t="str">
        <f t="shared" si="227"/>
        <v>×</v>
      </c>
      <c r="S101" s="62" t="e">
        <f>VLOOKUP($D101&amp;S$5,'②-2勤務時間数入力'!$D$7:$Q$106,$L101,FALSE)</f>
        <v>#N/A</v>
      </c>
      <c r="T101" s="62" t="str">
        <f t="shared" si="228"/>
        <v>×</v>
      </c>
    </row>
    <row r="102" spans="1:20" ht="13.5" hidden="1" customHeight="1">
      <c r="A102" s="854"/>
      <c r="B102" s="857"/>
      <c r="C102" s="856" t="str">
        <f>IF(B94&gt;=1,IFERROR(INDEX($F$153:$G$158,MATCH(判定!AL17,$F$153:$F$158,0),2),"-"),"-")</f>
        <v>-</v>
      </c>
      <c r="D102" s="138" t="str">
        <f t="shared" si="236"/>
        <v/>
      </c>
      <c r="E102" s="60" t="str">
        <f t="shared" si="244"/>
        <v/>
      </c>
      <c r="F102" s="59" t="str">
        <f t="shared" si="245"/>
        <v/>
      </c>
      <c r="G102" s="139" t="str">
        <f>IF($B94="","",IF($E102="正規職員","-",IF(AND(EXACT(B83,B94),EXACT(D91,D102),EXACT(E91,E102)),G91,"賃金単価を記載")))</f>
        <v/>
      </c>
      <c r="H102" s="59" t="str">
        <f>IF($D102="","",IF($E102="正規職員","-",F102*G102))</f>
        <v/>
      </c>
      <c r="I102" s="59">
        <f t="shared" si="18"/>
        <v>271333.33333333401</v>
      </c>
      <c r="J102" s="59" t="str">
        <f t="shared" ref="J102" si="249">IFERROR(IF($C102="-","",IF(D102="",0,IF(E102="正規職員",I102,MIN(H102:I102)))),0)</f>
        <v/>
      </c>
      <c r="K102" s="61" t="str">
        <f t="shared" si="247"/>
        <v/>
      </c>
      <c r="L102" s="62">
        <f t="shared" si="235"/>
        <v>11</v>
      </c>
      <c r="M102" s="62" t="e">
        <f>VLOOKUP($D102&amp;M$5,'②-2勤務時間数入力'!$D$7:$Q$106,$L102,FALSE)</f>
        <v>#N/A</v>
      </c>
      <c r="N102" s="62" t="str">
        <f t="shared" si="225"/>
        <v>×</v>
      </c>
      <c r="O102" s="62" t="e">
        <f>VLOOKUP($D102&amp;O$5,'②-2勤務時間数入力'!$D$7:$Q$106,$L102,FALSE)</f>
        <v>#N/A</v>
      </c>
      <c r="P102" s="62" t="str">
        <f t="shared" si="226"/>
        <v>×</v>
      </c>
      <c r="Q102" s="62" t="e">
        <f>VLOOKUP($D102&amp;Q$5,'②-2勤務時間数入力'!$D$7:$Q$106,$L102,FALSE)</f>
        <v>#N/A</v>
      </c>
      <c r="R102" s="62" t="str">
        <f t="shared" si="227"/>
        <v>×</v>
      </c>
      <c r="S102" s="62" t="e">
        <f>VLOOKUP($D102&amp;S$5,'②-2勤務時間数入力'!$D$7:$Q$106,$L102,FALSE)</f>
        <v>#N/A</v>
      </c>
      <c r="T102" s="62" t="str">
        <f t="shared" si="228"/>
        <v>×</v>
      </c>
    </row>
    <row r="103" spans="1:20" ht="13.5" hidden="1" customHeight="1">
      <c r="A103" s="878"/>
      <c r="B103" s="857"/>
      <c r="C103" s="858"/>
      <c r="D103" s="138" t="str">
        <f t="shared" si="236"/>
        <v/>
      </c>
      <c r="E103" s="60" t="str">
        <f t="shared" si="244"/>
        <v/>
      </c>
      <c r="F103" s="59" t="str">
        <f t="shared" si="245"/>
        <v/>
      </c>
      <c r="G103" s="139" t="str">
        <f>IF($B94="","",IF($E103="正規職員","-",IF(AND(EXACT(B83,B94),EXACT(D92,D103),EXACT(E92,E103)),G92,"賃金単価を記載")))</f>
        <v/>
      </c>
      <c r="H103" s="59" t="str">
        <f>IF($D103="","",IF($E103="正規職員","-",F103*G103))</f>
        <v/>
      </c>
      <c r="I103" s="59">
        <f t="shared" si="18"/>
        <v>271333.33333333401</v>
      </c>
      <c r="J103" s="59" t="str">
        <f t="shared" ref="J103" si="250">IFERROR(IF($C102="-","",IF(D103="","",IF(E103="正規職員",I103-J102,MIN(MIN(H103:I103),I102-J102)))),0)</f>
        <v/>
      </c>
      <c r="K103" s="61" t="str">
        <f t="shared" si="247"/>
        <v/>
      </c>
      <c r="L103" s="62">
        <f>L102</f>
        <v>11</v>
      </c>
      <c r="M103" s="62" t="e">
        <f>VLOOKUP($D103&amp;M$5,'②-2勤務時間数入力'!$D$7:$Q$106,$L103,FALSE)</f>
        <v>#N/A</v>
      </c>
      <c r="N103" s="62" t="str">
        <f t="shared" si="225"/>
        <v>×</v>
      </c>
      <c r="O103" s="62" t="e">
        <f>VLOOKUP($D103&amp;O$5,'②-2勤務時間数入力'!$D$7:$Q$106,$L103,FALSE)</f>
        <v>#N/A</v>
      </c>
      <c r="P103" s="62" t="str">
        <f t="shared" si="226"/>
        <v>×</v>
      </c>
      <c r="Q103" s="62" t="e">
        <f>VLOOKUP($D103&amp;Q$5,'②-2勤務時間数入力'!$D$7:$Q$106,$L103,FALSE)</f>
        <v>#N/A</v>
      </c>
      <c r="R103" s="62" t="str">
        <f t="shared" si="227"/>
        <v>×</v>
      </c>
      <c r="S103" s="62" t="e">
        <f>VLOOKUP($D103&amp;S$5,'②-2勤務時間数入力'!$D$7:$Q$106,$L103,FALSE)</f>
        <v>#N/A</v>
      </c>
      <c r="T103" s="62" t="str">
        <f t="shared" si="228"/>
        <v>×</v>
      </c>
    </row>
    <row r="104" spans="1:20" ht="13.5" hidden="1" customHeight="1">
      <c r="A104" s="844"/>
      <c r="B104" s="858"/>
      <c r="C104" s="284"/>
      <c r="D104" s="1" t="s">
        <v>281</v>
      </c>
      <c r="E104" s="60" t="s">
        <v>273</v>
      </c>
      <c r="F104" s="67"/>
      <c r="G104" s="60" t="s">
        <v>273</v>
      </c>
      <c r="H104" s="60" t="s">
        <v>273</v>
      </c>
      <c r="I104" s="60" t="s">
        <v>273</v>
      </c>
      <c r="J104" s="59" t="str">
        <f t="shared" ref="J104" si="251">IFERROR(IF(J94="","",MIN(SUM(J94:J103),(B94*I94))),0)</f>
        <v/>
      </c>
      <c r="K104" s="61"/>
      <c r="L104" s="62"/>
      <c r="M104" s="62"/>
      <c r="N104" s="62"/>
      <c r="O104" s="62"/>
      <c r="P104" s="62"/>
      <c r="Q104" s="62"/>
      <c r="R104" s="62"/>
      <c r="S104" s="62"/>
      <c r="T104" s="62"/>
    </row>
    <row r="105" spans="1:20" ht="13.5" hidden="1" customHeight="1">
      <c r="A105" s="843">
        <v>1</v>
      </c>
      <c r="B105" s="856" t="str">
        <f>IF(判定!AY18&gt;=1,判定!AY18,"-")</f>
        <v>-</v>
      </c>
      <c r="C105" s="856" t="str">
        <f>IF(B105&gt;=1,IFERROR(INDEX($F$153:$G$158,MATCH(判定!AH18,$F$153:$F$158,0),2),"-"),"-")</f>
        <v>-</v>
      </c>
      <c r="D105" s="138" t="str">
        <f t="shared" ref="D105" si="252">IF(D94="","",D94)</f>
        <v/>
      </c>
      <c r="E105" s="60" t="str">
        <f>IF(D105="","",IF(N105="○",M$5,IF(P105="○",O$5,IF(R105="○",Q$5,IF(T105="○",S$5,"ERROR")))))</f>
        <v/>
      </c>
      <c r="F105" s="59" t="str">
        <f>IF(D105="","",IF(N105="○",M105,IF(P105="○",O105,IF(R105="○",Q105,IF(T105="○",S105,"ERROR")))))</f>
        <v/>
      </c>
      <c r="G105" s="139" t="str">
        <f>IF($B105="","",IF($E105="正規職員","-",IF(AND(EXACT(B94,B105),EXACT(D94,D105),EXACT(E94,E105)),G94,"賃金単価を記載")))</f>
        <v/>
      </c>
      <c r="H105" s="59" t="str">
        <f t="shared" ref="H105:H112" si="253">IF($D105="","",IF($E105="正規職員","-",F105*G105))</f>
        <v/>
      </c>
      <c r="I105" s="59">
        <f t="shared" si="18"/>
        <v>271333.33333333401</v>
      </c>
      <c r="J105" s="59" t="str">
        <f t="shared" ref="J105" si="254">IFERROR(IF($C105="-","",IF(D105="",0,IF(E105="正規職員",I105,MIN(H105:I105)))),0)</f>
        <v/>
      </c>
      <c r="K105" s="61" t="str">
        <f>IF(D105="","",IF(OR(COUNTIFS(D105,"*要配慮*")=1,COUNTIFS(D105,"*医療的ケア*")=1),"○","エラー"))</f>
        <v/>
      </c>
      <c r="L105" s="62">
        <f t="shared" ref="L105" si="255">L94+1</f>
        <v>12</v>
      </c>
      <c r="M105" s="62" t="e">
        <f>VLOOKUP($D105&amp;M$5,'②-2勤務時間数入力'!$D$7:$Q$106,$L105,FALSE)</f>
        <v>#N/A</v>
      </c>
      <c r="N105" s="62" t="str">
        <f t="shared" ref="N105:N114" si="256">IF(ISERROR(M105),"×",IF(M105="-","×","○"))</f>
        <v>×</v>
      </c>
      <c r="O105" s="62" t="e">
        <f>VLOOKUP($D105&amp;O$5,'②-2勤務時間数入力'!$D$7:$Q$106,$L105,FALSE)</f>
        <v>#N/A</v>
      </c>
      <c r="P105" s="62" t="str">
        <f t="shared" ref="P105:P114" si="257">IF(ISERROR(O105),"×",IF(O105="-","×","○"))</f>
        <v>×</v>
      </c>
      <c r="Q105" s="62" t="e">
        <f>VLOOKUP($D105&amp;Q$5,'②-2勤務時間数入力'!$D$7:$Q$106,$L105,FALSE)</f>
        <v>#N/A</v>
      </c>
      <c r="R105" s="62" t="str">
        <f t="shared" ref="R105:R114" si="258">IF(ISERROR(Q105),"×",IF(Q105="-","×","○"))</f>
        <v>×</v>
      </c>
      <c r="S105" s="62" t="e">
        <f>VLOOKUP($D105&amp;S$5,'②-2勤務時間数入力'!$D$7:$Q$106,$L105,FALSE)</f>
        <v>#N/A</v>
      </c>
      <c r="T105" s="62" t="str">
        <f t="shared" ref="T105:T114" si="259">IF(ISERROR(S105),"×",IF(S105="-","×","○"))</f>
        <v>×</v>
      </c>
    </row>
    <row r="106" spans="1:20" ht="13.5" hidden="1" customHeight="1">
      <c r="A106" s="854"/>
      <c r="B106" s="857"/>
      <c r="C106" s="858"/>
      <c r="D106" s="138" t="str">
        <f>IF(D95="","",D95)</f>
        <v/>
      </c>
      <c r="E106" s="60" t="str">
        <f t="shared" ref="E106:E107" si="260">IF(D106="","",IF(N106="○",M$5,IF(P106="○",O$5,IF(R106="○",Q$5,IF(T106="○",S$5,"ERROR")))))</f>
        <v/>
      </c>
      <c r="F106" s="59" t="str">
        <f t="shared" ref="F106:F107" si="261">IF(D106="","",IF(N106="○",M106,IF(P106="○",O106,IF(R106="○",Q106,IF(T106="○",S106,"ERROR")))))</f>
        <v/>
      </c>
      <c r="G106" s="139" t="str">
        <f>IF($B100="","",IF($E106="正規職員","-",IF(AND(EXACT(B89,B100),EXACT(D95,D106),EXACT(E95,E106)),G95,"賃金単価を記載")))</f>
        <v/>
      </c>
      <c r="H106" s="59" t="str">
        <f t="shared" si="253"/>
        <v/>
      </c>
      <c r="I106" s="59">
        <f t="shared" si="18"/>
        <v>271333.33333333401</v>
      </c>
      <c r="J106" s="59" t="str">
        <f t="shared" ref="J106" si="262">IFERROR(IF($C105="-","",IF(D106="","",IF(E106="正規職員",I106-J105,MIN(MIN(H106:I106),I105-J105)))),0)</f>
        <v/>
      </c>
      <c r="K106" s="61" t="str">
        <f t="shared" ref="K106:K107" si="263">IF(D106="","",IF(OR(COUNTIFS(D106,"*要配慮*")=1,COUNTIFS(D106,"*医療的ケア*")=1),"○","エラー"))</f>
        <v/>
      </c>
      <c r="L106" s="62">
        <f>L105</f>
        <v>12</v>
      </c>
      <c r="M106" s="62" t="e">
        <f>VLOOKUP($D106&amp;M$5,'②-2勤務時間数入力'!$D$7:$Q$106,$L106,FALSE)</f>
        <v>#N/A</v>
      </c>
      <c r="N106" s="62" t="str">
        <f t="shared" si="256"/>
        <v>×</v>
      </c>
      <c r="O106" s="62" t="e">
        <f>VLOOKUP($D106&amp;O$5,'②-2勤務時間数入力'!$D$7:$Q$106,$L106,FALSE)</f>
        <v>#N/A</v>
      </c>
      <c r="P106" s="62" t="str">
        <f t="shared" si="257"/>
        <v>×</v>
      </c>
      <c r="Q106" s="62" t="e">
        <f>VLOOKUP($D106&amp;Q$5,'②-2勤務時間数入力'!$D$7:$Q$106,$L106,FALSE)</f>
        <v>#N/A</v>
      </c>
      <c r="R106" s="62" t="str">
        <f t="shared" si="258"/>
        <v>×</v>
      </c>
      <c r="S106" s="62" t="e">
        <f>VLOOKUP($D106&amp;S$5,'②-2勤務時間数入力'!$D$7:$Q$106,$L106,FALSE)</f>
        <v>#N/A</v>
      </c>
      <c r="T106" s="62" t="str">
        <f t="shared" si="259"/>
        <v>×</v>
      </c>
    </row>
    <row r="107" spans="1:20" ht="13.5" hidden="1" customHeight="1">
      <c r="A107" s="854"/>
      <c r="B107" s="857"/>
      <c r="C107" s="856" t="str">
        <f>IF(B105&gt;=1,IFERROR(INDEX($F$153:$G$158,MATCH(判定!AI18,$F$153:$F$158,0),2),"-"),"-")</f>
        <v>-</v>
      </c>
      <c r="D107" s="138" t="str">
        <f>IF(D96="","",D96)</f>
        <v/>
      </c>
      <c r="E107" s="60" t="str">
        <f t="shared" si="260"/>
        <v/>
      </c>
      <c r="F107" s="59" t="str">
        <f t="shared" si="261"/>
        <v/>
      </c>
      <c r="G107" s="139" t="str">
        <f>IF($B100="","",IF($E107="正規職員","-",IF(AND(EXACT(B89,B100),EXACT(D96,D107),EXACT(E96,E107)),G96,"賃金単価を記載")))</f>
        <v/>
      </c>
      <c r="H107" s="59" t="str">
        <f t="shared" si="253"/>
        <v/>
      </c>
      <c r="I107" s="59">
        <f t="shared" si="18"/>
        <v>271333.33333333401</v>
      </c>
      <c r="J107" s="59" t="str">
        <f t="shared" ref="J107" si="264">IFERROR(IF($C107="-","",IF(D107="",0,IF(E107="正規職員",I107,MIN(H107:I107)))),0)</f>
        <v/>
      </c>
      <c r="K107" s="61" t="str">
        <f t="shared" si="263"/>
        <v/>
      </c>
      <c r="L107" s="62">
        <f t="shared" ref="L107:L114" si="265">L106</f>
        <v>12</v>
      </c>
      <c r="M107" s="62" t="e">
        <f>VLOOKUP($D107&amp;M$5,'②-2勤務時間数入力'!$D$7:$Q$106,$L107,FALSE)</f>
        <v>#N/A</v>
      </c>
      <c r="N107" s="62" t="str">
        <f t="shared" si="256"/>
        <v>×</v>
      </c>
      <c r="O107" s="62" t="e">
        <f>VLOOKUP($D107&amp;O$5,'②-2勤務時間数入力'!$D$7:$Q$106,$L107,FALSE)</f>
        <v>#N/A</v>
      </c>
      <c r="P107" s="62" t="str">
        <f t="shared" si="257"/>
        <v>×</v>
      </c>
      <c r="Q107" s="62" t="e">
        <f>VLOOKUP($D107&amp;Q$5,'②-2勤務時間数入力'!$D$7:$Q$106,$L107,FALSE)</f>
        <v>#N/A</v>
      </c>
      <c r="R107" s="62" t="str">
        <f t="shared" si="258"/>
        <v>×</v>
      </c>
      <c r="S107" s="62" t="e">
        <f>VLOOKUP($D107&amp;S$5,'②-2勤務時間数入力'!$D$7:$Q$106,$L107,FALSE)</f>
        <v>#N/A</v>
      </c>
      <c r="T107" s="62" t="str">
        <f t="shared" si="259"/>
        <v>×</v>
      </c>
    </row>
    <row r="108" spans="1:20" ht="13.5" hidden="1" customHeight="1">
      <c r="A108" s="854"/>
      <c r="B108" s="857"/>
      <c r="C108" s="858"/>
      <c r="D108" s="138" t="str">
        <f t="shared" ref="D108:D114" si="266">IF(D97="","",D97)</f>
        <v/>
      </c>
      <c r="E108" s="60" t="str">
        <f t="shared" ref="E108:E110" si="267">IF(D108="","",IF(N108="○",M$5,IF(P108="○",O$5,IF(R108="○",Q$5,IF(T108="○",S$5,"ERROR")))))</f>
        <v/>
      </c>
      <c r="F108" s="59" t="str">
        <f t="shared" ref="F108:F110" si="268">IF(D108="","",IF(N108="○",M108,IF(P108="○",O108,IF(R108="○",Q108,IF(T108="○",S108,"ERROR")))))</f>
        <v/>
      </c>
      <c r="G108" s="139" t="str">
        <f>IF($B102="","",IF($E108="正規職員","-",IF(AND(EXACT(B91,B102),EXACT(D97,D108),EXACT(E97,E108)),G97,"賃金単価を記載")))</f>
        <v/>
      </c>
      <c r="H108" s="59" t="str">
        <f t="shared" ref="H108:H109" si="269">IF($D108="","",IF($E108="正規職員","-",F108*G108))</f>
        <v/>
      </c>
      <c r="I108" s="59">
        <f t="shared" si="18"/>
        <v>271333.33333333401</v>
      </c>
      <c r="J108" s="59" t="str">
        <f t="shared" ref="J108" si="270">IFERROR(IF($C107="-","",IF(D108="","",IF(E108="正規職員",I108-J107,MIN(MIN(H108:I108),I107-J107)))),0)</f>
        <v/>
      </c>
      <c r="K108" s="61" t="str">
        <f t="shared" ref="K108:K110" si="271">IF(D108="","",IF(OR(COUNTIFS(D108,"*要配慮*")=1,COUNTIFS(D108,"*医療的ケア*")=1),"○","エラー"))</f>
        <v/>
      </c>
      <c r="L108" s="62">
        <f t="shared" si="265"/>
        <v>12</v>
      </c>
      <c r="M108" s="62" t="e">
        <f>VLOOKUP($D108&amp;M$5,'②-2勤務時間数入力'!$D$7:$Q$106,$L108,FALSE)</f>
        <v>#N/A</v>
      </c>
      <c r="N108" s="62" t="str">
        <f t="shared" si="256"/>
        <v>×</v>
      </c>
      <c r="O108" s="62" t="e">
        <f>VLOOKUP($D108&amp;O$5,'②-2勤務時間数入力'!$D$7:$Q$106,$L108,FALSE)</f>
        <v>#N/A</v>
      </c>
      <c r="P108" s="62" t="str">
        <f t="shared" si="257"/>
        <v>×</v>
      </c>
      <c r="Q108" s="62" t="e">
        <f>VLOOKUP($D108&amp;Q$5,'②-2勤務時間数入力'!$D$7:$Q$106,$L108,FALSE)</f>
        <v>#N/A</v>
      </c>
      <c r="R108" s="62" t="str">
        <f t="shared" si="258"/>
        <v>×</v>
      </c>
      <c r="S108" s="62" t="e">
        <f>VLOOKUP($D108&amp;S$5,'②-2勤務時間数入力'!$D$7:$Q$106,$L108,FALSE)</f>
        <v>#N/A</v>
      </c>
      <c r="T108" s="62" t="str">
        <f t="shared" si="259"/>
        <v>×</v>
      </c>
    </row>
    <row r="109" spans="1:20" ht="13.5" hidden="1" customHeight="1">
      <c r="A109" s="854"/>
      <c r="B109" s="857"/>
      <c r="C109" s="856" t="str">
        <f>IF(B105&gt;=1,IFERROR(INDEX($F$153:$G$158,MATCH(判定!AJ18,$F$153:$F$158,0),2),"-"),"-")</f>
        <v>-</v>
      </c>
      <c r="D109" s="138" t="str">
        <f t="shared" si="266"/>
        <v/>
      </c>
      <c r="E109" s="60" t="str">
        <f t="shared" si="267"/>
        <v/>
      </c>
      <c r="F109" s="59" t="str">
        <f t="shared" si="268"/>
        <v/>
      </c>
      <c r="G109" s="139" t="str">
        <f>IF($B102="","",IF($E109="正規職員","-",IF(AND(EXACT(B91,B102),EXACT(D98,D109),EXACT(E98,E109)),G98,"賃金単価を記載")))</f>
        <v/>
      </c>
      <c r="H109" s="59" t="str">
        <f t="shared" si="269"/>
        <v/>
      </c>
      <c r="I109" s="59">
        <f t="shared" si="18"/>
        <v>271333.33333333401</v>
      </c>
      <c r="J109" s="59" t="str">
        <f t="shared" ref="J109" si="272">IFERROR(IF($C109="-","",IF(D109="",0,IF(E109="正規職員",I109,MIN(H109:I109)))),0)</f>
        <v/>
      </c>
      <c r="K109" s="61" t="str">
        <f t="shared" si="271"/>
        <v/>
      </c>
      <c r="L109" s="62">
        <f t="shared" si="265"/>
        <v>12</v>
      </c>
      <c r="M109" s="62" t="e">
        <f>VLOOKUP($D109&amp;M$5,'②-2勤務時間数入力'!$D$7:$Q$106,$L109,FALSE)</f>
        <v>#N/A</v>
      </c>
      <c r="N109" s="62" t="str">
        <f t="shared" si="256"/>
        <v>×</v>
      </c>
      <c r="O109" s="62" t="e">
        <f>VLOOKUP($D109&amp;O$5,'②-2勤務時間数入力'!$D$7:$Q$106,$L109,FALSE)</f>
        <v>#N/A</v>
      </c>
      <c r="P109" s="62" t="str">
        <f t="shared" si="257"/>
        <v>×</v>
      </c>
      <c r="Q109" s="62" t="e">
        <f>VLOOKUP($D109&amp;Q$5,'②-2勤務時間数入力'!$D$7:$Q$106,$L109,FALSE)</f>
        <v>#N/A</v>
      </c>
      <c r="R109" s="62" t="str">
        <f t="shared" si="258"/>
        <v>×</v>
      </c>
      <c r="S109" s="62" t="e">
        <f>VLOOKUP($D109&amp;S$5,'②-2勤務時間数入力'!$D$7:$Q$106,$L109,FALSE)</f>
        <v>#N/A</v>
      </c>
      <c r="T109" s="62" t="str">
        <f t="shared" si="259"/>
        <v>×</v>
      </c>
    </row>
    <row r="110" spans="1:20" ht="13.5" hidden="1" customHeight="1">
      <c r="A110" s="854"/>
      <c r="B110" s="857"/>
      <c r="C110" s="858"/>
      <c r="D110" s="138" t="str">
        <f t="shared" si="266"/>
        <v/>
      </c>
      <c r="E110" s="60" t="str">
        <f t="shared" si="267"/>
        <v/>
      </c>
      <c r="F110" s="59" t="str">
        <f t="shared" si="268"/>
        <v/>
      </c>
      <c r="G110" s="139" t="str">
        <f>IF($B102="","",IF($E110="正規職員","-",IF(AND(EXACT(B91,B102),EXACT(D99,D110),EXACT(E99,E110)),G99,"賃金単価を記載")))</f>
        <v/>
      </c>
      <c r="H110" s="59" t="str">
        <f>IF($D110="","",IF($E110="正規職員","-",F110*G110))</f>
        <v/>
      </c>
      <c r="I110" s="59">
        <f t="shared" si="18"/>
        <v>271333.33333333401</v>
      </c>
      <c r="J110" s="59" t="str">
        <f t="shared" ref="J110" si="273">IFERROR(IF($C109="-","",IF(D110="","",IF(E110="正規職員",I110-J109,MIN(MIN(H110:I110),I109-J109)))),0)</f>
        <v/>
      </c>
      <c r="K110" s="61" t="str">
        <f t="shared" si="271"/>
        <v/>
      </c>
      <c r="L110" s="62">
        <f t="shared" si="265"/>
        <v>12</v>
      </c>
      <c r="M110" s="62" t="e">
        <f>VLOOKUP($D110&amp;M$5,'②-2勤務時間数入力'!$D$7:$Q$106,$L110,FALSE)</f>
        <v>#N/A</v>
      </c>
      <c r="N110" s="62" t="str">
        <f t="shared" si="256"/>
        <v>×</v>
      </c>
      <c r="O110" s="62" t="e">
        <f>VLOOKUP($D110&amp;O$5,'②-2勤務時間数入力'!$D$7:$Q$106,$L110,FALSE)</f>
        <v>#N/A</v>
      </c>
      <c r="P110" s="62" t="str">
        <f t="shared" si="257"/>
        <v>×</v>
      </c>
      <c r="Q110" s="62" t="e">
        <f>VLOOKUP($D110&amp;Q$5,'②-2勤務時間数入力'!$D$7:$Q$106,$L110,FALSE)</f>
        <v>#N/A</v>
      </c>
      <c r="R110" s="62" t="str">
        <f t="shared" si="258"/>
        <v>×</v>
      </c>
      <c r="S110" s="62" t="e">
        <f>VLOOKUP($D110&amp;S$5,'②-2勤務時間数入力'!$D$7:$Q$106,$L110,FALSE)</f>
        <v>#N/A</v>
      </c>
      <c r="T110" s="62" t="str">
        <f t="shared" si="259"/>
        <v>×</v>
      </c>
    </row>
    <row r="111" spans="1:20" ht="13.5" hidden="1" customHeight="1">
      <c r="A111" s="854"/>
      <c r="B111" s="857"/>
      <c r="C111" s="856" t="str">
        <f>IF(B105&gt;=1,IFERROR(INDEX($F$153:$G$158,MATCH(判定!AK18,$F$153:$F$158,0),2),"-"),"-")</f>
        <v>-</v>
      </c>
      <c r="D111" s="138" t="str">
        <f t="shared" si="266"/>
        <v/>
      </c>
      <c r="E111" s="60" t="str">
        <f t="shared" ref="E111:E114" si="274">IF(D111="","",IF(N111="○",M$5,IF(P111="○",O$5,IF(R111="○",Q$5,IF(T111="○",S$5,"ERROR")))))</f>
        <v/>
      </c>
      <c r="F111" s="59" t="str">
        <f t="shared" ref="F111:F114" si="275">IF(D111="","",IF(N111="○",M111,IF(P111="○",O111,IF(R111="○",Q111,IF(T111="○",S111,"ERROR")))))</f>
        <v/>
      </c>
      <c r="G111" s="139" t="str">
        <f>IF($B105="","",IF($E111="正規職員","-",IF(AND(EXACT(B94,B105),EXACT(D100,D111),EXACT(E100,E111)),G100,"賃金単価を記載")))</f>
        <v/>
      </c>
      <c r="H111" s="59" t="str">
        <f t="shared" si="253"/>
        <v/>
      </c>
      <c r="I111" s="59">
        <f t="shared" si="18"/>
        <v>271333.33333333401</v>
      </c>
      <c r="J111" s="59" t="str">
        <f t="shared" ref="J111" si="276">IFERROR(IF($C111="-","",IF(D111="",0,IF(E111="正規職員",I111,MIN(H111:I111)))),0)</f>
        <v/>
      </c>
      <c r="K111" s="61" t="str">
        <f t="shared" ref="K111:K114" si="277">IF(D111="","",IF(OR(COUNTIFS(D111,"*要配慮*")=1,COUNTIFS(D111,"*医療的ケア*")=1),"○","エラー"))</f>
        <v/>
      </c>
      <c r="L111" s="62">
        <f t="shared" si="265"/>
        <v>12</v>
      </c>
      <c r="M111" s="62" t="e">
        <f>VLOOKUP($D111&amp;M$5,'②-2勤務時間数入力'!$D$7:$Q$106,$L111,FALSE)</f>
        <v>#N/A</v>
      </c>
      <c r="N111" s="62" t="str">
        <f t="shared" si="256"/>
        <v>×</v>
      </c>
      <c r="O111" s="62" t="e">
        <f>VLOOKUP($D111&amp;O$5,'②-2勤務時間数入力'!$D$7:$Q$106,$L111,FALSE)</f>
        <v>#N/A</v>
      </c>
      <c r="P111" s="62" t="str">
        <f t="shared" si="257"/>
        <v>×</v>
      </c>
      <c r="Q111" s="62" t="e">
        <f>VLOOKUP($D111&amp;Q$5,'②-2勤務時間数入力'!$D$7:$Q$106,$L111,FALSE)</f>
        <v>#N/A</v>
      </c>
      <c r="R111" s="62" t="str">
        <f t="shared" si="258"/>
        <v>×</v>
      </c>
      <c r="S111" s="62" t="e">
        <f>VLOOKUP($D111&amp;S$5,'②-2勤務時間数入力'!$D$7:$Q$106,$L111,FALSE)</f>
        <v>#N/A</v>
      </c>
      <c r="T111" s="62" t="str">
        <f t="shared" si="259"/>
        <v>×</v>
      </c>
    </row>
    <row r="112" spans="1:20" ht="13.5" hidden="1" customHeight="1">
      <c r="A112" s="854"/>
      <c r="B112" s="857"/>
      <c r="C112" s="858"/>
      <c r="D112" s="138" t="str">
        <f>IF(D101="","",D101)</f>
        <v/>
      </c>
      <c r="E112" s="60" t="str">
        <f t="shared" si="274"/>
        <v/>
      </c>
      <c r="F112" s="59" t="str">
        <f t="shared" si="275"/>
        <v/>
      </c>
      <c r="G112" s="139" t="str">
        <f>IF($B105="","",IF($E112="正規職員","-",IF(AND(EXACT(B94,B105),EXACT(D101,D112),EXACT(E101,E112)),G101,"賃金単価を記載")))</f>
        <v/>
      </c>
      <c r="H112" s="59" t="str">
        <f t="shared" si="253"/>
        <v/>
      </c>
      <c r="I112" s="59">
        <f t="shared" si="18"/>
        <v>271333.33333333401</v>
      </c>
      <c r="J112" s="59" t="str">
        <f t="shared" ref="J112" si="278">IFERROR(IF($C111="-","",IF(D112="","",IF(E112="正規職員",I112-J111,MIN(MIN(H112:I112),I111-J111)))),0)</f>
        <v/>
      </c>
      <c r="K112" s="61" t="str">
        <f t="shared" si="277"/>
        <v/>
      </c>
      <c r="L112" s="62">
        <f t="shared" si="265"/>
        <v>12</v>
      </c>
      <c r="M112" s="62" t="e">
        <f>VLOOKUP($D112&amp;M$5,'②-2勤務時間数入力'!$D$7:$Q$106,$L112,FALSE)</f>
        <v>#N/A</v>
      </c>
      <c r="N112" s="62" t="str">
        <f t="shared" si="256"/>
        <v>×</v>
      </c>
      <c r="O112" s="62" t="e">
        <f>VLOOKUP($D112&amp;O$5,'②-2勤務時間数入力'!$D$7:$Q$106,$L112,FALSE)</f>
        <v>#N/A</v>
      </c>
      <c r="P112" s="62" t="str">
        <f t="shared" si="257"/>
        <v>×</v>
      </c>
      <c r="Q112" s="62" t="e">
        <f>VLOOKUP($D112&amp;Q$5,'②-2勤務時間数入力'!$D$7:$Q$106,$L112,FALSE)</f>
        <v>#N/A</v>
      </c>
      <c r="R112" s="62" t="str">
        <f t="shared" si="258"/>
        <v>×</v>
      </c>
      <c r="S112" s="62" t="e">
        <f>VLOOKUP($D112&amp;S$5,'②-2勤務時間数入力'!$D$7:$Q$106,$L112,FALSE)</f>
        <v>#N/A</v>
      </c>
      <c r="T112" s="62" t="str">
        <f t="shared" si="259"/>
        <v>×</v>
      </c>
    </row>
    <row r="113" spans="1:20" ht="13.5" hidden="1" customHeight="1">
      <c r="A113" s="854"/>
      <c r="B113" s="857"/>
      <c r="C113" s="856" t="str">
        <f>IF(B105&gt;=1,IFERROR(INDEX($F$153:$G$158,MATCH(判定!AL18,$F$153:$F$158,0),2),"-"),"-")</f>
        <v>-</v>
      </c>
      <c r="D113" s="138" t="str">
        <f t="shared" si="266"/>
        <v/>
      </c>
      <c r="E113" s="60" t="str">
        <f t="shared" si="274"/>
        <v/>
      </c>
      <c r="F113" s="59" t="str">
        <f t="shared" si="275"/>
        <v/>
      </c>
      <c r="G113" s="139" t="str">
        <f>IF($B105="","",IF($E113="正規職員","-",IF(AND(EXACT(B94,B105),EXACT(D102,D113),EXACT(E102,E113)),G102,"賃金単価を記載")))</f>
        <v/>
      </c>
      <c r="H113" s="59" t="str">
        <f>IF($D113="","",IF($E113="正規職員","-",F113*G113))</f>
        <v/>
      </c>
      <c r="I113" s="59">
        <f t="shared" si="18"/>
        <v>271333.33333333401</v>
      </c>
      <c r="J113" s="59" t="str">
        <f t="shared" ref="J113" si="279">IFERROR(IF($C113="-","",IF(D113="",0,IF(E113="正規職員",I113,MIN(H113:I113)))),0)</f>
        <v/>
      </c>
      <c r="K113" s="61" t="str">
        <f t="shared" si="277"/>
        <v/>
      </c>
      <c r="L113" s="62">
        <f t="shared" si="265"/>
        <v>12</v>
      </c>
      <c r="M113" s="62" t="e">
        <f>VLOOKUP($D113&amp;M$5,'②-2勤務時間数入力'!$D$7:$Q$106,$L113,FALSE)</f>
        <v>#N/A</v>
      </c>
      <c r="N113" s="62" t="str">
        <f t="shared" si="256"/>
        <v>×</v>
      </c>
      <c r="O113" s="62" t="e">
        <f>VLOOKUP($D113&amp;O$5,'②-2勤務時間数入力'!$D$7:$Q$106,$L113,FALSE)</f>
        <v>#N/A</v>
      </c>
      <c r="P113" s="62" t="str">
        <f t="shared" si="257"/>
        <v>×</v>
      </c>
      <c r="Q113" s="62" t="e">
        <f>VLOOKUP($D113&amp;Q$5,'②-2勤務時間数入力'!$D$7:$Q$106,$L113,FALSE)</f>
        <v>#N/A</v>
      </c>
      <c r="R113" s="62" t="str">
        <f t="shared" si="258"/>
        <v>×</v>
      </c>
      <c r="S113" s="62" t="e">
        <f>VLOOKUP($D113&amp;S$5,'②-2勤務時間数入力'!$D$7:$Q$106,$L113,FALSE)</f>
        <v>#N/A</v>
      </c>
      <c r="T113" s="62" t="str">
        <f t="shared" si="259"/>
        <v>×</v>
      </c>
    </row>
    <row r="114" spans="1:20" ht="13.5" hidden="1" customHeight="1">
      <c r="A114" s="878"/>
      <c r="B114" s="857"/>
      <c r="C114" s="858"/>
      <c r="D114" s="138" t="str">
        <f t="shared" si="266"/>
        <v/>
      </c>
      <c r="E114" s="60" t="str">
        <f t="shared" si="274"/>
        <v/>
      </c>
      <c r="F114" s="59" t="str">
        <f t="shared" si="275"/>
        <v/>
      </c>
      <c r="G114" s="139" t="str">
        <f>IF($B105="","",IF($E114="正規職員","-",IF(AND(EXACT(B94,B105),EXACT(D103,D114),EXACT(E103,E114)),G103,"賃金単価を記載")))</f>
        <v/>
      </c>
      <c r="H114" s="59" t="str">
        <f>IF($D114="","",IF($E114="正規職員","-",F114*G114))</f>
        <v/>
      </c>
      <c r="I114" s="59">
        <f t="shared" si="18"/>
        <v>271333.33333333401</v>
      </c>
      <c r="J114" s="59" t="str">
        <f t="shared" ref="J114" si="280">IFERROR(IF($C113="-","",IF(D114="","",IF(E114="正規職員",I114-J113,MIN(MIN(H114:I114),I113-J113)))),0)</f>
        <v/>
      </c>
      <c r="K114" s="61" t="str">
        <f t="shared" si="277"/>
        <v/>
      </c>
      <c r="L114" s="62">
        <f t="shared" si="265"/>
        <v>12</v>
      </c>
      <c r="M114" s="62" t="e">
        <f>VLOOKUP($D114&amp;M$5,'②-2勤務時間数入力'!$D$7:$Q$106,$L114,FALSE)</f>
        <v>#N/A</v>
      </c>
      <c r="N114" s="62" t="str">
        <f t="shared" si="256"/>
        <v>×</v>
      </c>
      <c r="O114" s="62" t="e">
        <f>VLOOKUP($D114&amp;O$5,'②-2勤務時間数入力'!$D$7:$Q$106,$L114,FALSE)</f>
        <v>#N/A</v>
      </c>
      <c r="P114" s="62" t="str">
        <f t="shared" si="257"/>
        <v>×</v>
      </c>
      <c r="Q114" s="62" t="e">
        <f>VLOOKUP($D114&amp;Q$5,'②-2勤務時間数入力'!$D$7:$Q$106,$L114,FALSE)</f>
        <v>#N/A</v>
      </c>
      <c r="R114" s="62" t="str">
        <f t="shared" si="258"/>
        <v>×</v>
      </c>
      <c r="S114" s="62" t="e">
        <f>VLOOKUP($D114&amp;S$5,'②-2勤務時間数入力'!$D$7:$Q$106,$L114,FALSE)</f>
        <v>#N/A</v>
      </c>
      <c r="T114" s="62" t="str">
        <f t="shared" si="259"/>
        <v>×</v>
      </c>
    </row>
    <row r="115" spans="1:20" ht="13.5" hidden="1" customHeight="1">
      <c r="A115" s="844"/>
      <c r="B115" s="858"/>
      <c r="C115" s="284"/>
      <c r="D115" s="1" t="s">
        <v>282</v>
      </c>
      <c r="E115" s="60" t="s">
        <v>273</v>
      </c>
      <c r="F115" s="67"/>
      <c r="G115" s="60" t="s">
        <v>273</v>
      </c>
      <c r="H115" s="60" t="s">
        <v>273</v>
      </c>
      <c r="I115" s="60" t="s">
        <v>273</v>
      </c>
      <c r="J115" s="59" t="str">
        <f t="shared" ref="J115" si="281">IFERROR(IF(J105="","",MIN(SUM(J105:J114),(B105*I105))),0)</f>
        <v/>
      </c>
      <c r="K115" s="61"/>
      <c r="L115" s="62"/>
      <c r="M115" s="62"/>
      <c r="N115" s="62"/>
      <c r="O115" s="62"/>
      <c r="P115" s="62"/>
      <c r="Q115" s="62"/>
      <c r="R115" s="62"/>
      <c r="S115" s="62"/>
      <c r="T115" s="62"/>
    </row>
    <row r="116" spans="1:20" ht="13.5" hidden="1" customHeight="1">
      <c r="A116" s="843">
        <v>2</v>
      </c>
      <c r="B116" s="856" t="str">
        <f>IF(判定!AY19&gt;=1,判定!AY19,"-")</f>
        <v>-</v>
      </c>
      <c r="C116" s="856" t="str">
        <f>IF(B116&gt;=1,IFERROR(INDEX($F$153:$G$158,MATCH(判定!AH19,$F$153:$F$158,0),2),"-"),"-")</f>
        <v>-</v>
      </c>
      <c r="D116" s="138" t="str">
        <f>IF(D105="","",D105)</f>
        <v/>
      </c>
      <c r="E116" s="60" t="str">
        <f>IF(D116="","",IF(N116="○",M$5,IF(P116="○",O$5,IF(R116="○",Q$5,IF(T116="○",S$5,"ERROR")))))</f>
        <v/>
      </c>
      <c r="F116" s="59" t="str">
        <f>IF(D116="","",IF(N116="○",M116,IF(P116="○",O116,IF(R116="○",Q116,IF(T116="○",S116,"ERROR")))))</f>
        <v/>
      </c>
      <c r="G116" s="139" t="str">
        <f>IF($B116="","",IF($E116="正規職員","-",IF(AND(EXACT(B105,B116),EXACT(D105,D116),EXACT(E105,E116)),G105,"賃金単価を記載")))</f>
        <v/>
      </c>
      <c r="H116" s="59" t="str">
        <f t="shared" ref="H116:H123" si="282">IF($D116="","",IF($E116="正規職員","-",F116*G116))</f>
        <v/>
      </c>
      <c r="I116" s="59">
        <f t="shared" si="18"/>
        <v>271333.33333333401</v>
      </c>
      <c r="J116" s="59" t="str">
        <f t="shared" ref="J116" si="283">IFERROR(IF($C116="-","",IF(D116="",0,IF(E116="正規職員",I116,MIN(H116:I116)))),0)</f>
        <v/>
      </c>
      <c r="K116" s="61" t="str">
        <f>IF(D116="","",IF(OR(COUNTIFS(D116,"*要配慮*")=1,COUNTIFS(D116,"*医療的ケア*")=1),"○","エラー"))</f>
        <v/>
      </c>
      <c r="L116" s="62">
        <f t="shared" ref="L116" si="284">L105+1</f>
        <v>13</v>
      </c>
      <c r="M116" s="62" t="e">
        <f>VLOOKUP($D116&amp;M$5,'②-2勤務時間数入力'!$D$7:$Q$106,$L116,FALSE)</f>
        <v>#N/A</v>
      </c>
      <c r="N116" s="62" t="str">
        <f t="shared" ref="N116:N125" si="285">IF(ISERROR(M116),"×",IF(M116="-","×","○"))</f>
        <v>×</v>
      </c>
      <c r="O116" s="62" t="e">
        <f>VLOOKUP($D116&amp;O$5,'②-2勤務時間数入力'!$D$7:$Q$106,$L116,FALSE)</f>
        <v>#N/A</v>
      </c>
      <c r="P116" s="62" t="str">
        <f t="shared" ref="P116:P125" si="286">IF(ISERROR(O116),"×",IF(O116="-","×","○"))</f>
        <v>×</v>
      </c>
      <c r="Q116" s="62" t="e">
        <f>VLOOKUP($D116&amp;Q$5,'②-2勤務時間数入力'!$D$7:$Q$106,$L116,FALSE)</f>
        <v>#N/A</v>
      </c>
      <c r="R116" s="62" t="str">
        <f t="shared" ref="R116:R125" si="287">IF(ISERROR(Q116),"×",IF(Q116="-","×","○"))</f>
        <v>×</v>
      </c>
      <c r="S116" s="62" t="e">
        <f>VLOOKUP($D116&amp;S$5,'②-2勤務時間数入力'!$D$7:$Q$106,$L116,FALSE)</f>
        <v>#N/A</v>
      </c>
      <c r="T116" s="62" t="str">
        <f t="shared" ref="T116:T125" si="288">IF(ISERROR(S116),"×",IF(S116="-","×","○"))</f>
        <v>×</v>
      </c>
    </row>
    <row r="117" spans="1:20" ht="13.5" hidden="1" customHeight="1">
      <c r="A117" s="854"/>
      <c r="B117" s="857"/>
      <c r="C117" s="858"/>
      <c r="D117" s="138" t="str">
        <f>IF(D106="","",D106)</f>
        <v/>
      </c>
      <c r="E117" s="60" t="str">
        <f t="shared" ref="E117:E121" si="289">IF(D117="","",IF(N117="○",M$5,IF(P117="○",O$5,IF(R117="○",Q$5,IF(T117="○",S$5,"ERROR")))))</f>
        <v/>
      </c>
      <c r="F117" s="59" t="str">
        <f t="shared" ref="F117:F121" si="290">IF(D117="","",IF(N117="○",M117,IF(P117="○",O117,IF(R117="○",Q117,IF(T117="○",S117,"ERROR")))))</f>
        <v/>
      </c>
      <c r="G117" s="139" t="str">
        <f>IF($B113="","",IF($E117="正規職員","-",IF(AND(EXACT(B102,B113),EXACT(D108,D117),EXACT(E108,E117)),G108,"賃金単価を記載")))</f>
        <v/>
      </c>
      <c r="H117" s="59" t="str">
        <f t="shared" ref="H117:H120" si="291">IF($D117="","",IF($E117="正規職員","-",F117*G117))</f>
        <v/>
      </c>
      <c r="I117" s="59">
        <f t="shared" si="18"/>
        <v>271333.33333333401</v>
      </c>
      <c r="J117" s="59" t="str">
        <f t="shared" ref="J117" si="292">IFERROR(IF($C116="-","",IF(D117="","",IF(E117="正規職員",I117-J116,MIN(MIN(H117:I117),I116-J116)))),0)</f>
        <v/>
      </c>
      <c r="K117" s="61" t="str">
        <f t="shared" ref="K117:K121" si="293">IF(D117="","",IF(OR(COUNTIFS(D117,"*要配慮*")=1,COUNTIFS(D117,"*医療的ケア*")=1),"○","エラー"))</f>
        <v/>
      </c>
      <c r="L117" s="62">
        <f>L116</f>
        <v>13</v>
      </c>
      <c r="M117" s="62" t="e">
        <f>VLOOKUP($D117&amp;M$5,'②-2勤務時間数入力'!$D$7:$Q$106,$L117,FALSE)</f>
        <v>#N/A</v>
      </c>
      <c r="N117" s="62" t="str">
        <f t="shared" si="285"/>
        <v>×</v>
      </c>
      <c r="O117" s="62" t="e">
        <f>VLOOKUP($D117&amp;O$5,'②-2勤務時間数入力'!$D$7:$Q$106,$L117,FALSE)</f>
        <v>#N/A</v>
      </c>
      <c r="P117" s="62" t="str">
        <f t="shared" si="286"/>
        <v>×</v>
      </c>
      <c r="Q117" s="62" t="e">
        <f>VLOOKUP($D117&amp;Q$5,'②-2勤務時間数入力'!$D$7:$Q$106,$L117,FALSE)</f>
        <v>#N/A</v>
      </c>
      <c r="R117" s="62" t="str">
        <f t="shared" si="287"/>
        <v>×</v>
      </c>
      <c r="S117" s="62" t="e">
        <f>VLOOKUP($D117&amp;S$5,'②-2勤務時間数入力'!$D$7:$Q$106,$L117,FALSE)</f>
        <v>#N/A</v>
      </c>
      <c r="T117" s="62" t="str">
        <f t="shared" si="288"/>
        <v>×</v>
      </c>
    </row>
    <row r="118" spans="1:20" ht="13.5" hidden="1" customHeight="1">
      <c r="A118" s="854"/>
      <c r="B118" s="857"/>
      <c r="C118" s="856" t="str">
        <f>IF(B116&gt;=1,IFERROR(INDEX($F$153:$G$158,MATCH(判定!AI19,$F$153:$F$158,0),2),"-"),"-")</f>
        <v>-</v>
      </c>
      <c r="D118" s="138" t="str">
        <f>IF(D107="","",D107)</f>
        <v/>
      </c>
      <c r="E118" s="60" t="str">
        <f t="shared" ref="E118:E119" si="294">IF(D118="","",IF(N118="○",M$5,IF(P118="○",O$5,IF(R118="○",Q$5,IF(T118="○",S$5,"ERROR")))))</f>
        <v/>
      </c>
      <c r="F118" s="59" t="str">
        <f t="shared" ref="F118:F119" si="295">IF(D118="","",IF(N118="○",M118,IF(P118="○",O118,IF(R118="○",Q118,IF(T118="○",S118,"ERROR")))))</f>
        <v/>
      </c>
      <c r="G118" s="139" t="str">
        <f>IF($B111="","",IF($E118="正規職員","-",IF(AND(EXACT(B100,B111),EXACT(D107,D118),EXACT(E107,E118)),G107,"賃金単価を記載")))</f>
        <v/>
      </c>
      <c r="H118" s="59" t="str">
        <f t="shared" ref="H118" si="296">IF($D118="","",IF($E118="正規職員","-",F118*G118))</f>
        <v/>
      </c>
      <c r="I118" s="59">
        <f t="shared" si="18"/>
        <v>271333.33333333401</v>
      </c>
      <c r="J118" s="59" t="str">
        <f t="shared" ref="J118" si="297">IFERROR(IF($C118="-","",IF(D118="",0,IF(E118="正規職員",I118,MIN(H118:I118)))),0)</f>
        <v/>
      </c>
      <c r="K118" s="61" t="str">
        <f t="shared" ref="K118:K119" si="298">IF(D118="","",IF(OR(COUNTIFS(D118,"*要配慮*")=1,COUNTIFS(D118,"*医療的ケア*")=1),"○","エラー"))</f>
        <v/>
      </c>
      <c r="L118" s="62">
        <f t="shared" ref="L118:L125" si="299">L117</f>
        <v>13</v>
      </c>
      <c r="M118" s="62" t="e">
        <f>VLOOKUP($D118&amp;M$5,'②-2勤務時間数入力'!$D$7:$Q$106,$L118,FALSE)</f>
        <v>#N/A</v>
      </c>
      <c r="N118" s="62" t="str">
        <f t="shared" si="285"/>
        <v>×</v>
      </c>
      <c r="O118" s="62" t="e">
        <f>VLOOKUP($D118&amp;O$5,'②-2勤務時間数入力'!$D$7:$Q$106,$L118,FALSE)</f>
        <v>#N/A</v>
      </c>
      <c r="P118" s="62" t="str">
        <f t="shared" si="286"/>
        <v>×</v>
      </c>
      <c r="Q118" s="62" t="e">
        <f>VLOOKUP($D118&amp;Q$5,'②-2勤務時間数入力'!$D$7:$Q$106,$L118,FALSE)</f>
        <v>#N/A</v>
      </c>
      <c r="R118" s="62" t="str">
        <f t="shared" si="287"/>
        <v>×</v>
      </c>
      <c r="S118" s="62" t="e">
        <f>VLOOKUP($D118&amp;S$5,'②-2勤務時間数入力'!$D$7:$Q$106,$L118,FALSE)</f>
        <v>#N/A</v>
      </c>
      <c r="T118" s="62" t="str">
        <f t="shared" si="288"/>
        <v>×</v>
      </c>
    </row>
    <row r="119" spans="1:20" ht="13.5" hidden="1" customHeight="1">
      <c r="A119" s="854"/>
      <c r="B119" s="857"/>
      <c r="C119" s="858"/>
      <c r="D119" s="138" t="str">
        <f t="shared" ref="D119:D125" si="300">IF(D108="","",D108)</f>
        <v/>
      </c>
      <c r="E119" s="60" t="str">
        <f t="shared" si="294"/>
        <v/>
      </c>
      <c r="F119" s="59" t="str">
        <f t="shared" si="295"/>
        <v/>
      </c>
      <c r="G119" s="139" t="str">
        <f>IF($B111="","",IF($E119="正規職員","-",IF(AND(EXACT(B100,B111),EXACT(D108,D119),EXACT(E108,E119)),G108,"賃金単価を記載")))</f>
        <v/>
      </c>
      <c r="H119" s="59" t="str">
        <f>IF($D119="","",IF($E119="正規職員","-",F119*G119))</f>
        <v/>
      </c>
      <c r="I119" s="59">
        <f t="shared" si="18"/>
        <v>271333.33333333401</v>
      </c>
      <c r="J119" s="59" t="str">
        <f t="shared" ref="J119" si="301">IFERROR(IF($C118="-","",IF(D119="","",IF(E119="正規職員",I119-J118,MIN(MIN(H119:I119),I118-J118)))),0)</f>
        <v/>
      </c>
      <c r="K119" s="61" t="str">
        <f t="shared" si="298"/>
        <v/>
      </c>
      <c r="L119" s="62">
        <f t="shared" si="299"/>
        <v>13</v>
      </c>
      <c r="M119" s="62" t="e">
        <f>VLOOKUP($D119&amp;M$5,'②-2勤務時間数入力'!$D$7:$Q$106,$L119,FALSE)</f>
        <v>#N/A</v>
      </c>
      <c r="N119" s="62" t="str">
        <f t="shared" si="285"/>
        <v>×</v>
      </c>
      <c r="O119" s="62" t="e">
        <f>VLOOKUP($D119&amp;O$5,'②-2勤務時間数入力'!$D$7:$Q$106,$L119,FALSE)</f>
        <v>#N/A</v>
      </c>
      <c r="P119" s="62" t="str">
        <f t="shared" si="286"/>
        <v>×</v>
      </c>
      <c r="Q119" s="62" t="e">
        <f>VLOOKUP($D119&amp;Q$5,'②-2勤務時間数入力'!$D$7:$Q$106,$L119,FALSE)</f>
        <v>#N/A</v>
      </c>
      <c r="R119" s="62" t="str">
        <f t="shared" si="287"/>
        <v>×</v>
      </c>
      <c r="S119" s="62" t="e">
        <f>VLOOKUP($D119&amp;S$5,'②-2勤務時間数入力'!$D$7:$Q$106,$L119,FALSE)</f>
        <v>#N/A</v>
      </c>
      <c r="T119" s="62" t="str">
        <f t="shared" si="288"/>
        <v>×</v>
      </c>
    </row>
    <row r="120" spans="1:20" ht="13.5" hidden="1" customHeight="1">
      <c r="A120" s="854"/>
      <c r="B120" s="857"/>
      <c r="C120" s="856" t="str">
        <f>IF(B116&gt;=1,IFERROR(INDEX($F$153:$G$158,MATCH(判定!AJ19,$F$153:$F$158,0),2),"-"),"-")</f>
        <v>-</v>
      </c>
      <c r="D120" s="138" t="str">
        <f t="shared" si="300"/>
        <v/>
      </c>
      <c r="E120" s="60" t="str">
        <f t="shared" si="289"/>
        <v/>
      </c>
      <c r="F120" s="59" t="str">
        <f t="shared" si="290"/>
        <v/>
      </c>
      <c r="G120" s="139" t="str">
        <f>IF($B113="","",IF($E120="正規職員","-",IF(AND(EXACT(B102,B113),EXACT(D109,D120),EXACT(E109,E120)),G109,"賃金単価を記載")))</f>
        <v/>
      </c>
      <c r="H120" s="59" t="str">
        <f t="shared" si="291"/>
        <v/>
      </c>
      <c r="I120" s="59">
        <f t="shared" si="18"/>
        <v>271333.33333333401</v>
      </c>
      <c r="J120" s="59" t="str">
        <f t="shared" ref="J120" si="302">IFERROR(IF($C120="-","",IF(D120="",0,IF(E120="正規職員",I120,MIN(H120:I120)))),0)</f>
        <v/>
      </c>
      <c r="K120" s="61" t="str">
        <f t="shared" si="293"/>
        <v/>
      </c>
      <c r="L120" s="62">
        <f t="shared" si="299"/>
        <v>13</v>
      </c>
      <c r="M120" s="62" t="e">
        <f>VLOOKUP($D120&amp;M$5,'②-2勤務時間数入力'!$D$7:$Q$106,$L120,FALSE)</f>
        <v>#N/A</v>
      </c>
      <c r="N120" s="62" t="str">
        <f t="shared" si="285"/>
        <v>×</v>
      </c>
      <c r="O120" s="62" t="e">
        <f>VLOOKUP($D120&amp;O$5,'②-2勤務時間数入力'!$D$7:$Q$106,$L120,FALSE)</f>
        <v>#N/A</v>
      </c>
      <c r="P120" s="62" t="str">
        <f t="shared" si="286"/>
        <v>×</v>
      </c>
      <c r="Q120" s="62" t="e">
        <f>VLOOKUP($D120&amp;Q$5,'②-2勤務時間数入力'!$D$7:$Q$106,$L120,FALSE)</f>
        <v>#N/A</v>
      </c>
      <c r="R120" s="62" t="str">
        <f t="shared" si="287"/>
        <v>×</v>
      </c>
      <c r="S120" s="62" t="e">
        <f>VLOOKUP($D120&amp;S$5,'②-2勤務時間数入力'!$D$7:$Q$106,$L120,FALSE)</f>
        <v>#N/A</v>
      </c>
      <c r="T120" s="62" t="str">
        <f t="shared" si="288"/>
        <v>×</v>
      </c>
    </row>
    <row r="121" spans="1:20" ht="13.5" hidden="1" customHeight="1">
      <c r="A121" s="854"/>
      <c r="B121" s="857"/>
      <c r="C121" s="858"/>
      <c r="D121" s="138" t="str">
        <f t="shared" si="300"/>
        <v/>
      </c>
      <c r="E121" s="60" t="str">
        <f t="shared" si="289"/>
        <v/>
      </c>
      <c r="F121" s="59" t="str">
        <f t="shared" si="290"/>
        <v/>
      </c>
      <c r="G121" s="139" t="str">
        <f>IF($B113="","",IF($E121="正規職員","-",IF(AND(EXACT(B102,B113),EXACT(D110,D121),EXACT(E110,E121)),G110,"賃金単価を記載")))</f>
        <v/>
      </c>
      <c r="H121" s="59" t="str">
        <f>IF($D121="","",IF($E121="正規職員","-",F121*G121))</f>
        <v/>
      </c>
      <c r="I121" s="59">
        <f t="shared" si="18"/>
        <v>271333.33333333401</v>
      </c>
      <c r="J121" s="59" t="str">
        <f t="shared" ref="J121" si="303">IFERROR(IF($C120="-","",IF(D121="","",IF(E121="正規職員",I121-J120,MIN(MIN(H121:I121),I120-J120)))),0)</f>
        <v/>
      </c>
      <c r="K121" s="61" t="str">
        <f t="shared" si="293"/>
        <v/>
      </c>
      <c r="L121" s="62">
        <f t="shared" si="299"/>
        <v>13</v>
      </c>
      <c r="M121" s="62" t="e">
        <f>VLOOKUP($D121&amp;M$5,'②-2勤務時間数入力'!$D$7:$Q$106,$L121,FALSE)</f>
        <v>#N/A</v>
      </c>
      <c r="N121" s="62" t="str">
        <f t="shared" si="285"/>
        <v>×</v>
      </c>
      <c r="O121" s="62" t="e">
        <f>VLOOKUP($D121&amp;O$5,'②-2勤務時間数入力'!$D$7:$Q$106,$L121,FALSE)</f>
        <v>#N/A</v>
      </c>
      <c r="P121" s="62" t="str">
        <f t="shared" si="286"/>
        <v>×</v>
      </c>
      <c r="Q121" s="62" t="e">
        <f>VLOOKUP($D121&amp;Q$5,'②-2勤務時間数入力'!$D$7:$Q$106,$L121,FALSE)</f>
        <v>#N/A</v>
      </c>
      <c r="R121" s="62" t="str">
        <f t="shared" si="287"/>
        <v>×</v>
      </c>
      <c r="S121" s="62" t="e">
        <f>VLOOKUP($D121&amp;S$5,'②-2勤務時間数入力'!$D$7:$Q$106,$L121,FALSE)</f>
        <v>#N/A</v>
      </c>
      <c r="T121" s="62" t="str">
        <f t="shared" si="288"/>
        <v>×</v>
      </c>
    </row>
    <row r="122" spans="1:20" ht="13.5" hidden="1" customHeight="1">
      <c r="A122" s="854"/>
      <c r="B122" s="857"/>
      <c r="C122" s="856" t="str">
        <f>IF(B116&gt;=1,IFERROR(INDEX($F$153:$G$158,MATCH(判定!AK19,$F$153:$F$158,0),2),"-"),"-")</f>
        <v>-</v>
      </c>
      <c r="D122" s="138" t="str">
        <f t="shared" si="300"/>
        <v/>
      </c>
      <c r="E122" s="60" t="str">
        <f t="shared" ref="E122:E125" si="304">IF(D122="","",IF(N122="○",M$5,IF(P122="○",O$5,IF(R122="○",Q$5,IF(T122="○",S$5,"ERROR")))))</f>
        <v/>
      </c>
      <c r="F122" s="59" t="str">
        <f t="shared" ref="F122:F125" si="305">IF(D122="","",IF(N122="○",M122,IF(P122="○",O122,IF(R122="○",Q122,IF(T122="○",S122,"ERROR")))))</f>
        <v/>
      </c>
      <c r="G122" s="139" t="str">
        <f>IF($B116="","",IF($E122="正規職員","-",IF(AND(EXACT(B105,B116),EXACT(D111,D122),EXACT(E111,E122)),G111,"賃金単価を記載")))</f>
        <v/>
      </c>
      <c r="H122" s="59" t="str">
        <f t="shared" si="282"/>
        <v/>
      </c>
      <c r="I122" s="59">
        <f t="shared" si="18"/>
        <v>271333.33333333401</v>
      </c>
      <c r="J122" s="59" t="str">
        <f t="shared" ref="J122" si="306">IFERROR(IF($C122="-","",IF(D122="",0,IF(E122="正規職員",I122,MIN(H122:I122)))),0)</f>
        <v/>
      </c>
      <c r="K122" s="61" t="str">
        <f t="shared" ref="K122:K125" si="307">IF(D122="","",IF(OR(COUNTIFS(D122,"*要配慮*")=1,COUNTIFS(D122,"*医療的ケア*")=1),"○","エラー"))</f>
        <v/>
      </c>
      <c r="L122" s="62">
        <f t="shared" si="299"/>
        <v>13</v>
      </c>
      <c r="M122" s="62" t="e">
        <f>VLOOKUP($D122&amp;M$5,'②-2勤務時間数入力'!$D$7:$Q$106,$L122,FALSE)</f>
        <v>#N/A</v>
      </c>
      <c r="N122" s="62" t="str">
        <f t="shared" si="285"/>
        <v>×</v>
      </c>
      <c r="O122" s="62" t="e">
        <f>VLOOKUP($D122&amp;O$5,'②-2勤務時間数入力'!$D$7:$Q$106,$L122,FALSE)</f>
        <v>#N/A</v>
      </c>
      <c r="P122" s="62" t="str">
        <f t="shared" si="286"/>
        <v>×</v>
      </c>
      <c r="Q122" s="62" t="e">
        <f>VLOOKUP($D122&amp;Q$5,'②-2勤務時間数入力'!$D$7:$Q$106,$L122,FALSE)</f>
        <v>#N/A</v>
      </c>
      <c r="R122" s="62" t="str">
        <f t="shared" si="287"/>
        <v>×</v>
      </c>
      <c r="S122" s="62" t="e">
        <f>VLOOKUP($D122&amp;S$5,'②-2勤務時間数入力'!$D$7:$Q$106,$L122,FALSE)</f>
        <v>#N/A</v>
      </c>
      <c r="T122" s="62" t="str">
        <f t="shared" si="288"/>
        <v>×</v>
      </c>
    </row>
    <row r="123" spans="1:20" ht="13.5" hidden="1" customHeight="1">
      <c r="A123" s="854"/>
      <c r="B123" s="857"/>
      <c r="C123" s="858"/>
      <c r="D123" s="138" t="str">
        <f>IF(D112="","",D112)</f>
        <v/>
      </c>
      <c r="E123" s="60" t="str">
        <f t="shared" si="304"/>
        <v/>
      </c>
      <c r="F123" s="59" t="str">
        <f t="shared" si="305"/>
        <v/>
      </c>
      <c r="G123" s="139" t="str">
        <f>IF($B116="","",IF($E123="正規職員","-",IF(AND(EXACT(B105,B116),EXACT(D112,D123),EXACT(E112,E123)),G112,"賃金単価を記載")))</f>
        <v/>
      </c>
      <c r="H123" s="59" t="str">
        <f t="shared" si="282"/>
        <v/>
      </c>
      <c r="I123" s="59">
        <f t="shared" si="18"/>
        <v>271333.33333333401</v>
      </c>
      <c r="J123" s="59" t="str">
        <f t="shared" ref="J123" si="308">IFERROR(IF($C122="-","",IF(D123="","",IF(E123="正規職員",I123-J122,MIN(MIN(H123:I123),I122-J122)))),0)</f>
        <v/>
      </c>
      <c r="K123" s="61" t="str">
        <f t="shared" si="307"/>
        <v/>
      </c>
      <c r="L123" s="62">
        <f t="shared" si="299"/>
        <v>13</v>
      </c>
      <c r="M123" s="62" t="e">
        <f>VLOOKUP($D123&amp;M$5,'②-2勤務時間数入力'!$D$7:$Q$106,$L123,FALSE)</f>
        <v>#N/A</v>
      </c>
      <c r="N123" s="62" t="str">
        <f t="shared" si="285"/>
        <v>×</v>
      </c>
      <c r="O123" s="62" t="e">
        <f>VLOOKUP($D123&amp;O$5,'②-2勤務時間数入力'!$D$7:$Q$106,$L123,FALSE)</f>
        <v>#N/A</v>
      </c>
      <c r="P123" s="62" t="str">
        <f t="shared" si="286"/>
        <v>×</v>
      </c>
      <c r="Q123" s="62" t="e">
        <f>VLOOKUP($D123&amp;Q$5,'②-2勤務時間数入力'!$D$7:$Q$106,$L123,FALSE)</f>
        <v>#N/A</v>
      </c>
      <c r="R123" s="62" t="str">
        <f t="shared" si="287"/>
        <v>×</v>
      </c>
      <c r="S123" s="62" t="e">
        <f>VLOOKUP($D123&amp;S$5,'②-2勤務時間数入力'!$D$7:$Q$106,$L123,FALSE)</f>
        <v>#N/A</v>
      </c>
      <c r="T123" s="62" t="str">
        <f t="shared" si="288"/>
        <v>×</v>
      </c>
    </row>
    <row r="124" spans="1:20" ht="13.5" hidden="1" customHeight="1">
      <c r="A124" s="854"/>
      <c r="B124" s="857"/>
      <c r="C124" s="856" t="str">
        <f>IF(B116&gt;=1,IFERROR(INDEX($F$153:$G$158,MATCH(判定!AL19,$F$153:$F$158,0),2),"-"),"-")</f>
        <v>-</v>
      </c>
      <c r="D124" s="138" t="str">
        <f t="shared" si="300"/>
        <v/>
      </c>
      <c r="E124" s="60" t="str">
        <f t="shared" si="304"/>
        <v/>
      </c>
      <c r="F124" s="59" t="str">
        <f t="shared" si="305"/>
        <v/>
      </c>
      <c r="G124" s="139" t="str">
        <f>IF($B116="","",IF($E124="正規職員","-",IF(AND(EXACT(B105,B116),EXACT(D113,D124),EXACT(E113,E124)),G113,"賃金単価を記載")))</f>
        <v/>
      </c>
      <c r="H124" s="59" t="str">
        <f>IF($D124="","",IF($E124="正規職員","-",F124*G124))</f>
        <v/>
      </c>
      <c r="I124" s="59">
        <f t="shared" si="18"/>
        <v>271333.33333333401</v>
      </c>
      <c r="J124" s="59" t="str">
        <f t="shared" ref="J124" si="309">IFERROR(IF($C124="-","",IF(D124="",0,IF(E124="正規職員",I124,MIN(H124:I124)))),0)</f>
        <v/>
      </c>
      <c r="K124" s="61" t="str">
        <f t="shared" si="307"/>
        <v/>
      </c>
      <c r="L124" s="62">
        <f t="shared" si="299"/>
        <v>13</v>
      </c>
      <c r="M124" s="62" t="e">
        <f>VLOOKUP($D124&amp;M$5,'②-2勤務時間数入力'!$D$7:$Q$106,$L124,FALSE)</f>
        <v>#N/A</v>
      </c>
      <c r="N124" s="62" t="str">
        <f t="shared" si="285"/>
        <v>×</v>
      </c>
      <c r="O124" s="62" t="e">
        <f>VLOOKUP($D124&amp;O$5,'②-2勤務時間数入力'!$D$7:$Q$106,$L124,FALSE)</f>
        <v>#N/A</v>
      </c>
      <c r="P124" s="62" t="str">
        <f t="shared" si="286"/>
        <v>×</v>
      </c>
      <c r="Q124" s="62" t="e">
        <f>VLOOKUP($D124&amp;Q$5,'②-2勤務時間数入力'!$D$7:$Q$106,$L124,FALSE)</f>
        <v>#N/A</v>
      </c>
      <c r="R124" s="62" t="str">
        <f t="shared" si="287"/>
        <v>×</v>
      </c>
      <c r="S124" s="62" t="e">
        <f>VLOOKUP($D124&amp;S$5,'②-2勤務時間数入力'!$D$7:$Q$106,$L124,FALSE)</f>
        <v>#N/A</v>
      </c>
      <c r="T124" s="62" t="str">
        <f t="shared" si="288"/>
        <v>×</v>
      </c>
    </row>
    <row r="125" spans="1:20" ht="13.5" hidden="1" customHeight="1">
      <c r="A125" s="878"/>
      <c r="B125" s="857"/>
      <c r="C125" s="858"/>
      <c r="D125" s="138" t="str">
        <f t="shared" si="300"/>
        <v/>
      </c>
      <c r="E125" s="60" t="str">
        <f t="shared" si="304"/>
        <v/>
      </c>
      <c r="F125" s="59" t="str">
        <f t="shared" si="305"/>
        <v/>
      </c>
      <c r="G125" s="139" t="str">
        <f>IF($B116="","",IF($E125="正規職員","-",IF(AND(EXACT(B105,B116),EXACT(D114,D125),EXACT(E114,E125)),G114,"賃金単価を記載")))</f>
        <v/>
      </c>
      <c r="H125" s="59" t="str">
        <f>IF($D125="","",IF($E125="正規職員","-",F125*G125))</f>
        <v/>
      </c>
      <c r="I125" s="59">
        <f t="shared" si="18"/>
        <v>271333.33333333401</v>
      </c>
      <c r="J125" s="59" t="str">
        <f t="shared" ref="J125" si="310">IFERROR(IF($C124="-","",IF(D125="","",IF(E125="正規職員",I125-J124,MIN(MIN(H125:I125),I124-J124)))),0)</f>
        <v/>
      </c>
      <c r="K125" s="61" t="str">
        <f t="shared" si="307"/>
        <v/>
      </c>
      <c r="L125" s="62">
        <f t="shared" si="299"/>
        <v>13</v>
      </c>
      <c r="M125" s="62" t="e">
        <f>VLOOKUP($D125&amp;M$5,'②-2勤務時間数入力'!$D$7:$Q$106,$L125,FALSE)</f>
        <v>#N/A</v>
      </c>
      <c r="N125" s="62" t="str">
        <f t="shared" si="285"/>
        <v>×</v>
      </c>
      <c r="O125" s="62" t="e">
        <f>VLOOKUP($D125&amp;O$5,'②-2勤務時間数入力'!$D$7:$Q$106,$L125,FALSE)</f>
        <v>#N/A</v>
      </c>
      <c r="P125" s="62" t="str">
        <f t="shared" si="286"/>
        <v>×</v>
      </c>
      <c r="Q125" s="62" t="e">
        <f>VLOOKUP($D125&amp;Q$5,'②-2勤務時間数入力'!$D$7:$Q$106,$L125,FALSE)</f>
        <v>#N/A</v>
      </c>
      <c r="R125" s="62" t="str">
        <f t="shared" si="287"/>
        <v>×</v>
      </c>
      <c r="S125" s="62" t="e">
        <f>VLOOKUP($D125&amp;S$5,'②-2勤務時間数入力'!$D$7:$Q$106,$L125,FALSE)</f>
        <v>#N/A</v>
      </c>
      <c r="T125" s="62" t="str">
        <f t="shared" si="288"/>
        <v>×</v>
      </c>
    </row>
    <row r="126" spans="1:20" ht="13.5" hidden="1" customHeight="1">
      <c r="A126" s="844"/>
      <c r="B126" s="858"/>
      <c r="C126" s="284"/>
      <c r="D126" s="1" t="s">
        <v>283</v>
      </c>
      <c r="E126" s="60" t="s">
        <v>273</v>
      </c>
      <c r="F126" s="67"/>
      <c r="G126" s="60" t="s">
        <v>273</v>
      </c>
      <c r="H126" s="60" t="s">
        <v>273</v>
      </c>
      <c r="I126" s="60" t="s">
        <v>273</v>
      </c>
      <c r="J126" s="59" t="str">
        <f t="shared" ref="J126" si="311">IFERROR(IF(J116="","",MIN(SUM(J116:J125),(B116*I116))),0)</f>
        <v/>
      </c>
      <c r="K126" s="61"/>
      <c r="L126" s="62"/>
      <c r="M126" s="62"/>
      <c r="N126" s="62"/>
      <c r="O126" s="62"/>
      <c r="P126" s="62"/>
      <c r="Q126" s="62"/>
      <c r="R126" s="62"/>
      <c r="S126" s="62"/>
      <c r="T126" s="62"/>
    </row>
    <row r="127" spans="1:20" ht="13.5" hidden="1" customHeight="1">
      <c r="A127" s="843">
        <v>3</v>
      </c>
      <c r="B127" s="856" t="str">
        <f>IF(判定!AY20&gt;=1,判定!AY20,"-")</f>
        <v>-</v>
      </c>
      <c r="C127" s="856" t="str">
        <f>IF(B127&gt;=1,IFERROR(INDEX($F$153:$G$158,MATCH(判定!AH20,$F$153:$F$158,0),2),"-"),"-")</f>
        <v>-</v>
      </c>
      <c r="D127" s="138" t="str">
        <f t="shared" ref="D127" si="312">IF(D116="","",D116)</f>
        <v/>
      </c>
      <c r="E127" s="60" t="str">
        <f>IF(D127="","",IF(N127="○",M$5,IF(P127="○",O$5,IF(R127="○",Q$5,IF(T127="○",S$5,"ERROR")))))</f>
        <v/>
      </c>
      <c r="F127" s="59" t="str">
        <f t="shared" ref="F127:F136" si="313">IF(D127="","",IF(N127="○",M127,IF(P127="○",O127,IF(R127="○",Q127,IF(T127="○",S127,"ERROR")))))</f>
        <v/>
      </c>
      <c r="G127" s="139" t="str">
        <f>IF($B127="","",IF($E127="正規職員","-",IF(AND(EXACT(B116,B127),EXACT(D116,D127),EXACT(E116,E127)),G116,"賃金単価を記載")))</f>
        <v/>
      </c>
      <c r="H127" s="59" t="str">
        <f t="shared" ref="H127:H134" si="314">IF($D127="","",IF($E127="正規職員","-",F127*G127))</f>
        <v/>
      </c>
      <c r="I127" s="59">
        <f t="shared" si="18"/>
        <v>271333.33333333401</v>
      </c>
      <c r="J127" s="59" t="str">
        <f t="shared" ref="J127" si="315">IFERROR(IF($C127="-","",IF(D127="",0,IF(E127="正規職員",I127,MIN(H127:I127)))),0)</f>
        <v/>
      </c>
      <c r="K127" s="61" t="str">
        <f>IF(D127="","",IF(OR(COUNTIFS(D127,"*要配慮*")=1,COUNTIFS(D127,"*医療的ケア*")=1),"○","エラー"))</f>
        <v/>
      </c>
      <c r="L127" s="62">
        <f t="shared" ref="L127" si="316">L116+1</f>
        <v>14</v>
      </c>
      <c r="M127" s="62" t="e">
        <f>VLOOKUP($D127&amp;M$5,'②-2勤務時間数入力'!$D$7:$Q$106,$L127,FALSE)</f>
        <v>#N/A</v>
      </c>
      <c r="N127" s="62" t="str">
        <f t="shared" ref="N127:N136" si="317">IF(ISERROR(M127),"×",IF(M127="-","×","○"))</f>
        <v>×</v>
      </c>
      <c r="O127" s="62" t="e">
        <f>VLOOKUP($D127&amp;O$5,'②-2勤務時間数入力'!$D$7:$Q$106,$L127,FALSE)</f>
        <v>#N/A</v>
      </c>
      <c r="P127" s="62" t="str">
        <f t="shared" ref="P127:P136" si="318">IF(ISERROR(O127),"×",IF(O127="-","×","○"))</f>
        <v>×</v>
      </c>
      <c r="Q127" s="62" t="e">
        <f>VLOOKUP($D127&amp;Q$5,'②-2勤務時間数入力'!$D$7:$Q$106,$L127,FALSE)</f>
        <v>#N/A</v>
      </c>
      <c r="R127" s="62" t="str">
        <f t="shared" ref="R127:R136" si="319">IF(ISERROR(Q127),"×",IF(Q127="-","×","○"))</f>
        <v>×</v>
      </c>
      <c r="S127" s="62" t="e">
        <f>VLOOKUP($D127&amp;S$5,'②-2勤務時間数入力'!$D$7:$Q$106,$L127,FALSE)</f>
        <v>#N/A</v>
      </c>
      <c r="T127" s="62" t="str">
        <f t="shared" ref="T127:T136" si="320">IF(ISERROR(S127),"×",IF(S127="-","×","○"))</f>
        <v>×</v>
      </c>
    </row>
    <row r="128" spans="1:20" ht="13.5" hidden="1" customHeight="1">
      <c r="A128" s="854"/>
      <c r="B128" s="857"/>
      <c r="C128" s="858"/>
      <c r="D128" s="138" t="str">
        <f>IF(D117="","",D117)</f>
        <v/>
      </c>
      <c r="E128" s="60" t="str">
        <f t="shared" ref="E128:E129" si="321">IF(D128="","",IF(N128="○",M$5,IF(P128="○",O$5,IF(R128="○",Q$5,IF(T128="○",S$5,"ERROR")))))</f>
        <v/>
      </c>
      <c r="F128" s="59" t="str">
        <f t="shared" si="313"/>
        <v/>
      </c>
      <c r="G128" s="139" t="str">
        <f>IF($B122="","",IF($E128="正規職員","-",IF(AND(EXACT(B111,B122),EXACT(D117,D128),EXACT(E117,E128)),G117,"賃金単価を記載")))</f>
        <v/>
      </c>
      <c r="H128" s="59" t="str">
        <f t="shared" si="314"/>
        <v/>
      </c>
      <c r="I128" s="59">
        <f t="shared" si="18"/>
        <v>271333.33333333401</v>
      </c>
      <c r="J128" s="59" t="str">
        <f t="shared" ref="J128" si="322">IFERROR(IF($C127="-","",IF(D128="","",IF(E128="正規職員",I128-J127,MIN(MIN(H128:I128),I127-J127)))),0)</f>
        <v/>
      </c>
      <c r="K128" s="61" t="str">
        <f t="shared" ref="K128:K129" si="323">IF(D128="","",IF(OR(COUNTIFS(D128,"*要配慮*")=1,COUNTIFS(D128,"*医療的ケア*")=1),"○","エラー"))</f>
        <v/>
      </c>
      <c r="L128" s="62">
        <f>L127</f>
        <v>14</v>
      </c>
      <c r="M128" s="62" t="e">
        <f>VLOOKUP($D128&amp;M$5,'②-2勤務時間数入力'!$D$7:$Q$106,$L128,FALSE)</f>
        <v>#N/A</v>
      </c>
      <c r="N128" s="62" t="str">
        <f t="shared" si="317"/>
        <v>×</v>
      </c>
      <c r="O128" s="62" t="e">
        <f>VLOOKUP($D128&amp;O$5,'②-2勤務時間数入力'!$D$7:$Q$106,$L128,FALSE)</f>
        <v>#N/A</v>
      </c>
      <c r="P128" s="62" t="str">
        <f t="shared" si="318"/>
        <v>×</v>
      </c>
      <c r="Q128" s="62" t="e">
        <f>VLOOKUP($D128&amp;Q$5,'②-2勤務時間数入力'!$D$7:$Q$106,$L128,FALSE)</f>
        <v>#N/A</v>
      </c>
      <c r="R128" s="62" t="str">
        <f t="shared" si="319"/>
        <v>×</v>
      </c>
      <c r="S128" s="62" t="e">
        <f>VLOOKUP($D128&amp;S$5,'②-2勤務時間数入力'!$D$7:$Q$106,$L128,FALSE)</f>
        <v>#N/A</v>
      </c>
      <c r="T128" s="62" t="str">
        <f t="shared" si="320"/>
        <v>×</v>
      </c>
    </row>
    <row r="129" spans="1:20" ht="13.5" hidden="1" customHeight="1">
      <c r="A129" s="854"/>
      <c r="B129" s="857"/>
      <c r="C129" s="856" t="str">
        <f>IF(B127&gt;=1,IFERROR(INDEX($F$153:$G$158,MATCH(判定!AI20,$F$153:$F$158,0),2),"-"),"-")</f>
        <v>-</v>
      </c>
      <c r="D129" s="138" t="str">
        <f>IF(D118="","",D118)</f>
        <v/>
      </c>
      <c r="E129" s="60" t="str">
        <f t="shared" si="321"/>
        <v/>
      </c>
      <c r="F129" s="59" t="str">
        <f t="shared" si="313"/>
        <v/>
      </c>
      <c r="G129" s="139" t="str">
        <f>IF($B122="","",IF($E129="正規職員","-",IF(AND(EXACT(B111,B122),EXACT(D118,D129),EXACT(E118,E129)),G118,"賃金単価を記載")))</f>
        <v/>
      </c>
      <c r="H129" s="59" t="str">
        <f t="shared" si="314"/>
        <v/>
      </c>
      <c r="I129" s="59">
        <f t="shared" si="18"/>
        <v>271333.33333333401</v>
      </c>
      <c r="J129" s="59" t="str">
        <f t="shared" ref="J129" si="324">IFERROR(IF($C129="-","",IF(D129="",0,IF(E129="正規職員",I129,MIN(H129:I129)))),0)</f>
        <v/>
      </c>
      <c r="K129" s="61" t="str">
        <f t="shared" si="323"/>
        <v/>
      </c>
      <c r="L129" s="62">
        <f t="shared" ref="L129:L136" si="325">L128</f>
        <v>14</v>
      </c>
      <c r="M129" s="62" t="e">
        <f>VLOOKUP($D129&amp;M$5,'②-2勤務時間数入力'!$D$7:$Q$106,$L129,FALSE)</f>
        <v>#N/A</v>
      </c>
      <c r="N129" s="62" t="str">
        <f t="shared" si="317"/>
        <v>×</v>
      </c>
      <c r="O129" s="62" t="e">
        <f>VLOOKUP($D129&amp;O$5,'②-2勤務時間数入力'!$D$7:$Q$106,$L129,FALSE)</f>
        <v>#N/A</v>
      </c>
      <c r="P129" s="62" t="str">
        <f t="shared" si="318"/>
        <v>×</v>
      </c>
      <c r="Q129" s="62" t="e">
        <f>VLOOKUP($D129&amp;Q$5,'②-2勤務時間数入力'!$D$7:$Q$106,$L129,FALSE)</f>
        <v>#N/A</v>
      </c>
      <c r="R129" s="62" t="str">
        <f t="shared" si="319"/>
        <v>×</v>
      </c>
      <c r="S129" s="62" t="e">
        <f>VLOOKUP($D129&amp;S$5,'②-2勤務時間数入力'!$D$7:$Q$106,$L129,FALSE)</f>
        <v>#N/A</v>
      </c>
      <c r="T129" s="62" t="str">
        <f t="shared" si="320"/>
        <v>×</v>
      </c>
    </row>
    <row r="130" spans="1:20" ht="13.5" hidden="1" customHeight="1">
      <c r="A130" s="854"/>
      <c r="B130" s="857"/>
      <c r="C130" s="858"/>
      <c r="D130" s="138" t="str">
        <f t="shared" ref="D130:D136" si="326">IF(D119="","",D119)</f>
        <v/>
      </c>
      <c r="E130" s="60" t="str">
        <f t="shared" ref="E130:E132" si="327">IF(D130="","",IF(N130="○",M$5,IF(P130="○",O$5,IF(R130="○",Q$5,IF(T130="○",S$5,"ERROR")))))</f>
        <v/>
      </c>
      <c r="F130" s="59" t="str">
        <f t="shared" ref="F130:F132" si="328">IF(D130="","",IF(N130="○",M130,IF(P130="○",O130,IF(R130="○",Q130,IF(T130="○",S130,"ERROR")))))</f>
        <v/>
      </c>
      <c r="G130" s="139" t="str">
        <f>IF($B124="","",IF($E130="正規職員","-",IF(AND(EXACT(B113,B124),EXACT(D119,D130),EXACT(E119,E130)),G119,"賃金単価を記載")))</f>
        <v/>
      </c>
      <c r="H130" s="59" t="str">
        <f t="shared" ref="H130:H131" si="329">IF($D130="","",IF($E130="正規職員","-",F130*G130))</f>
        <v/>
      </c>
      <c r="I130" s="59">
        <f t="shared" si="18"/>
        <v>271333.33333333401</v>
      </c>
      <c r="J130" s="59" t="str">
        <f t="shared" ref="J130" si="330">IFERROR(IF($C129="-","",IF(D130="","",IF(E130="正規職員",I130-J129,MIN(MIN(H130:I130),I129-J129)))),0)</f>
        <v/>
      </c>
      <c r="K130" s="61" t="str">
        <f t="shared" ref="K130:K132" si="331">IF(D130="","",IF(OR(COUNTIFS(D130,"*要配慮*")=1,COUNTIFS(D130,"*医療的ケア*")=1),"○","エラー"))</f>
        <v/>
      </c>
      <c r="L130" s="62">
        <f t="shared" si="325"/>
        <v>14</v>
      </c>
      <c r="M130" s="62" t="e">
        <f>VLOOKUP($D130&amp;M$5,'②-2勤務時間数入力'!$D$7:$Q$106,$L130,FALSE)</f>
        <v>#N/A</v>
      </c>
      <c r="N130" s="62" t="str">
        <f t="shared" si="317"/>
        <v>×</v>
      </c>
      <c r="O130" s="62" t="e">
        <f>VLOOKUP($D130&amp;O$5,'②-2勤務時間数入力'!$D$7:$Q$106,$L130,FALSE)</f>
        <v>#N/A</v>
      </c>
      <c r="P130" s="62" t="str">
        <f t="shared" si="318"/>
        <v>×</v>
      </c>
      <c r="Q130" s="62" t="e">
        <f>VLOOKUP($D130&amp;Q$5,'②-2勤務時間数入力'!$D$7:$Q$106,$L130,FALSE)</f>
        <v>#N/A</v>
      </c>
      <c r="R130" s="62" t="str">
        <f t="shared" si="319"/>
        <v>×</v>
      </c>
      <c r="S130" s="62" t="e">
        <f>VLOOKUP($D130&amp;S$5,'②-2勤務時間数入力'!$D$7:$Q$106,$L130,FALSE)</f>
        <v>#N/A</v>
      </c>
      <c r="T130" s="62" t="str">
        <f t="shared" si="320"/>
        <v>×</v>
      </c>
    </row>
    <row r="131" spans="1:20" ht="13.5" hidden="1" customHeight="1">
      <c r="A131" s="854"/>
      <c r="B131" s="857"/>
      <c r="C131" s="856" t="str">
        <f>IF(B127&gt;=1,IFERROR(INDEX($F$153:$G$158,MATCH(判定!AJ20,$F$153:$F$158,0),2),"-"),"-")</f>
        <v>-</v>
      </c>
      <c r="D131" s="138" t="str">
        <f t="shared" si="326"/>
        <v/>
      </c>
      <c r="E131" s="60" t="str">
        <f t="shared" si="327"/>
        <v/>
      </c>
      <c r="F131" s="59" t="str">
        <f t="shared" si="328"/>
        <v/>
      </c>
      <c r="G131" s="139" t="str">
        <f>IF($B124="","",IF($E131="正規職員","-",IF(AND(EXACT(B113,B124),EXACT(D120,D131),EXACT(E120,E131)),G120,"賃金単価を記載")))</f>
        <v/>
      </c>
      <c r="H131" s="59" t="str">
        <f t="shared" si="329"/>
        <v/>
      </c>
      <c r="I131" s="59">
        <f t="shared" si="18"/>
        <v>271333.33333333401</v>
      </c>
      <c r="J131" s="59" t="str">
        <f t="shared" ref="J131" si="332">IFERROR(IF($C131="-","",IF(D131="",0,IF(E131="正規職員",I131,MIN(H131:I131)))),0)</f>
        <v/>
      </c>
      <c r="K131" s="61" t="str">
        <f t="shared" si="331"/>
        <v/>
      </c>
      <c r="L131" s="62">
        <f t="shared" si="325"/>
        <v>14</v>
      </c>
      <c r="M131" s="62" t="e">
        <f>VLOOKUP($D131&amp;M$5,'②-2勤務時間数入力'!$D$7:$Q$106,$L131,FALSE)</f>
        <v>#N/A</v>
      </c>
      <c r="N131" s="62" t="str">
        <f t="shared" si="317"/>
        <v>×</v>
      </c>
      <c r="O131" s="62" t="e">
        <f>VLOOKUP($D131&amp;O$5,'②-2勤務時間数入力'!$D$7:$Q$106,$L131,FALSE)</f>
        <v>#N/A</v>
      </c>
      <c r="P131" s="62" t="str">
        <f t="shared" si="318"/>
        <v>×</v>
      </c>
      <c r="Q131" s="62" t="e">
        <f>VLOOKUP($D131&amp;Q$5,'②-2勤務時間数入力'!$D$7:$Q$106,$L131,FALSE)</f>
        <v>#N/A</v>
      </c>
      <c r="R131" s="62" t="str">
        <f t="shared" si="319"/>
        <v>×</v>
      </c>
      <c r="S131" s="62" t="e">
        <f>VLOOKUP($D131&amp;S$5,'②-2勤務時間数入力'!$D$7:$Q$106,$L131,FALSE)</f>
        <v>#N/A</v>
      </c>
      <c r="T131" s="62" t="str">
        <f t="shared" si="320"/>
        <v>×</v>
      </c>
    </row>
    <row r="132" spans="1:20" ht="13.5" hidden="1" customHeight="1">
      <c r="A132" s="854"/>
      <c r="B132" s="857"/>
      <c r="C132" s="858"/>
      <c r="D132" s="138" t="str">
        <f t="shared" si="326"/>
        <v/>
      </c>
      <c r="E132" s="60" t="str">
        <f t="shared" si="327"/>
        <v/>
      </c>
      <c r="F132" s="59" t="str">
        <f t="shared" si="328"/>
        <v/>
      </c>
      <c r="G132" s="139" t="str">
        <f>IF($B124="","",IF($E132="正規職員","-",IF(AND(EXACT(B113,B124),EXACT(D121,D132),EXACT(E121,E132)),G121,"賃金単価を記載")))</f>
        <v/>
      </c>
      <c r="H132" s="59" t="str">
        <f>IF($D132="","",IF($E132="正規職員","-",F132*G132))</f>
        <v/>
      </c>
      <c r="I132" s="59">
        <f t="shared" si="18"/>
        <v>271333.33333333401</v>
      </c>
      <c r="J132" s="59" t="str">
        <f t="shared" ref="J132" si="333">IFERROR(IF($C131="-","",IF(D132="","",IF(E132="正規職員",I132-J131,MIN(MIN(H132:I132),I131-J131)))),0)</f>
        <v/>
      </c>
      <c r="K132" s="61" t="str">
        <f t="shared" si="331"/>
        <v/>
      </c>
      <c r="L132" s="62">
        <f t="shared" si="325"/>
        <v>14</v>
      </c>
      <c r="M132" s="62" t="e">
        <f>VLOOKUP($D132&amp;M$5,'②-2勤務時間数入力'!$D$7:$Q$106,$L132,FALSE)</f>
        <v>#N/A</v>
      </c>
      <c r="N132" s="62" t="str">
        <f t="shared" si="317"/>
        <v>×</v>
      </c>
      <c r="O132" s="62" t="e">
        <f>VLOOKUP($D132&amp;O$5,'②-2勤務時間数入力'!$D$7:$Q$106,$L132,FALSE)</f>
        <v>#N/A</v>
      </c>
      <c r="P132" s="62" t="str">
        <f t="shared" si="318"/>
        <v>×</v>
      </c>
      <c r="Q132" s="62" t="e">
        <f>VLOOKUP($D132&amp;Q$5,'②-2勤務時間数入力'!$D$7:$Q$106,$L132,FALSE)</f>
        <v>#N/A</v>
      </c>
      <c r="R132" s="62" t="str">
        <f t="shared" si="319"/>
        <v>×</v>
      </c>
      <c r="S132" s="62" t="e">
        <f>VLOOKUP($D132&amp;S$5,'②-2勤務時間数入力'!$D$7:$Q$106,$L132,FALSE)</f>
        <v>#N/A</v>
      </c>
      <c r="T132" s="62" t="str">
        <f t="shared" si="320"/>
        <v>×</v>
      </c>
    </row>
    <row r="133" spans="1:20" ht="13.5" hidden="1" customHeight="1">
      <c r="A133" s="854"/>
      <c r="B133" s="857"/>
      <c r="C133" s="856" t="str">
        <f>IF(B127&gt;=1,IFERROR(INDEX($F$153:$G$158,MATCH(判定!AK20,$F$153:$F$158,0),2),"-"),"-")</f>
        <v>-</v>
      </c>
      <c r="D133" s="138" t="str">
        <f t="shared" si="326"/>
        <v/>
      </c>
      <c r="E133" s="60" t="str">
        <f t="shared" ref="E133:E136" si="334">IF(D133="","",IF(N133="○",M$5,IF(P133="○",O$5,IF(R133="○",Q$5,IF(T133="○",S$5,"ERROR")))))</f>
        <v/>
      </c>
      <c r="F133" s="59" t="str">
        <f t="shared" si="313"/>
        <v/>
      </c>
      <c r="G133" s="139" t="str">
        <f>IF($B127="","",IF($E133="正規職員","-",IF(AND(EXACT(B116,B127),EXACT(D122,D133),EXACT(E122,E133)),G122,"賃金単価を記載")))</f>
        <v/>
      </c>
      <c r="H133" s="59" t="str">
        <f t="shared" si="314"/>
        <v/>
      </c>
      <c r="I133" s="59">
        <f t="shared" si="18"/>
        <v>271333.33333333401</v>
      </c>
      <c r="J133" s="59" t="str">
        <f t="shared" ref="J133" si="335">IFERROR(IF($C133="-","",IF(D133="",0,IF(E133="正規職員",I133,MIN(H133:I133)))),0)</f>
        <v/>
      </c>
      <c r="K133" s="61" t="str">
        <f t="shared" ref="K133:K136" si="336">IF(D133="","",IF(OR(COUNTIFS(D133,"*要配慮*")=1,COUNTIFS(D133,"*医療的ケア*")=1),"○","エラー"))</f>
        <v/>
      </c>
      <c r="L133" s="62">
        <f t="shared" si="325"/>
        <v>14</v>
      </c>
      <c r="M133" s="62" t="e">
        <f>VLOOKUP($D133&amp;M$5,'②-2勤務時間数入力'!$D$7:$Q$106,$L133,FALSE)</f>
        <v>#N/A</v>
      </c>
      <c r="N133" s="62" t="str">
        <f t="shared" si="317"/>
        <v>×</v>
      </c>
      <c r="O133" s="62" t="e">
        <f>VLOOKUP($D133&amp;O$5,'②-2勤務時間数入力'!$D$7:$Q$106,$L133,FALSE)</f>
        <v>#N/A</v>
      </c>
      <c r="P133" s="62" t="str">
        <f t="shared" si="318"/>
        <v>×</v>
      </c>
      <c r="Q133" s="62" t="e">
        <f>VLOOKUP($D133&amp;Q$5,'②-2勤務時間数入力'!$D$7:$Q$106,$L133,FALSE)</f>
        <v>#N/A</v>
      </c>
      <c r="R133" s="62" t="str">
        <f t="shared" si="319"/>
        <v>×</v>
      </c>
      <c r="S133" s="62" t="e">
        <f>VLOOKUP($D133&amp;S$5,'②-2勤務時間数入力'!$D$7:$Q$106,$L133,FALSE)</f>
        <v>#N/A</v>
      </c>
      <c r="T133" s="62" t="str">
        <f t="shared" si="320"/>
        <v>×</v>
      </c>
    </row>
    <row r="134" spans="1:20" ht="13.5" hidden="1" customHeight="1">
      <c r="A134" s="854"/>
      <c r="B134" s="857"/>
      <c r="C134" s="858"/>
      <c r="D134" s="138" t="str">
        <f>IF(D123="","",D123)</f>
        <v/>
      </c>
      <c r="E134" s="60" t="str">
        <f t="shared" si="334"/>
        <v/>
      </c>
      <c r="F134" s="59" t="str">
        <f t="shared" si="313"/>
        <v/>
      </c>
      <c r="G134" s="139" t="str">
        <f>IF($B127="","",IF($E134="正規職員","-",IF(AND(EXACT(B116,B127),EXACT(D123,D134),EXACT(E123,E134)),G123,"賃金単価を記載")))</f>
        <v/>
      </c>
      <c r="H134" s="59" t="str">
        <f t="shared" si="314"/>
        <v/>
      </c>
      <c r="I134" s="59">
        <f t="shared" si="18"/>
        <v>271333.33333333401</v>
      </c>
      <c r="J134" s="59" t="str">
        <f t="shared" ref="J134" si="337">IFERROR(IF($C133="-","",IF(D134="","",IF(E134="正規職員",I134-J133,MIN(MIN(H134:I134),I133-J133)))),0)</f>
        <v/>
      </c>
      <c r="K134" s="61" t="str">
        <f t="shared" si="336"/>
        <v/>
      </c>
      <c r="L134" s="62">
        <f t="shared" si="325"/>
        <v>14</v>
      </c>
      <c r="M134" s="62" t="e">
        <f>VLOOKUP($D134&amp;M$5,'②-2勤務時間数入力'!$D$7:$Q$106,$L134,FALSE)</f>
        <v>#N/A</v>
      </c>
      <c r="N134" s="62" t="str">
        <f t="shared" si="317"/>
        <v>×</v>
      </c>
      <c r="O134" s="62" t="e">
        <f>VLOOKUP($D134&amp;O$5,'②-2勤務時間数入力'!$D$7:$Q$106,$L134,FALSE)</f>
        <v>#N/A</v>
      </c>
      <c r="P134" s="62" t="str">
        <f t="shared" si="318"/>
        <v>×</v>
      </c>
      <c r="Q134" s="62" t="e">
        <f>VLOOKUP($D134&amp;Q$5,'②-2勤務時間数入力'!$D$7:$Q$106,$L134,FALSE)</f>
        <v>#N/A</v>
      </c>
      <c r="R134" s="62" t="str">
        <f t="shared" si="319"/>
        <v>×</v>
      </c>
      <c r="S134" s="62" t="e">
        <f>VLOOKUP($D134&amp;S$5,'②-2勤務時間数入力'!$D$7:$Q$106,$L134,FALSE)</f>
        <v>#N/A</v>
      </c>
      <c r="T134" s="62" t="str">
        <f t="shared" si="320"/>
        <v>×</v>
      </c>
    </row>
    <row r="135" spans="1:20" ht="13.5" hidden="1" customHeight="1">
      <c r="A135" s="854"/>
      <c r="B135" s="857"/>
      <c r="C135" s="856" t="str">
        <f>IF(B127&gt;=1,IFERROR(INDEX($F$153:$G$158,MATCH(判定!AL20,$F$153:$F$158,0),2),"-"),"-")</f>
        <v>-</v>
      </c>
      <c r="D135" s="138" t="str">
        <f t="shared" si="326"/>
        <v/>
      </c>
      <c r="E135" s="60" t="str">
        <f t="shared" si="334"/>
        <v/>
      </c>
      <c r="F135" s="59" t="str">
        <f t="shared" si="313"/>
        <v/>
      </c>
      <c r="G135" s="139" t="str">
        <f>IF($B127="","",IF($E135="正規職員","-",IF(AND(EXACT(B116,B127),EXACT(D124,D135),EXACT(E124,E135)),G124,"賃金単価を記載")))</f>
        <v/>
      </c>
      <c r="H135" s="59" t="str">
        <f>IF($D135="","",IF($E135="正規職員","-",F135*G135))</f>
        <v/>
      </c>
      <c r="I135" s="59">
        <f t="shared" si="18"/>
        <v>271333.33333333401</v>
      </c>
      <c r="J135" s="59" t="str">
        <f t="shared" ref="J135" si="338">IFERROR(IF($C135="-","",IF(D135="",0,IF(E135="正規職員",I135,MIN(H135:I135)))),0)</f>
        <v/>
      </c>
      <c r="K135" s="61" t="str">
        <f t="shared" si="336"/>
        <v/>
      </c>
      <c r="L135" s="62">
        <f t="shared" si="325"/>
        <v>14</v>
      </c>
      <c r="M135" s="62" t="e">
        <f>VLOOKUP($D135&amp;M$5,'②-2勤務時間数入力'!$D$7:$Q$106,$L135,FALSE)</f>
        <v>#N/A</v>
      </c>
      <c r="N135" s="62" t="str">
        <f t="shared" si="317"/>
        <v>×</v>
      </c>
      <c r="O135" s="62" t="e">
        <f>VLOOKUP($D135&amp;O$5,'②-2勤務時間数入力'!$D$7:$Q$106,$L135,FALSE)</f>
        <v>#N/A</v>
      </c>
      <c r="P135" s="62" t="str">
        <f t="shared" si="318"/>
        <v>×</v>
      </c>
      <c r="Q135" s="62" t="e">
        <f>VLOOKUP($D135&amp;Q$5,'②-2勤務時間数入力'!$D$7:$Q$106,$L135,FALSE)</f>
        <v>#N/A</v>
      </c>
      <c r="R135" s="62" t="str">
        <f t="shared" si="319"/>
        <v>×</v>
      </c>
      <c r="S135" s="62" t="e">
        <f>VLOOKUP($D135&amp;S$5,'②-2勤務時間数入力'!$D$7:$Q$106,$L135,FALSE)</f>
        <v>#N/A</v>
      </c>
      <c r="T135" s="62" t="str">
        <f t="shared" si="320"/>
        <v>×</v>
      </c>
    </row>
    <row r="136" spans="1:20" ht="13.5" hidden="1" customHeight="1">
      <c r="A136" s="878"/>
      <c r="B136" s="857"/>
      <c r="C136" s="858"/>
      <c r="D136" s="138" t="str">
        <f t="shared" si="326"/>
        <v/>
      </c>
      <c r="E136" s="60" t="str">
        <f t="shared" si="334"/>
        <v/>
      </c>
      <c r="F136" s="59" t="str">
        <f t="shared" si="313"/>
        <v/>
      </c>
      <c r="G136" s="139" t="str">
        <f>IF($B127="","",IF($E136="正規職員","-",IF(AND(EXACT(B116,B127),EXACT(D125,D136),EXACT(E125,E136)),G125,"賃金単価を記載")))</f>
        <v/>
      </c>
      <c r="H136" s="59" t="str">
        <f>IF($D136="","",IF($E136="正規職員","-",F136*G136))</f>
        <v/>
      </c>
      <c r="I136" s="59">
        <f t="shared" ref="I136" si="339">$I$6</f>
        <v>271333.33333333401</v>
      </c>
      <c r="J136" s="59" t="str">
        <f t="shared" ref="J136" si="340">IFERROR(IF($C135="-","",IF(D136="","",IF(E136="正規職員",I136-J135,MIN(MIN(H136:I136),I135-J135)))),0)</f>
        <v/>
      </c>
      <c r="K136" s="61" t="str">
        <f t="shared" si="336"/>
        <v/>
      </c>
      <c r="L136" s="62">
        <f t="shared" si="325"/>
        <v>14</v>
      </c>
      <c r="M136" s="62" t="e">
        <f>VLOOKUP($D136&amp;M$5,'②-2勤務時間数入力'!$D$7:$Q$106,$L136,FALSE)</f>
        <v>#N/A</v>
      </c>
      <c r="N136" s="62" t="str">
        <f t="shared" si="317"/>
        <v>×</v>
      </c>
      <c r="O136" s="62" t="e">
        <f>VLOOKUP($D136&amp;O$5,'②-2勤務時間数入力'!$D$7:$Q$106,$L136,FALSE)</f>
        <v>#N/A</v>
      </c>
      <c r="P136" s="62" t="str">
        <f t="shared" si="318"/>
        <v>×</v>
      </c>
      <c r="Q136" s="62" t="e">
        <f>VLOOKUP($D136&amp;Q$5,'②-2勤務時間数入力'!$D$7:$Q$106,$L136,FALSE)</f>
        <v>#N/A</v>
      </c>
      <c r="R136" s="62" t="str">
        <f t="shared" si="319"/>
        <v>×</v>
      </c>
      <c r="S136" s="62" t="e">
        <f>VLOOKUP($D136&amp;S$5,'②-2勤務時間数入力'!$D$7:$Q$106,$L136,FALSE)</f>
        <v>#N/A</v>
      </c>
      <c r="T136" s="62" t="str">
        <f t="shared" si="320"/>
        <v>×</v>
      </c>
    </row>
    <row r="137" spans="1:20" ht="13.5" hidden="1" customHeight="1">
      <c r="A137" s="844"/>
      <c r="B137" s="858"/>
      <c r="C137" s="284"/>
      <c r="D137" s="1" t="s">
        <v>284</v>
      </c>
      <c r="E137" s="60" t="s">
        <v>273</v>
      </c>
      <c r="F137" s="67"/>
      <c r="G137" s="60" t="s">
        <v>273</v>
      </c>
      <c r="H137" s="60" t="s">
        <v>273</v>
      </c>
      <c r="I137" s="60" t="s">
        <v>273</v>
      </c>
      <c r="J137" s="59" t="str">
        <f t="shared" ref="J137" si="341">IFERROR(IF(J127="","",MIN(SUM(J127:J136),(B127*I127))),0)</f>
        <v/>
      </c>
      <c r="K137" s="61"/>
    </row>
    <row r="138" spans="1:20" ht="13.5" hidden="1" customHeight="1">
      <c r="A138" s="58" t="s">
        <v>264</v>
      </c>
      <c r="B138" s="285"/>
      <c r="C138" s="58"/>
      <c r="D138" s="1"/>
      <c r="E138" s="59"/>
      <c r="F138" s="59"/>
      <c r="G138" s="59"/>
      <c r="H138" s="59"/>
      <c r="I138" s="59"/>
      <c r="J138" s="63">
        <f>ROUNDDOWN(SUM(J16,J27,J38,J49,J60,J71,J82,J93,J104,J115,J126,J137),-3)</f>
        <v>0</v>
      </c>
    </row>
    <row r="139" spans="1:20" ht="15" customHeight="1">
      <c r="D139" s="61"/>
      <c r="E139" s="61"/>
      <c r="F139" s="61"/>
      <c r="G139" s="61"/>
      <c r="H139" s="61"/>
      <c r="I139" s="61"/>
    </row>
    <row r="141" spans="1:20" hidden="1">
      <c r="C141" s="82" t="s">
        <v>349</v>
      </c>
      <c r="D141" s="82"/>
      <c r="E141" s="82"/>
      <c r="F141" s="82"/>
    </row>
    <row r="142" spans="1:20" hidden="1">
      <c r="C142" s="82" t="s">
        <v>352</v>
      </c>
      <c r="D142" s="82"/>
      <c r="E142" s="82"/>
      <c r="F142" s="82"/>
    </row>
    <row r="143" spans="1:20" hidden="1">
      <c r="C143" s="82" t="s">
        <v>376</v>
      </c>
      <c r="D143" s="82"/>
      <c r="E143" s="82"/>
      <c r="F143" s="82"/>
    </row>
    <row r="144" spans="1:20" ht="158.25" hidden="1" customHeight="1">
      <c r="C144" s="137" t="s">
        <v>322</v>
      </c>
      <c r="D144" s="883" t="s">
        <v>1080</v>
      </c>
      <c r="E144" s="884"/>
      <c r="F144" s="885"/>
    </row>
    <row r="145" spans="3:7" ht="57" hidden="1" customHeight="1">
      <c r="C145" s="137" t="s">
        <v>327</v>
      </c>
      <c r="D145" s="883" t="s">
        <v>351</v>
      </c>
      <c r="E145" s="884"/>
      <c r="F145" s="885"/>
    </row>
    <row r="146" spans="3:7" ht="57" hidden="1" customHeight="1"/>
    <row r="147" spans="3:7" hidden="1"/>
    <row r="148" spans="3:7" hidden="1"/>
    <row r="149" spans="3:7" hidden="1"/>
    <row r="150" spans="3:7" hidden="1"/>
    <row r="151" spans="3:7" hidden="1"/>
    <row r="152" spans="3:7" hidden="1"/>
    <row r="153" spans="3:7" hidden="1">
      <c r="G153" t="s">
        <v>799</v>
      </c>
    </row>
    <row r="154" spans="3:7" hidden="1">
      <c r="F154" t="s">
        <v>795</v>
      </c>
      <c r="G154" t="str">
        <f>'②-1職員名簿'!C144</f>
        <v>保育教諭等</v>
      </c>
    </row>
    <row r="155" spans="3:7" hidden="1">
      <c r="F155" t="s">
        <v>796</v>
      </c>
      <c r="G155" t="str">
        <f>'②-1職員名簿'!C145</f>
        <v>要件緩和</v>
      </c>
    </row>
    <row r="156" spans="3:7" hidden="1">
      <c r="F156" t="s">
        <v>797</v>
      </c>
      <c r="G156" t="str">
        <f>'②-1職員名簿'!C146</f>
        <v>看護師等</v>
      </c>
    </row>
    <row r="157" spans="3:7" hidden="1">
      <c r="F157" t="s">
        <v>798</v>
      </c>
      <c r="G157" t="str">
        <f>'②-1職員名簿'!C147</f>
        <v>栄養士</v>
      </c>
    </row>
    <row r="158" spans="3:7" hidden="1">
      <c r="F158" t="s">
        <v>802</v>
      </c>
      <c r="G158" t="str">
        <f>'②-1職員名簿'!C148</f>
        <v>調理師等</v>
      </c>
    </row>
    <row r="159" spans="3:7" hidden="1">
      <c r="F159" t="s">
        <v>803</v>
      </c>
      <c r="G159" t="str">
        <f>'②-1職員名簿'!C149</f>
        <v>教育・保育支援者</v>
      </c>
    </row>
  </sheetData>
  <sheetProtection algorithmName="SHA-512" hashValue="AYXyLy2yeRmKaXXnESH5LXBSC9BR4cTzdxBWdWYf8Ph+TlRX8VY1Or++ki9ZDvATCZc1fqNxEKrjF1XDo0qtug==" saltValue="DgJhEkG/SdWi4xp1Bk+Fsg==" spinCount="100000" sheet="1" selectLockedCells="1"/>
  <mergeCells count="93">
    <mergeCell ref="D145:F145"/>
    <mergeCell ref="C6:C7"/>
    <mergeCell ref="C8:C9"/>
    <mergeCell ref="C10:C11"/>
    <mergeCell ref="C12:C13"/>
    <mergeCell ref="C14:C15"/>
    <mergeCell ref="D144:F144"/>
    <mergeCell ref="C47:C48"/>
    <mergeCell ref="C45:C46"/>
    <mergeCell ref="C43:C44"/>
    <mergeCell ref="C41:C42"/>
    <mergeCell ref="C39:C40"/>
    <mergeCell ref="C58:C59"/>
    <mergeCell ref="C56:C57"/>
    <mergeCell ref="C54:C55"/>
    <mergeCell ref="C52:C53"/>
    <mergeCell ref="A105:A115"/>
    <mergeCell ref="B105:B115"/>
    <mergeCell ref="A116:A126"/>
    <mergeCell ref="B116:B126"/>
    <mergeCell ref="A127:A137"/>
    <mergeCell ref="B127:B137"/>
    <mergeCell ref="A72:A82"/>
    <mergeCell ref="B72:B82"/>
    <mergeCell ref="A83:A93"/>
    <mergeCell ref="B83:B93"/>
    <mergeCell ref="A94:A104"/>
    <mergeCell ref="B94:B104"/>
    <mergeCell ref="A39:A49"/>
    <mergeCell ref="B39:B49"/>
    <mergeCell ref="A50:A60"/>
    <mergeCell ref="B50:B60"/>
    <mergeCell ref="A61:A71"/>
    <mergeCell ref="B61:B71"/>
    <mergeCell ref="S5:T5"/>
    <mergeCell ref="A6:A16"/>
    <mergeCell ref="B6:B16"/>
    <mergeCell ref="A17:A27"/>
    <mergeCell ref="B17:B27"/>
    <mergeCell ref="M5:N5"/>
    <mergeCell ref="O5:P5"/>
    <mergeCell ref="Q5:R5"/>
    <mergeCell ref="A28:A38"/>
    <mergeCell ref="B28:B38"/>
    <mergeCell ref="A1:J1"/>
    <mergeCell ref="E2:F2"/>
    <mergeCell ref="G2:J2"/>
    <mergeCell ref="C25:C26"/>
    <mergeCell ref="C23:C24"/>
    <mergeCell ref="C21:C22"/>
    <mergeCell ref="C19:C20"/>
    <mergeCell ref="C17:C18"/>
    <mergeCell ref="C36:C37"/>
    <mergeCell ref="C34:C35"/>
    <mergeCell ref="C32:C33"/>
    <mergeCell ref="C30:C31"/>
    <mergeCell ref="C28:C29"/>
    <mergeCell ref="C50:C51"/>
    <mergeCell ref="C69:C70"/>
    <mergeCell ref="C67:C68"/>
    <mergeCell ref="C65:C66"/>
    <mergeCell ref="C63:C64"/>
    <mergeCell ref="C61:C62"/>
    <mergeCell ref="C80:C81"/>
    <mergeCell ref="C78:C79"/>
    <mergeCell ref="C76:C77"/>
    <mergeCell ref="C74:C75"/>
    <mergeCell ref="C72:C73"/>
    <mergeCell ref="C91:C92"/>
    <mergeCell ref="C89:C90"/>
    <mergeCell ref="C87:C88"/>
    <mergeCell ref="C85:C86"/>
    <mergeCell ref="C83:C84"/>
    <mergeCell ref="C102:C103"/>
    <mergeCell ref="C100:C101"/>
    <mergeCell ref="C98:C99"/>
    <mergeCell ref="C96:C97"/>
    <mergeCell ref="C94:C95"/>
    <mergeCell ref="C113:C114"/>
    <mergeCell ref="C111:C112"/>
    <mergeCell ref="C109:C110"/>
    <mergeCell ref="C107:C108"/>
    <mergeCell ref="C105:C106"/>
    <mergeCell ref="C124:C125"/>
    <mergeCell ref="C122:C123"/>
    <mergeCell ref="C120:C121"/>
    <mergeCell ref="C118:C119"/>
    <mergeCell ref="C116:C117"/>
    <mergeCell ref="C131:C132"/>
    <mergeCell ref="C129:C130"/>
    <mergeCell ref="C127:C128"/>
    <mergeCell ref="C135:C136"/>
    <mergeCell ref="C133:C134"/>
  </mergeCells>
  <phoneticPr fontId="1"/>
  <conditionalFormatting sqref="D6:D15">
    <cfRule type="containsBlanks" dxfId="28" priority="81">
      <formula>LEN(TRIM(D6))=0</formula>
    </cfRule>
  </conditionalFormatting>
  <conditionalFormatting sqref="D17:D26">
    <cfRule type="containsBlanks" dxfId="27" priority="77">
      <formula>LEN(TRIM(D17))=0</formula>
    </cfRule>
  </conditionalFormatting>
  <conditionalFormatting sqref="D28:D37">
    <cfRule type="containsBlanks" dxfId="26" priority="28">
      <formula>LEN(TRIM(D28))=0</formula>
    </cfRule>
  </conditionalFormatting>
  <conditionalFormatting sqref="D39:D48">
    <cfRule type="containsBlanks" dxfId="25" priority="25">
      <formula>LEN(TRIM(D39))=0</formula>
    </cfRule>
  </conditionalFormatting>
  <conditionalFormatting sqref="D50:D59">
    <cfRule type="containsBlanks" dxfId="24" priority="22">
      <formula>LEN(TRIM(D50))=0</formula>
    </cfRule>
  </conditionalFormatting>
  <conditionalFormatting sqref="D61:D70">
    <cfRule type="containsBlanks" dxfId="23" priority="19">
      <formula>LEN(TRIM(D61))=0</formula>
    </cfRule>
  </conditionalFormatting>
  <conditionalFormatting sqref="D72:D81">
    <cfRule type="containsBlanks" dxfId="22" priority="16">
      <formula>LEN(TRIM(D72))=0</formula>
    </cfRule>
  </conditionalFormatting>
  <conditionalFormatting sqref="D83:D92">
    <cfRule type="containsBlanks" dxfId="21" priority="13">
      <formula>LEN(TRIM(D83))=0</formula>
    </cfRule>
  </conditionalFormatting>
  <conditionalFormatting sqref="D94:D103">
    <cfRule type="containsBlanks" dxfId="20" priority="10">
      <formula>LEN(TRIM(D94))=0</formula>
    </cfRule>
  </conditionalFormatting>
  <conditionalFormatting sqref="D105:D114">
    <cfRule type="containsBlanks" dxfId="19" priority="7">
      <formula>LEN(TRIM(D105))=0</formula>
    </cfRule>
  </conditionalFormatting>
  <conditionalFormatting sqref="D116:D125">
    <cfRule type="containsBlanks" dxfId="18" priority="4">
      <formula>LEN(TRIM(D116))=0</formula>
    </cfRule>
  </conditionalFormatting>
  <conditionalFormatting sqref="D127:D136">
    <cfRule type="containsBlanks" dxfId="17" priority="1">
      <formula>LEN(TRIM(D127))=0</formula>
    </cfRule>
  </conditionalFormatting>
  <conditionalFormatting sqref="G6:G136">
    <cfRule type="containsText" dxfId="16" priority="32" operator="containsText" text="賃金単価を記載">
      <formula>NOT(ISERROR(SEARCH("賃金単価を記載",G6)))</formula>
    </cfRule>
  </conditionalFormatting>
  <dataValidations count="1">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D16" xr:uid="{60871252-3A46-4ADE-954D-9286C785C601}"/>
  </dataValidations>
  <pageMargins left="0.70866141732283472" right="0.70866141732283472" top="0.74803149606299213" bottom="0.74803149606299213" header="0.31496062992125984" footer="0.31496062992125984"/>
  <pageSetup paperSize="9" scale="2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75322AE8-B2C8-470C-861C-9F3ADEAEDD72}">
          <x14:formula1>
            <xm:f>'②-1職員名簿'!Y$7:Y$107</xm:f>
          </x14:formula1>
          <xm:sqref>D6:D15 D17:D137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57AF-59C1-4393-8BEF-42115184F884}">
  <sheetPr>
    <tabColor rgb="FF00B050"/>
  </sheetPr>
  <dimension ref="A1:T87"/>
  <sheetViews>
    <sheetView view="pageBreakPreview" zoomScale="85" zoomScaleNormal="100" zoomScaleSheetLayoutView="85" workbookViewId="0">
      <selection activeCell="D6" sqref="D6"/>
    </sheetView>
  </sheetViews>
  <sheetFormatPr defaultRowHeight="18"/>
  <cols>
    <col min="2" max="2" width="4.75" customWidth="1"/>
    <col min="3" max="3" width="13" customWidth="1"/>
    <col min="4" max="4" width="28.33203125" customWidth="1"/>
    <col min="5" max="9" width="11.25" customWidth="1"/>
    <col min="10" max="10" width="15" customWidth="1"/>
    <col min="11" max="11" width="0" hidden="1" customWidth="1"/>
  </cols>
  <sheetData>
    <row r="1" spans="1:20" s="20" customFormat="1" ht="19">
      <c r="A1" s="847" t="s">
        <v>894</v>
      </c>
      <c r="B1" s="847"/>
      <c r="C1" s="847"/>
      <c r="D1" s="847"/>
      <c r="E1" s="847"/>
      <c r="F1" s="847"/>
      <c r="G1" s="847"/>
      <c r="H1" s="847"/>
      <c r="I1" s="847"/>
      <c r="J1" s="847"/>
      <c r="K1" s="197"/>
      <c r="L1" s="197"/>
      <c r="M1" s="197"/>
      <c r="N1" s="197"/>
      <c r="O1" s="197"/>
    </row>
    <row r="2" spans="1:20" s="20" customFormat="1" ht="13.5" customHeight="1">
      <c r="E2" s="867" t="s">
        <v>109</v>
      </c>
      <c r="F2" s="867"/>
      <c r="G2" s="868">
        <f>①基本情報!D6</f>
        <v>0</v>
      </c>
      <c r="H2" s="868"/>
      <c r="I2" s="868"/>
      <c r="J2" s="868"/>
      <c r="L2" s="20" t="s">
        <v>136</v>
      </c>
    </row>
    <row r="3" spans="1:20" s="20" customFormat="1" ht="2.25" customHeight="1">
      <c r="E3" s="65"/>
      <c r="F3" s="65"/>
      <c r="G3" s="66"/>
      <c r="H3" s="66"/>
      <c r="I3" s="66"/>
      <c r="J3" s="66"/>
    </row>
    <row r="4" spans="1:20" ht="15" customHeight="1">
      <c r="A4" s="56" t="s">
        <v>893</v>
      </c>
      <c r="B4" t="s">
        <v>984</v>
      </c>
    </row>
    <row r="5" spans="1:20" ht="36">
      <c r="B5" s="64" t="s">
        <v>806</v>
      </c>
      <c r="C5" s="200" t="s">
        <v>829</v>
      </c>
      <c r="D5" s="198" t="s">
        <v>254</v>
      </c>
      <c r="E5" s="198" t="s">
        <v>255</v>
      </c>
      <c r="F5" s="198" t="s">
        <v>256</v>
      </c>
      <c r="G5" s="198" t="s">
        <v>257</v>
      </c>
      <c r="H5" s="198" t="s">
        <v>258</v>
      </c>
      <c r="I5" s="198" t="s">
        <v>259</v>
      </c>
      <c r="J5" s="198" t="s">
        <v>260</v>
      </c>
      <c r="L5" s="57" t="s">
        <v>261</v>
      </c>
      <c r="M5" s="849" t="s">
        <v>204</v>
      </c>
      <c r="N5" s="850"/>
      <c r="O5" s="849" t="s">
        <v>205</v>
      </c>
      <c r="P5" s="850"/>
      <c r="Q5" s="849" t="s">
        <v>262</v>
      </c>
      <c r="R5" s="850"/>
      <c r="S5" s="849" t="s">
        <v>263</v>
      </c>
      <c r="T5" s="850"/>
    </row>
    <row r="6" spans="1:20" ht="13.5" customHeight="1">
      <c r="A6" s="843">
        <v>4</v>
      </c>
      <c r="B6" s="856" t="str">
        <f>IF(判定!AZ9&gt;=1,判定!AZ9,"-")</f>
        <v>-</v>
      </c>
      <c r="C6" s="856" t="str">
        <f>IF(B6&gt;=1,IFERROR(INDEX($F$82:$G$87,MATCH(判定!AR9,$F$82:$F$87,0),2),"-"),"-")</f>
        <v>-</v>
      </c>
      <c r="D6" s="138"/>
      <c r="E6" s="60" t="str">
        <f>IF(D6="","",IF(N6="○",M$5,IF(P6="○",O$5,IF(R6="○",Q$5,IF(T6="○",S$5,"ERROR")))))</f>
        <v/>
      </c>
      <c r="F6" s="59" t="str">
        <f>IF(D6="","",IF(N6="○",M6,IF(P6="○",O6,IF(R6="○",Q6,IF(T6="○",S6,"ERROR")))))</f>
        <v/>
      </c>
      <c r="G6" s="139" t="str">
        <f>IF($D6="","",IF($E6="正規職員","-","賃金単価を記載"))</f>
        <v/>
      </c>
      <c r="H6" s="59" t="str">
        <f t="shared" ref="H6:H7" si="0">IF($D6="","",IF($E6="正規職員","-",F6*G6))</f>
        <v/>
      </c>
      <c r="I6" s="277">
        <f>⑩特定加算１!I6</f>
        <v>271333.33333333401</v>
      </c>
      <c r="J6" s="59" t="str">
        <f>IFERROR(IF($C6="-","",IF(D6="",0,IF(E6="正規職員",I6,MIN(H6:I6)))),0)</f>
        <v/>
      </c>
      <c r="K6" s="61" t="str">
        <f>IF(D6="","",IF(OR(COUNTIFS(D6,"*要配慮*")=1,COUNTIFS(D6,"*医療的ケア*")=1),"○","エラー"))</f>
        <v/>
      </c>
      <c r="L6" s="62">
        <v>3</v>
      </c>
      <c r="M6" s="62" t="e">
        <f>VLOOKUP($D6&amp;M$5,'②-2勤務時間数入力'!$D$7:$Q$106,$L6,FALSE)</f>
        <v>#N/A</v>
      </c>
      <c r="N6" s="62" t="str">
        <f>IF(ISERROR(M6),"×",IF(M6="-","×","○"))</f>
        <v>×</v>
      </c>
      <c r="O6" s="62" t="e">
        <f>VLOOKUP($D6&amp;O$5,'②-2勤務時間数入力'!$D$7:$Q$106,$L6,FALSE)</f>
        <v>#N/A</v>
      </c>
      <c r="P6" s="62" t="str">
        <f>IF(ISERROR(O6),"×",IF(O6="-","×","○"))</f>
        <v>×</v>
      </c>
      <c r="Q6" s="62" t="e">
        <f>VLOOKUP($D6&amp;Q$5,'②-2勤務時間数入力'!$D$7:$Q$106,$L6,FALSE)</f>
        <v>#N/A</v>
      </c>
      <c r="R6" s="62" t="str">
        <f>IF(ISERROR(Q6),"×",IF(Q6="-","×","○"))</f>
        <v>×</v>
      </c>
      <c r="S6" s="62" t="e">
        <f>VLOOKUP($D6&amp;S$5,'②-2勤務時間数入力'!$D$7:$Q$106,$L6,FALSE)</f>
        <v>#N/A</v>
      </c>
      <c r="T6" s="62" t="str">
        <f>IF(ISERROR(S6),"×",IF(S6="-","×","○"))</f>
        <v>×</v>
      </c>
    </row>
    <row r="7" spans="1:20" ht="13.5" customHeight="1">
      <c r="A7" s="854"/>
      <c r="B7" s="857"/>
      <c r="C7" s="864"/>
      <c r="D7" s="138"/>
      <c r="E7" s="60" t="str">
        <f>IF(D7="","",IF(N7="○",M$5,IF(P7="○",O$5,IF(R7="○",Q$5,IF(T7="○",S$5,"ERROR")))))</f>
        <v/>
      </c>
      <c r="F7" s="59" t="str">
        <f>IF(D7="","",IF(N7="○",M7,IF(P7="○",O7,IF(R7="○",Q7,IF(T7="○",S7,"ERROR")))))</f>
        <v/>
      </c>
      <c r="G7" s="139" t="str">
        <f t="shared" ref="G7:G9" si="1">IF($D7="","",IF($E7="正規職員","-","賃金単価を記載"))</f>
        <v/>
      </c>
      <c r="H7" s="59" t="str">
        <f t="shared" si="0"/>
        <v/>
      </c>
      <c r="I7" s="59">
        <f t="shared" ref="I7:I9" si="2">$I$6</f>
        <v>271333.33333333401</v>
      </c>
      <c r="J7" s="59" t="str">
        <f>IFERROR(IF($C6="-","",IF(D7="","",IF(E7="正規職員",I7-J6,MIN(MIN(H7:I7),I6-J6)))),0)</f>
        <v/>
      </c>
      <c r="K7" s="61" t="str">
        <f t="shared" ref="K7:K8" si="3">IF(D7="","",IF(OR(COUNTIFS(D7,"*要配慮*")=1,COUNTIFS(D7,"*医療的ケア*")=1),"○","エラー"))</f>
        <v/>
      </c>
      <c r="L7" s="62">
        <f>L6</f>
        <v>3</v>
      </c>
      <c r="M7" s="62" t="e">
        <f>VLOOKUP($D7&amp;M$5,'②-2勤務時間数入力'!$D$7:$Q$106,$L7,FALSE)</f>
        <v>#N/A</v>
      </c>
      <c r="N7" s="62" t="str">
        <f>IF(ISERROR(M7),"×",IF(M7="-","×","○"))</f>
        <v>×</v>
      </c>
      <c r="O7" s="62" t="e">
        <f>VLOOKUP($D7&amp;O$5,'②-2勤務時間数入力'!$D$7:$Q$106,$L7,FALSE)</f>
        <v>#N/A</v>
      </c>
      <c r="P7" s="62" t="str">
        <f>IF(ISERROR(O7),"×",IF(O7="-","×","○"))</f>
        <v>×</v>
      </c>
      <c r="Q7" s="62" t="e">
        <f>VLOOKUP($D7&amp;Q$5,'②-2勤務時間数入力'!$D$7:$Q$106,$L7,FALSE)</f>
        <v>#N/A</v>
      </c>
      <c r="R7" s="62" t="str">
        <f>IF(ISERROR(Q7),"×",IF(Q7="-","×","○"))</f>
        <v>×</v>
      </c>
      <c r="S7" s="62" t="e">
        <f>VLOOKUP($D7&amp;S$5,'②-2勤務時間数入力'!$D$7:$Q$106,$L7,FALSE)</f>
        <v>#N/A</v>
      </c>
      <c r="T7" s="62" t="str">
        <f>IF(ISERROR(S7),"×",IF(S7="-","×","○"))</f>
        <v>×</v>
      </c>
    </row>
    <row r="8" spans="1:20" ht="13.5" customHeight="1">
      <c r="A8" s="854"/>
      <c r="B8" s="857"/>
      <c r="C8" s="879" t="str">
        <f>IF(B6&gt;=1,IFERROR(INDEX($F$82:$G$87,MATCH(判定!AS9,$F$82:$F$87,0),2),"-"),"-")</f>
        <v>-</v>
      </c>
      <c r="D8" s="138"/>
      <c r="E8" s="60" t="str">
        <f>IF(D8="","",IF(N8="○",M$5,IF(P8="○",O$5,IF(R8="○",Q$5,IF(T8="○",S$5,"ERROR")))))</f>
        <v/>
      </c>
      <c r="F8" s="59" t="str">
        <f t="shared" ref="F8:F9" si="4">IF(D8="","",IF(N8="○",M8,IF(P8="○",O8,IF(R8="○",Q8,IF(T8="○",S8,"ERROR")))))</f>
        <v/>
      </c>
      <c r="G8" s="139" t="str">
        <f t="shared" si="1"/>
        <v/>
      </c>
      <c r="H8" s="59" t="str">
        <f>IF($D8="","",IF($E8="正規職員","-",F8*G8))</f>
        <v/>
      </c>
      <c r="I8" s="59">
        <f t="shared" si="2"/>
        <v>271333.33333333401</v>
      </c>
      <c r="J8" s="59" t="str">
        <f>IFERROR(IF($C8="-","",IF(D8="",0,IF(E8="正規職員",I8,MIN(H8:I8)))),0)</f>
        <v/>
      </c>
      <c r="K8" s="61" t="str">
        <f t="shared" si="3"/>
        <v/>
      </c>
      <c r="L8" s="62">
        <f t="shared" ref="L8:L9" si="5">L7</f>
        <v>3</v>
      </c>
      <c r="M8" s="62" t="e">
        <f>VLOOKUP($D8&amp;M$5,'②-2勤務時間数入力'!$D$7:$Q$106,$L8,FALSE)</f>
        <v>#N/A</v>
      </c>
      <c r="N8" s="62" t="str">
        <f>IF(ISERROR(M8),"×",IF(M8="-","×","○"))</f>
        <v>×</v>
      </c>
      <c r="O8" s="62" t="e">
        <f>VLOOKUP($D8&amp;O$5,'②-2勤務時間数入力'!$D$7:$Q$106,$L8,FALSE)</f>
        <v>#N/A</v>
      </c>
      <c r="P8" s="62" t="str">
        <f>IF(ISERROR(O8),"×",IF(O8="-","×","○"))</f>
        <v>×</v>
      </c>
      <c r="Q8" s="62" t="e">
        <f>VLOOKUP($D8&amp;Q$5,'②-2勤務時間数入力'!$D$7:$Q$106,$L8,FALSE)</f>
        <v>#N/A</v>
      </c>
      <c r="R8" s="62" t="str">
        <f>IF(ISERROR(Q8),"×",IF(Q8="-","×","○"))</f>
        <v>×</v>
      </c>
      <c r="S8" s="62" t="e">
        <f>VLOOKUP($D8&amp;S$5,'②-2勤務時間数入力'!$D$7:$Q$106,$L8,FALSE)</f>
        <v>#N/A</v>
      </c>
      <c r="T8" s="62" t="str">
        <f>IF(ISERROR(S8),"×",IF(S8="-","×","○"))</f>
        <v>×</v>
      </c>
    </row>
    <row r="9" spans="1:20" ht="13.5" customHeight="1">
      <c r="A9" s="878"/>
      <c r="B9" s="857"/>
      <c r="C9" s="748"/>
      <c r="D9" s="138"/>
      <c r="E9" s="60" t="str">
        <f t="shared" ref="E9" si="6">IF(D9="","",IF(N9="○",M$5,IF(P9="○",O$5,IF(R9="○",Q$5,IF(T9="○",S$5,"ERROR")))))</f>
        <v/>
      </c>
      <c r="F9" s="59" t="str">
        <f t="shared" si="4"/>
        <v/>
      </c>
      <c r="G9" s="139" t="str">
        <f t="shared" si="1"/>
        <v/>
      </c>
      <c r="H9" s="59" t="str">
        <f>IF($D9="","",IF($E9="正規職員","-",F9*G9))</f>
        <v/>
      </c>
      <c r="I9" s="59">
        <f t="shared" si="2"/>
        <v>271333.33333333401</v>
      </c>
      <c r="J9" s="59" t="str">
        <f>IFERROR(IF($C8="-","",IF(D9="","",IF(E9="正規職員",I9-J8,MIN(MIN(H9:I9),I8-J8)))),0)</f>
        <v/>
      </c>
      <c r="K9" s="61" t="str">
        <f>IF(D9="","",IF(OR(COUNTIFS(D9,"*要配慮*")=1,COUNTIFS(D9,"*医療的ケア*")=1),"○","エラー"))</f>
        <v/>
      </c>
      <c r="L9" s="62">
        <f t="shared" si="5"/>
        <v>3</v>
      </c>
      <c r="M9" s="62" t="e">
        <f>VLOOKUP($D9&amp;M$5,'②-2勤務時間数入力'!$D$7:$Q$106,$L9,FALSE)</f>
        <v>#N/A</v>
      </c>
      <c r="N9" s="62" t="str">
        <f>IF(ISERROR(M9),"×",IF(M9="-","×","○"))</f>
        <v>×</v>
      </c>
      <c r="O9" s="62" t="e">
        <f>VLOOKUP($D9&amp;O$5,'②-2勤務時間数入力'!$D$7:$Q$106,$L9,FALSE)</f>
        <v>#N/A</v>
      </c>
      <c r="P9" s="62" t="str">
        <f>IF(ISERROR(O9),"×",IF(O9="-","×","○"))</f>
        <v>×</v>
      </c>
      <c r="Q9" s="62" t="e">
        <f>VLOOKUP($D9&amp;Q$5,'②-2勤務時間数入力'!$D$7:$Q$106,$L9,FALSE)</f>
        <v>#N/A</v>
      </c>
      <c r="R9" s="62" t="str">
        <f>IF(ISERROR(Q9),"×",IF(Q9="-","×","○"))</f>
        <v>×</v>
      </c>
      <c r="S9" s="62" t="e">
        <f>VLOOKUP($D9&amp;S$5,'②-2勤務時間数入力'!$D$7:$Q$106,$L9,FALSE)</f>
        <v>#N/A</v>
      </c>
      <c r="T9" s="62" t="str">
        <f>IF(ISERROR(S9),"×",IF(S9="-","×","○"))</f>
        <v>×</v>
      </c>
    </row>
    <row r="10" spans="1:20" ht="13.5" customHeight="1">
      <c r="A10" s="844"/>
      <c r="B10" s="857"/>
      <c r="C10" s="284"/>
      <c r="D10" s="1" t="s">
        <v>272</v>
      </c>
      <c r="E10" s="60" t="s">
        <v>273</v>
      </c>
      <c r="F10" s="67"/>
      <c r="G10" s="441" t="s">
        <v>273</v>
      </c>
      <c r="H10" s="60" t="s">
        <v>273</v>
      </c>
      <c r="I10" s="60" t="s">
        <v>273</v>
      </c>
      <c r="J10" s="59" t="str">
        <f>IFERROR(IF(J6="","",MIN(SUM(J6:J9),(B6*I6))),0)</f>
        <v/>
      </c>
      <c r="K10" s="61"/>
      <c r="L10" s="62"/>
      <c r="M10" s="62"/>
      <c r="N10" s="62"/>
      <c r="O10" s="62"/>
      <c r="P10" s="62"/>
      <c r="Q10" s="62"/>
      <c r="R10" s="62"/>
      <c r="S10" s="62"/>
      <c r="T10" s="62"/>
    </row>
    <row r="11" spans="1:20" ht="13.5" hidden="1" customHeight="1">
      <c r="A11" s="843">
        <v>5</v>
      </c>
      <c r="B11" s="879" t="str">
        <f>IF(判定!AZ10&gt;=1,判定!AZ10,"-")</f>
        <v>-</v>
      </c>
      <c r="C11" s="879" t="str">
        <f>IF(B11&gt;=1,IFERROR(INDEX($F$81:$G$86,MATCH(判定!AR10,$F$81:$F$86,0),2),"-"),"-")</f>
        <v>-</v>
      </c>
      <c r="D11" s="138" t="str">
        <f>IF(D6="","",D6)</f>
        <v/>
      </c>
      <c r="E11" s="60" t="str">
        <f>IF(D11="","",IF(N11="○",M$5,IF(P11="○",O$5,IF(R11="○",Q$5,IF(T11="○",S$5,"ERROR")))))</f>
        <v/>
      </c>
      <c r="F11" s="59" t="str">
        <f>IF(D11="","",IF(N11="○",M11,IF(P11="○",O11,IF(R11="○",Q11,IF(T11="○",S11,"ERROR")))))</f>
        <v/>
      </c>
      <c r="G11" s="139" t="str">
        <f>IF($B11="","",IF($E11="正規職員","-",IF(AND(EXACT(B6,B11),EXACT(D6,D11),EXACT(E6,E11)),G6,"賃金単価を記載")))</f>
        <v/>
      </c>
      <c r="H11" s="59" t="str">
        <f t="shared" ref="H11:H12" si="7">IF($D11="","",IF($E11="正規職員","-",F11*G11))</f>
        <v/>
      </c>
      <c r="I11" s="59">
        <f t="shared" ref="I11:I63" si="8">$I$6</f>
        <v>271333.33333333401</v>
      </c>
      <c r="J11" s="59" t="str">
        <f>IF($D11="","",IF(E11="正規職員",I11,MIN(H11:I11)))</f>
        <v/>
      </c>
      <c r="K11" s="61" t="str">
        <f>IF(D11="","",IF(OR(COUNTIFS(D11,"*要配慮*")=1,COUNTIFS(D11,"*医療的ケア*")=1),"○","エラー"))</f>
        <v/>
      </c>
      <c r="L11" s="62">
        <f>L6+1</f>
        <v>4</v>
      </c>
      <c r="M11" s="62" t="e">
        <f>VLOOKUP($D11&amp;M$5,'②-2勤務時間数入力'!$D$7:$Q$106,$L11,FALSE)</f>
        <v>#N/A</v>
      </c>
      <c r="N11" s="62" t="str">
        <f>IF(ISERROR(M11),"×",IF(M11="-","×","○"))</f>
        <v>×</v>
      </c>
      <c r="O11" s="62" t="e">
        <f>VLOOKUP($D11&amp;O$5,'②-2勤務時間数入力'!$D$7:$Q$106,$L11,FALSE)</f>
        <v>#N/A</v>
      </c>
      <c r="P11" s="62" t="str">
        <f>IF(ISERROR(O11),"×",IF(O11="-","×","○"))</f>
        <v>×</v>
      </c>
      <c r="Q11" s="62" t="e">
        <f>VLOOKUP($D11&amp;Q$5,'②-2勤務時間数入力'!$D$7:$Q$106,$L11,FALSE)</f>
        <v>#N/A</v>
      </c>
      <c r="R11" s="62" t="str">
        <f>IF(ISERROR(Q11),"×",IF(Q11="-","×","○"))</f>
        <v>×</v>
      </c>
      <c r="S11" s="62" t="e">
        <f>VLOOKUP($D11&amp;S$5,'②-2勤務時間数入力'!$D$7:$Q$106,$L11,FALSE)</f>
        <v>#N/A</v>
      </c>
      <c r="T11" s="62" t="str">
        <f>IF(ISERROR(S11),"×",IF(S11="-","×","○"))</f>
        <v>×</v>
      </c>
    </row>
    <row r="12" spans="1:20" ht="13.5" hidden="1" customHeight="1">
      <c r="A12" s="854"/>
      <c r="B12" s="879"/>
      <c r="C12" s="879"/>
      <c r="D12" s="138" t="str">
        <f>IF(D7="","",D7)</f>
        <v/>
      </c>
      <c r="E12" s="60" t="str">
        <f t="shared" ref="E12:E14" si="9">IF(D12="","",IF(N12="○",M$5,IF(P12="○",O$5,IF(R12="○",Q$5,IF(T12="○",S$5,"ERROR")))))</f>
        <v/>
      </c>
      <c r="F12" s="59" t="str">
        <f t="shared" ref="F12:F14" si="10">IF(D12="","",IF(N12="○",M12,IF(P12="○",O12,IF(R12="○",Q12,IF(T12="○",S12,"ERROR")))))</f>
        <v/>
      </c>
      <c r="G12" s="139" t="str">
        <f>IF($B11="","",IF($E12="正規職員","-",IF(AND(EXACT(B6,B11),EXACT(D7,D12),EXACT(E7,E12)),G7,"賃金単価を記載")))</f>
        <v/>
      </c>
      <c r="H12" s="59" t="str">
        <f t="shared" si="7"/>
        <v/>
      </c>
      <c r="I12" s="59">
        <f t="shared" si="8"/>
        <v>271333.33333333401</v>
      </c>
      <c r="J12" s="59" t="str">
        <f t="shared" ref="J12:J14" si="11">IF($D12="","",IF(E12="正規職員",I12,MIN(H12:I12)))</f>
        <v/>
      </c>
      <c r="K12" s="61" t="str">
        <f t="shared" ref="K12:K14" si="12">IF(D12="","",IF(OR(COUNTIFS(D12,"*要配慮*")=1,COUNTIFS(D12,"*医療的ケア*")=1),"○","エラー"))</f>
        <v/>
      </c>
      <c r="L12" s="62">
        <f>L11</f>
        <v>4</v>
      </c>
      <c r="M12" s="62" t="e">
        <f>VLOOKUP($D12&amp;M$5,'②-2勤務時間数入力'!$D$7:$Q$106,$L12,FALSE)</f>
        <v>#N/A</v>
      </c>
      <c r="N12" s="62" t="str">
        <f>IF(ISERROR(M12),"×",IF(M12="-","×","○"))</f>
        <v>×</v>
      </c>
      <c r="O12" s="62" t="e">
        <f>VLOOKUP($D12&amp;O$5,'②-2勤務時間数入力'!$D$7:$Q$106,$L12,FALSE)</f>
        <v>#N/A</v>
      </c>
      <c r="P12" s="62" t="str">
        <f>IF(ISERROR(O12),"×",IF(O12="-","×","○"))</f>
        <v>×</v>
      </c>
      <c r="Q12" s="62" t="e">
        <f>VLOOKUP($D12&amp;Q$5,'②-2勤務時間数入力'!$D$7:$Q$106,$L12,FALSE)</f>
        <v>#N/A</v>
      </c>
      <c r="R12" s="62" t="str">
        <f>IF(ISERROR(Q12),"×",IF(Q12="-","×","○"))</f>
        <v>×</v>
      </c>
      <c r="S12" s="62" t="e">
        <f>VLOOKUP($D12&amp;S$5,'②-2勤務時間数入力'!$D$7:$Q$106,$L12,FALSE)</f>
        <v>#N/A</v>
      </c>
      <c r="T12" s="62" t="str">
        <f>IF(ISERROR(S12),"×",IF(S12="-","×","○"))</f>
        <v>×</v>
      </c>
    </row>
    <row r="13" spans="1:20" ht="13.5" hidden="1" customHeight="1">
      <c r="A13" s="854"/>
      <c r="B13" s="879"/>
      <c r="C13" s="879" t="str">
        <f>IF(B11&gt;=1,IFERROR(INDEX($F$81:$G$86,MATCH(判定!AS10,$F$81:$F$86,0),2),"-"),"-")</f>
        <v>-</v>
      </c>
      <c r="D13" s="138" t="str">
        <f>IF(D8="","",D8)</f>
        <v/>
      </c>
      <c r="E13" s="60" t="str">
        <f t="shared" si="9"/>
        <v/>
      </c>
      <c r="F13" s="59" t="str">
        <f t="shared" si="10"/>
        <v/>
      </c>
      <c r="G13" s="139" t="str">
        <f>IF($B11="","",IF($E13="正規職員","-",IF(AND(EXACT(B6,B11),EXACT(D8,D13),EXACT(E8,E13)),G8,"賃金単価を記載")))</f>
        <v/>
      </c>
      <c r="H13" s="59" t="str">
        <f>IF($D13="","",IF($E13="正規職員","-",F13*G13))</f>
        <v/>
      </c>
      <c r="I13" s="59">
        <f t="shared" si="8"/>
        <v>271333.33333333401</v>
      </c>
      <c r="J13" s="59" t="str">
        <f t="shared" si="11"/>
        <v/>
      </c>
      <c r="K13" s="61" t="str">
        <f t="shared" si="12"/>
        <v/>
      </c>
      <c r="L13" s="62">
        <f t="shared" ref="L13:L14" si="13">L12</f>
        <v>4</v>
      </c>
      <c r="M13" s="62" t="e">
        <f>VLOOKUP($D13&amp;M$5,'②-2勤務時間数入力'!$D$7:$Q$106,$L13,FALSE)</f>
        <v>#N/A</v>
      </c>
      <c r="N13" s="62" t="str">
        <f>IF(ISERROR(M13),"×",IF(M13="-","×","○"))</f>
        <v>×</v>
      </c>
      <c r="O13" s="62" t="e">
        <f>VLOOKUP($D13&amp;O$5,'②-2勤務時間数入力'!$D$7:$Q$106,$L13,FALSE)</f>
        <v>#N/A</v>
      </c>
      <c r="P13" s="62" t="str">
        <f>IF(ISERROR(O13),"×",IF(O13="-","×","○"))</f>
        <v>×</v>
      </c>
      <c r="Q13" s="62" t="e">
        <f>VLOOKUP($D13&amp;Q$5,'②-2勤務時間数入力'!$D$7:$Q$106,$L13,FALSE)</f>
        <v>#N/A</v>
      </c>
      <c r="R13" s="62" t="str">
        <f>IF(ISERROR(Q13),"×",IF(Q13="-","×","○"))</f>
        <v>×</v>
      </c>
      <c r="S13" s="62" t="e">
        <f>VLOOKUP($D13&amp;S$5,'②-2勤務時間数入力'!$D$7:$Q$106,$L13,FALSE)</f>
        <v>#N/A</v>
      </c>
      <c r="T13" s="62" t="str">
        <f>IF(ISERROR(S13),"×",IF(S13="-","×","○"))</f>
        <v>×</v>
      </c>
    </row>
    <row r="14" spans="1:20" ht="13.5" hidden="1" customHeight="1">
      <c r="A14" s="878"/>
      <c r="B14" s="879"/>
      <c r="C14" s="879"/>
      <c r="D14" s="138" t="str">
        <f>IF(D9="","",D9)</f>
        <v/>
      </c>
      <c r="E14" s="60" t="str">
        <f t="shared" si="9"/>
        <v/>
      </c>
      <c r="F14" s="59" t="str">
        <f t="shared" si="10"/>
        <v/>
      </c>
      <c r="G14" s="139" t="str">
        <f>IF($B11="","",IF($E14="正規職員","-",IF(AND(EXACT(B6,B11),EXACT(D9,D14),EXACT(E9,E14)),G9,"賃金単価を記載")))</f>
        <v/>
      </c>
      <c r="H14" s="59" t="str">
        <f>IF($D14="","",IF($E14="正規職員","-",F14*G14))</f>
        <v/>
      </c>
      <c r="I14" s="59">
        <f t="shared" si="8"/>
        <v>271333.33333333401</v>
      </c>
      <c r="J14" s="59" t="str">
        <f t="shared" si="11"/>
        <v/>
      </c>
      <c r="K14" s="61" t="str">
        <f t="shared" si="12"/>
        <v/>
      </c>
      <c r="L14" s="62">
        <f t="shared" si="13"/>
        <v>4</v>
      </c>
      <c r="M14" s="62" t="e">
        <f>VLOOKUP($D14&amp;M$5,'②-2勤務時間数入力'!$D$7:$Q$106,$L14,FALSE)</f>
        <v>#N/A</v>
      </c>
      <c r="N14" s="62" t="str">
        <f>IF(ISERROR(M14),"×",IF(M14="-","×","○"))</f>
        <v>×</v>
      </c>
      <c r="O14" s="62" t="e">
        <f>VLOOKUP($D14&amp;O$5,'②-2勤務時間数入力'!$D$7:$Q$106,$L14,FALSE)</f>
        <v>#N/A</v>
      </c>
      <c r="P14" s="62" t="str">
        <f>IF(ISERROR(O14),"×",IF(O14="-","×","○"))</f>
        <v>×</v>
      </c>
      <c r="Q14" s="62" t="e">
        <f>VLOOKUP($D14&amp;Q$5,'②-2勤務時間数入力'!$D$7:$Q$106,$L14,FALSE)</f>
        <v>#N/A</v>
      </c>
      <c r="R14" s="62" t="str">
        <f>IF(ISERROR(Q14),"×",IF(Q14="-","×","○"))</f>
        <v>×</v>
      </c>
      <c r="S14" s="62" t="e">
        <f>VLOOKUP($D14&amp;S$5,'②-2勤務時間数入力'!$D$7:$Q$106,$L14,FALSE)</f>
        <v>#N/A</v>
      </c>
      <c r="T14" s="62" t="str">
        <f>IF(ISERROR(S14),"×",IF(S14="-","×","○"))</f>
        <v>×</v>
      </c>
    </row>
    <row r="15" spans="1:20" ht="13.5" hidden="1" customHeight="1">
      <c r="A15" s="844"/>
      <c r="B15" s="879"/>
      <c r="C15" s="283"/>
      <c r="D15" s="1" t="s">
        <v>274</v>
      </c>
      <c r="E15" s="60" t="s">
        <v>273</v>
      </c>
      <c r="F15" s="67"/>
      <c r="G15" s="441" t="s">
        <v>273</v>
      </c>
      <c r="H15" s="60" t="s">
        <v>273</v>
      </c>
      <c r="I15" s="60" t="s">
        <v>273</v>
      </c>
      <c r="J15" s="59" t="str">
        <f>IFERROR(IF(J11="","",MIN(SUM(J11:J14),(B11*I11))),0)</f>
        <v/>
      </c>
      <c r="K15" s="61"/>
      <c r="L15" s="62"/>
      <c r="M15" s="62"/>
      <c r="N15" s="62"/>
      <c r="O15" s="62"/>
      <c r="P15" s="62"/>
      <c r="Q15" s="62"/>
      <c r="R15" s="62"/>
      <c r="S15" s="62"/>
      <c r="T15" s="62"/>
    </row>
    <row r="16" spans="1:20" ht="13.5" hidden="1" customHeight="1">
      <c r="A16" s="843">
        <v>6</v>
      </c>
      <c r="B16" s="879" t="str">
        <f>IF(判定!AZ11&gt;=1,判定!AZ11,"-")</f>
        <v>-</v>
      </c>
      <c r="C16" s="879" t="str">
        <f>IF(B16&gt;=1,IFERROR(INDEX($F$81:$G$86,MATCH(判定!AR11,$F$81:$F$86,0),2),"-"),"-")</f>
        <v>-</v>
      </c>
      <c r="D16" s="138" t="str">
        <f>IF(D11="","",D11)</f>
        <v/>
      </c>
      <c r="E16" s="60" t="str">
        <f>IF(D16="","",IF(N16="○",M$5,IF(P16="○",O$5,IF(R16="○",Q$5,IF(T16="○",S$5,"ERROR")))))</f>
        <v/>
      </c>
      <c r="F16" s="59" t="str">
        <f>IF(D16="","",IF(N16="○",M16,IF(P16="○",O16,IF(R16="○",Q16,IF(T16="○",S16,"ERROR")))))</f>
        <v/>
      </c>
      <c r="G16" s="139" t="str">
        <f>IF($B16="","",IF($E16="正規職員","-",IF(AND(EXACT(B11,B16),EXACT(D11,D16),EXACT(E11,E16)),G11,"賃金単価を記載")))</f>
        <v/>
      </c>
      <c r="H16" s="59" t="str">
        <f t="shared" ref="H16:H17" si="14">IF($D16="","",IF($E16="正規職員","-",F16*G16))</f>
        <v/>
      </c>
      <c r="I16" s="59">
        <f t="shared" si="8"/>
        <v>271333.33333333401</v>
      </c>
      <c r="J16" s="59" t="str">
        <f>IF($D16="","",IF(E16="正規職員",I16,MIN(H16:I16)))</f>
        <v/>
      </c>
      <c r="K16" s="61" t="str">
        <f>IF(D16="","",IF(OR(COUNTIFS(D16,"*要配慮*")=1,COUNTIFS(D16,"*医療的ケア*")=1),"○","エラー"))</f>
        <v/>
      </c>
      <c r="L16" s="62">
        <f>L11+1</f>
        <v>5</v>
      </c>
      <c r="M16" s="62" t="e">
        <f>VLOOKUP($D16&amp;M$5,'②-2勤務時間数入力'!$D$7:$Q$106,$L16,FALSE)</f>
        <v>#N/A</v>
      </c>
      <c r="N16" s="62" t="str">
        <f>IF(ISERROR(M16),"×",IF(M16="-","×","○"))</f>
        <v>×</v>
      </c>
      <c r="O16" s="62" t="e">
        <f>VLOOKUP($D16&amp;O$5,'②-2勤務時間数入力'!$D$7:$Q$106,$L16,FALSE)</f>
        <v>#N/A</v>
      </c>
      <c r="P16" s="62" t="str">
        <f>IF(ISERROR(O16),"×",IF(O16="-","×","○"))</f>
        <v>×</v>
      </c>
      <c r="Q16" s="62" t="e">
        <f>VLOOKUP($D16&amp;Q$5,'②-2勤務時間数入力'!$D$7:$Q$106,$L16,FALSE)</f>
        <v>#N/A</v>
      </c>
      <c r="R16" s="62" t="str">
        <f>IF(ISERROR(Q16),"×",IF(Q16="-","×","○"))</f>
        <v>×</v>
      </c>
      <c r="S16" s="62" t="e">
        <f>VLOOKUP($D16&amp;S$5,'②-2勤務時間数入力'!$D$7:$Q$106,$L16,FALSE)</f>
        <v>#N/A</v>
      </c>
      <c r="T16" s="62" t="str">
        <f>IF(ISERROR(S16),"×",IF(S16="-","×","○"))</f>
        <v>×</v>
      </c>
    </row>
    <row r="17" spans="1:20" ht="13.5" hidden="1" customHeight="1">
      <c r="A17" s="854"/>
      <c r="B17" s="879"/>
      <c r="C17" s="879"/>
      <c r="D17" s="138" t="str">
        <f>IF(D12="","",D12)</f>
        <v/>
      </c>
      <c r="E17" s="60" t="str">
        <f t="shared" ref="E17:E19" si="15">IF(D17="","",IF(N17="○",M$5,IF(P17="○",O$5,IF(R17="○",Q$5,IF(T17="○",S$5,"ERROR")))))</f>
        <v/>
      </c>
      <c r="F17" s="59" t="str">
        <f t="shared" ref="F17:F19" si="16">IF(D17="","",IF(N17="○",M17,IF(P17="○",O17,IF(R17="○",Q17,IF(T17="○",S17,"ERROR")))))</f>
        <v/>
      </c>
      <c r="G17" s="139" t="str">
        <f>IF($B16="","",IF($E17="正規職員","-",IF(AND(EXACT(B11,B16),EXACT(D12,D17),EXACT(E12,E17)),G12,"賃金単価を記載")))</f>
        <v/>
      </c>
      <c r="H17" s="59" t="str">
        <f t="shared" si="14"/>
        <v/>
      </c>
      <c r="I17" s="59">
        <f t="shared" si="8"/>
        <v>271333.33333333401</v>
      </c>
      <c r="J17" s="59" t="str">
        <f t="shared" ref="J17:J19" si="17">IF($D17="","",IF(E17="正規職員",I17,MIN(H17:I17)))</f>
        <v/>
      </c>
      <c r="K17" s="61" t="str">
        <f t="shared" ref="K17:K19" si="18">IF(D17="","",IF(OR(COUNTIFS(D17,"*要配慮*")=1,COUNTIFS(D17,"*医療的ケア*")=1),"○","エラー"))</f>
        <v/>
      </c>
      <c r="L17" s="62">
        <f t="shared" ref="L17:L19" si="19">L16</f>
        <v>5</v>
      </c>
      <c r="M17" s="62" t="e">
        <f>VLOOKUP($D17&amp;M$5,'②-2勤務時間数入力'!$D$7:$Q$106,$L17,FALSE)</f>
        <v>#N/A</v>
      </c>
      <c r="N17" s="62" t="str">
        <f>IF(ISERROR(M17),"×",IF(M17="-","×","○"))</f>
        <v>×</v>
      </c>
      <c r="O17" s="62" t="e">
        <f>VLOOKUP($D17&amp;O$5,'②-2勤務時間数入力'!$D$7:$Q$106,$L17,FALSE)</f>
        <v>#N/A</v>
      </c>
      <c r="P17" s="62" t="str">
        <f>IF(ISERROR(O17),"×",IF(O17="-","×","○"))</f>
        <v>×</v>
      </c>
      <c r="Q17" s="62" t="e">
        <f>VLOOKUP($D17&amp;Q$5,'②-2勤務時間数入力'!$D$7:$Q$106,$L17,FALSE)</f>
        <v>#N/A</v>
      </c>
      <c r="R17" s="62" t="str">
        <f>IF(ISERROR(Q17),"×",IF(Q17="-","×","○"))</f>
        <v>×</v>
      </c>
      <c r="S17" s="62" t="e">
        <f>VLOOKUP($D17&amp;S$5,'②-2勤務時間数入力'!$D$7:$Q$106,$L17,FALSE)</f>
        <v>#N/A</v>
      </c>
      <c r="T17" s="62" t="str">
        <f>IF(ISERROR(S17),"×",IF(S17="-","×","○"))</f>
        <v>×</v>
      </c>
    </row>
    <row r="18" spans="1:20" ht="13.5" hidden="1" customHeight="1">
      <c r="A18" s="854"/>
      <c r="B18" s="879"/>
      <c r="C18" s="879" t="str">
        <f>IF(B16&gt;=1,IFERROR(INDEX($F$81:$G$86,MATCH(判定!AS11,$F$81:$F$86,0),2),"-"),"-")</f>
        <v>-</v>
      </c>
      <c r="D18" s="138" t="str">
        <f>IF(D13="","",D13)</f>
        <v/>
      </c>
      <c r="E18" s="60" t="str">
        <f t="shared" si="15"/>
        <v/>
      </c>
      <c r="F18" s="59" t="str">
        <f t="shared" si="16"/>
        <v/>
      </c>
      <c r="G18" s="139" t="str">
        <f>IF($B16="","",IF($E18="正規職員","-",IF(AND(EXACT(B11,B16),EXACT(D13,D18),EXACT(E13,E18)),G13,"賃金単価を記載")))</f>
        <v/>
      </c>
      <c r="H18" s="59" t="str">
        <f>IF($D18="","",IF($E18="正規職員","-",F18*G18))</f>
        <v/>
      </c>
      <c r="I18" s="59">
        <f t="shared" si="8"/>
        <v>271333.33333333401</v>
      </c>
      <c r="J18" s="59" t="str">
        <f t="shared" si="17"/>
        <v/>
      </c>
      <c r="K18" s="61" t="str">
        <f t="shared" si="18"/>
        <v/>
      </c>
      <c r="L18" s="62">
        <f t="shared" si="19"/>
        <v>5</v>
      </c>
      <c r="M18" s="62" t="e">
        <f>VLOOKUP($D18&amp;M$5,'②-2勤務時間数入力'!$D$7:$Q$106,$L18,FALSE)</f>
        <v>#N/A</v>
      </c>
      <c r="N18" s="62" t="str">
        <f>IF(ISERROR(M18),"×",IF(M18="-","×","○"))</f>
        <v>×</v>
      </c>
      <c r="O18" s="62" t="e">
        <f>VLOOKUP($D18&amp;O$5,'②-2勤務時間数入力'!$D$7:$Q$106,$L18,FALSE)</f>
        <v>#N/A</v>
      </c>
      <c r="P18" s="62" t="str">
        <f>IF(ISERROR(O18),"×",IF(O18="-","×","○"))</f>
        <v>×</v>
      </c>
      <c r="Q18" s="62" t="e">
        <f>VLOOKUP($D18&amp;Q$5,'②-2勤務時間数入力'!$D$7:$Q$106,$L18,FALSE)</f>
        <v>#N/A</v>
      </c>
      <c r="R18" s="62" t="str">
        <f>IF(ISERROR(Q18),"×",IF(Q18="-","×","○"))</f>
        <v>×</v>
      </c>
      <c r="S18" s="62" t="e">
        <f>VLOOKUP($D18&amp;S$5,'②-2勤務時間数入力'!$D$7:$Q$106,$L18,FALSE)</f>
        <v>#N/A</v>
      </c>
      <c r="T18" s="62" t="str">
        <f>IF(ISERROR(S18),"×",IF(S18="-","×","○"))</f>
        <v>×</v>
      </c>
    </row>
    <row r="19" spans="1:20" ht="13.5" hidden="1" customHeight="1">
      <c r="A19" s="878"/>
      <c r="B19" s="879"/>
      <c r="C19" s="879"/>
      <c r="D19" s="138" t="str">
        <f>IF(D14="","",D14)</f>
        <v/>
      </c>
      <c r="E19" s="60" t="str">
        <f t="shared" si="15"/>
        <v/>
      </c>
      <c r="F19" s="59" t="str">
        <f t="shared" si="16"/>
        <v/>
      </c>
      <c r="G19" s="139" t="str">
        <f>IF($B16="","",IF($E19="正規職員","-",IF(AND(EXACT(B11,B16),EXACT(D14,D19),EXACT(E14,E19)),G14,"賃金単価を記載")))</f>
        <v/>
      </c>
      <c r="H19" s="59" t="str">
        <f>IF($D19="","",IF($E19="正規職員","-",F19*G19))</f>
        <v/>
      </c>
      <c r="I19" s="59">
        <f t="shared" si="8"/>
        <v>271333.33333333401</v>
      </c>
      <c r="J19" s="59" t="str">
        <f t="shared" si="17"/>
        <v/>
      </c>
      <c r="K19" s="61" t="str">
        <f t="shared" si="18"/>
        <v/>
      </c>
      <c r="L19" s="62">
        <f t="shared" si="19"/>
        <v>5</v>
      </c>
      <c r="M19" s="62" t="e">
        <f>VLOOKUP($D19&amp;M$5,'②-2勤務時間数入力'!$D$7:$Q$106,$L19,FALSE)</f>
        <v>#N/A</v>
      </c>
      <c r="N19" s="62" t="str">
        <f>IF(ISERROR(M19),"×",IF(M19="-","×","○"))</f>
        <v>×</v>
      </c>
      <c r="O19" s="62" t="e">
        <f>VLOOKUP($D19&amp;O$5,'②-2勤務時間数入力'!$D$7:$Q$106,$L19,FALSE)</f>
        <v>#N/A</v>
      </c>
      <c r="P19" s="62" t="str">
        <f>IF(ISERROR(O19),"×",IF(O19="-","×","○"))</f>
        <v>×</v>
      </c>
      <c r="Q19" s="62" t="e">
        <f>VLOOKUP($D19&amp;Q$5,'②-2勤務時間数入力'!$D$7:$Q$106,$L19,FALSE)</f>
        <v>#N/A</v>
      </c>
      <c r="R19" s="62" t="str">
        <f>IF(ISERROR(Q19),"×",IF(Q19="-","×","○"))</f>
        <v>×</v>
      </c>
      <c r="S19" s="62" t="e">
        <f>VLOOKUP($D19&amp;S$5,'②-2勤務時間数入力'!$D$7:$Q$106,$L19,FALSE)</f>
        <v>#N/A</v>
      </c>
      <c r="T19" s="62" t="str">
        <f>IF(ISERROR(S19),"×",IF(S19="-","×","○"))</f>
        <v>×</v>
      </c>
    </row>
    <row r="20" spans="1:20" ht="13.5" hidden="1" customHeight="1">
      <c r="A20" s="844"/>
      <c r="B20" s="856"/>
      <c r="C20" s="283"/>
      <c r="D20" s="1" t="s">
        <v>275</v>
      </c>
      <c r="E20" s="60" t="s">
        <v>273</v>
      </c>
      <c r="F20" s="67"/>
      <c r="G20" s="441" t="s">
        <v>273</v>
      </c>
      <c r="H20" s="60" t="s">
        <v>273</v>
      </c>
      <c r="I20" s="60" t="s">
        <v>273</v>
      </c>
      <c r="J20" s="59" t="str">
        <f>IFERROR(IF(J16="","",MIN(SUM(J16:J19),(B16*I16))),0)</f>
        <v/>
      </c>
      <c r="K20" s="61"/>
      <c r="L20" s="62"/>
      <c r="M20" s="62"/>
      <c r="N20" s="62"/>
      <c r="O20" s="62"/>
      <c r="P20" s="62"/>
      <c r="Q20" s="62"/>
      <c r="R20" s="62"/>
      <c r="S20" s="62"/>
      <c r="T20" s="62"/>
    </row>
    <row r="21" spans="1:20" ht="13.5" hidden="1" customHeight="1">
      <c r="A21" s="843">
        <v>7</v>
      </c>
      <c r="B21" s="879" t="str">
        <f>IF(判定!AZ12&gt;=1,判定!AZ12,"-")</f>
        <v>-</v>
      </c>
      <c r="C21" s="879" t="str">
        <f>IF(B21&gt;=1,IFERROR(INDEX($F$81:$G$86,MATCH(判定!AR12,$F$81:$F$86,0),2),"-"),"-")</f>
        <v>-</v>
      </c>
      <c r="D21" s="138" t="str">
        <f>IF(D16="","",D16)</f>
        <v/>
      </c>
      <c r="E21" s="60" t="str">
        <f>IF(D21="","",IF(N21="○",M$5,IF(P21="○",O$5,IF(R21="○",Q$5,IF(T21="○",S$5,"ERROR")))))</f>
        <v/>
      </c>
      <c r="F21" s="59" t="str">
        <f>IF(D21="","",IF(N21="○",M21,IF(P21="○",O21,IF(R21="○",Q21,IF(T21="○",S21,"ERROR")))))</f>
        <v/>
      </c>
      <c r="G21" s="139" t="str">
        <f>IF($B21="","",IF($E21="正規職員","-",IF(AND(EXACT(B16,B21),EXACT(D16,D21),EXACT(E16,E21)),G16,"賃金単価を記載")))</f>
        <v/>
      </c>
      <c r="H21" s="59" t="str">
        <f t="shared" ref="H21:H22" si="20">IF($D21="","",IF($E21="正規職員","-",F21*G21))</f>
        <v/>
      </c>
      <c r="I21" s="59">
        <f t="shared" si="8"/>
        <v>271333.33333333401</v>
      </c>
      <c r="J21" s="59" t="str">
        <f>IF($D21="","",IF(E21="正規職員",I21,MIN(H21:I21)))</f>
        <v/>
      </c>
      <c r="K21" s="61" t="str">
        <f>IF(D21="","",IF(OR(COUNTIFS(D21,"*要配慮*")=1,COUNTIFS(D21,"*医療的ケア*")=1),"○","エラー"))</f>
        <v/>
      </c>
      <c r="L21" s="62">
        <f>L16+1</f>
        <v>6</v>
      </c>
      <c r="M21" s="62" t="e">
        <f>VLOOKUP($D21&amp;M$5,'②-2勤務時間数入力'!$D$7:$Q$106,$L21,FALSE)</f>
        <v>#N/A</v>
      </c>
      <c r="N21" s="62" t="str">
        <f>IF(ISERROR(M21),"×",IF(M21="-","×","○"))</f>
        <v>×</v>
      </c>
      <c r="O21" s="62" t="e">
        <f>VLOOKUP($D21&amp;O$5,'②-2勤務時間数入力'!$D$7:$Q$106,$L21,FALSE)</f>
        <v>#N/A</v>
      </c>
      <c r="P21" s="62" t="str">
        <f>IF(ISERROR(O21),"×",IF(O21="-","×","○"))</f>
        <v>×</v>
      </c>
      <c r="Q21" s="62" t="e">
        <f>VLOOKUP($D21&amp;Q$5,'②-2勤務時間数入力'!$D$7:$Q$106,$L21,FALSE)</f>
        <v>#N/A</v>
      </c>
      <c r="R21" s="62" t="str">
        <f>IF(ISERROR(Q21),"×",IF(Q21="-","×","○"))</f>
        <v>×</v>
      </c>
      <c r="S21" s="62" t="e">
        <f>VLOOKUP($D21&amp;S$5,'②-2勤務時間数入力'!$D$7:$Q$106,$L21,FALSE)</f>
        <v>#N/A</v>
      </c>
      <c r="T21" s="62" t="str">
        <f>IF(ISERROR(S21),"×",IF(S21="-","×","○"))</f>
        <v>×</v>
      </c>
    </row>
    <row r="22" spans="1:20" ht="13.5" hidden="1" customHeight="1">
      <c r="A22" s="854"/>
      <c r="B22" s="879"/>
      <c r="C22" s="879"/>
      <c r="D22" s="138" t="str">
        <f>IF(D17="","",D17)</f>
        <v/>
      </c>
      <c r="E22" s="60" t="str">
        <f t="shared" ref="E22:E24" si="21">IF(D22="","",IF(N22="○",M$5,IF(P22="○",O$5,IF(R22="○",Q$5,IF(T22="○",S$5,"ERROR")))))</f>
        <v/>
      </c>
      <c r="F22" s="59" t="str">
        <f t="shared" ref="F22:F24" si="22">IF(D22="","",IF(N22="○",M22,IF(P22="○",O22,IF(R22="○",Q22,IF(T22="○",S22,"ERROR")))))</f>
        <v/>
      </c>
      <c r="G22" s="139" t="str">
        <f>IF($B21="","",IF($E22="正規職員","-",IF(AND(EXACT(B16,B21),EXACT(D17,D22),EXACT(E17,E22)),G17,"賃金単価を記載")))</f>
        <v/>
      </c>
      <c r="H22" s="59" t="str">
        <f t="shared" si="20"/>
        <v/>
      </c>
      <c r="I22" s="59">
        <f t="shared" si="8"/>
        <v>271333.33333333401</v>
      </c>
      <c r="J22" s="59" t="str">
        <f t="shared" ref="J22:J24" si="23">IF($D22="","",IF(E22="正規職員",I22,MIN(H22:I22)))</f>
        <v/>
      </c>
      <c r="K22" s="61" t="str">
        <f t="shared" ref="K22:K24" si="24">IF(D22="","",IF(OR(COUNTIFS(D22,"*要配慮*")=1,COUNTIFS(D22,"*医療的ケア*")=1),"○","エラー"))</f>
        <v/>
      </c>
      <c r="L22" s="62">
        <f t="shared" ref="L22:L24" si="25">L21</f>
        <v>6</v>
      </c>
      <c r="M22" s="62" t="e">
        <f>VLOOKUP($D22&amp;M$5,'②-2勤務時間数入力'!$D$7:$Q$106,$L22,FALSE)</f>
        <v>#N/A</v>
      </c>
      <c r="N22" s="62" t="str">
        <f>IF(ISERROR(M22),"×",IF(M22="-","×","○"))</f>
        <v>×</v>
      </c>
      <c r="O22" s="62" t="e">
        <f>VLOOKUP($D22&amp;O$5,'②-2勤務時間数入力'!$D$7:$Q$106,$L22,FALSE)</f>
        <v>#N/A</v>
      </c>
      <c r="P22" s="62" t="str">
        <f>IF(ISERROR(O22),"×",IF(O22="-","×","○"))</f>
        <v>×</v>
      </c>
      <c r="Q22" s="62" t="e">
        <f>VLOOKUP($D22&amp;Q$5,'②-2勤務時間数入力'!$D$7:$Q$106,$L22,FALSE)</f>
        <v>#N/A</v>
      </c>
      <c r="R22" s="62" t="str">
        <f>IF(ISERROR(Q22),"×",IF(Q22="-","×","○"))</f>
        <v>×</v>
      </c>
      <c r="S22" s="62" t="e">
        <f>VLOOKUP($D22&amp;S$5,'②-2勤務時間数入力'!$D$7:$Q$106,$L22,FALSE)</f>
        <v>#N/A</v>
      </c>
      <c r="T22" s="62" t="str">
        <f>IF(ISERROR(S22),"×",IF(S22="-","×","○"))</f>
        <v>×</v>
      </c>
    </row>
    <row r="23" spans="1:20" ht="13.5" hidden="1" customHeight="1">
      <c r="A23" s="854"/>
      <c r="B23" s="879"/>
      <c r="C23" s="879" t="str">
        <f>IF(B21&gt;=1,IFERROR(INDEX($F$81:$G$86,MATCH(判定!AS12,$F$81:$F$86,0),2),"-"),"-")</f>
        <v>-</v>
      </c>
      <c r="D23" s="138" t="str">
        <f>IF(D18="","",D18)</f>
        <v/>
      </c>
      <c r="E23" s="60" t="str">
        <f t="shared" si="21"/>
        <v/>
      </c>
      <c r="F23" s="59" t="str">
        <f t="shared" si="22"/>
        <v/>
      </c>
      <c r="G23" s="139" t="str">
        <f>IF($B21="","",IF($E23="正規職員","-",IF(AND(EXACT(B16,B21),EXACT(D18,D23),EXACT(E18,E23)),G18,"賃金単価を記載")))</f>
        <v/>
      </c>
      <c r="H23" s="59" t="str">
        <f>IF($D23="","",IF($E23="正規職員","-",F23*G23))</f>
        <v/>
      </c>
      <c r="I23" s="59">
        <f t="shared" si="8"/>
        <v>271333.33333333401</v>
      </c>
      <c r="J23" s="59" t="str">
        <f t="shared" si="23"/>
        <v/>
      </c>
      <c r="K23" s="61" t="str">
        <f t="shared" si="24"/>
        <v/>
      </c>
      <c r="L23" s="62">
        <f t="shared" si="25"/>
        <v>6</v>
      </c>
      <c r="M23" s="62" t="e">
        <f>VLOOKUP($D23&amp;M$5,'②-2勤務時間数入力'!$D$7:$Q$106,$L23,FALSE)</f>
        <v>#N/A</v>
      </c>
      <c r="N23" s="62" t="str">
        <f>IF(ISERROR(M23),"×",IF(M23="-","×","○"))</f>
        <v>×</v>
      </c>
      <c r="O23" s="62" t="e">
        <f>VLOOKUP($D23&amp;O$5,'②-2勤務時間数入力'!$D$7:$Q$106,$L23,FALSE)</f>
        <v>#N/A</v>
      </c>
      <c r="P23" s="62" t="str">
        <f>IF(ISERROR(O23),"×",IF(O23="-","×","○"))</f>
        <v>×</v>
      </c>
      <c r="Q23" s="62" t="e">
        <f>VLOOKUP($D23&amp;Q$5,'②-2勤務時間数入力'!$D$7:$Q$106,$L23,FALSE)</f>
        <v>#N/A</v>
      </c>
      <c r="R23" s="62" t="str">
        <f>IF(ISERROR(Q23),"×",IF(Q23="-","×","○"))</f>
        <v>×</v>
      </c>
      <c r="S23" s="62" t="e">
        <f>VLOOKUP($D23&amp;S$5,'②-2勤務時間数入力'!$D$7:$Q$106,$L23,FALSE)</f>
        <v>#N/A</v>
      </c>
      <c r="T23" s="62" t="str">
        <f>IF(ISERROR(S23),"×",IF(S23="-","×","○"))</f>
        <v>×</v>
      </c>
    </row>
    <row r="24" spans="1:20" ht="13.5" hidden="1" customHeight="1">
      <c r="A24" s="878"/>
      <c r="B24" s="879"/>
      <c r="C24" s="879"/>
      <c r="D24" s="138" t="str">
        <f>IF(D19="","",D19)</f>
        <v/>
      </c>
      <c r="E24" s="60" t="str">
        <f t="shared" si="21"/>
        <v/>
      </c>
      <c r="F24" s="59" t="str">
        <f t="shared" si="22"/>
        <v/>
      </c>
      <c r="G24" s="139" t="str">
        <f>IF($B21="","",IF($E24="正規職員","-",IF(AND(EXACT(B16,B21),EXACT(D19,D24),EXACT(E19,E24)),G19,"賃金単価を記載")))</f>
        <v/>
      </c>
      <c r="H24" s="59" t="str">
        <f>IF($D24="","",IF($E24="正規職員","-",F24*G24))</f>
        <v/>
      </c>
      <c r="I24" s="59">
        <f t="shared" si="8"/>
        <v>271333.33333333401</v>
      </c>
      <c r="J24" s="59" t="str">
        <f t="shared" si="23"/>
        <v/>
      </c>
      <c r="K24" s="61" t="str">
        <f t="shared" si="24"/>
        <v/>
      </c>
      <c r="L24" s="62">
        <f t="shared" si="25"/>
        <v>6</v>
      </c>
      <c r="M24" s="62" t="e">
        <f>VLOOKUP($D24&amp;M$5,'②-2勤務時間数入力'!$D$7:$Q$106,$L24,FALSE)</f>
        <v>#N/A</v>
      </c>
      <c r="N24" s="62" t="str">
        <f>IF(ISERROR(M24),"×",IF(M24="-","×","○"))</f>
        <v>×</v>
      </c>
      <c r="O24" s="62" t="e">
        <f>VLOOKUP($D24&amp;O$5,'②-2勤務時間数入力'!$D$7:$Q$106,$L24,FALSE)</f>
        <v>#N/A</v>
      </c>
      <c r="P24" s="62" t="str">
        <f>IF(ISERROR(O24),"×",IF(O24="-","×","○"))</f>
        <v>×</v>
      </c>
      <c r="Q24" s="62" t="e">
        <f>VLOOKUP($D24&amp;Q$5,'②-2勤務時間数入力'!$D$7:$Q$106,$L24,FALSE)</f>
        <v>#N/A</v>
      </c>
      <c r="R24" s="62" t="str">
        <f>IF(ISERROR(Q24),"×",IF(Q24="-","×","○"))</f>
        <v>×</v>
      </c>
      <c r="S24" s="62" t="e">
        <f>VLOOKUP($D24&amp;S$5,'②-2勤務時間数入力'!$D$7:$Q$106,$L24,FALSE)</f>
        <v>#N/A</v>
      </c>
      <c r="T24" s="62" t="str">
        <f>IF(ISERROR(S24),"×",IF(S24="-","×","○"))</f>
        <v>×</v>
      </c>
    </row>
    <row r="25" spans="1:20" ht="13.5" hidden="1" customHeight="1">
      <c r="A25" s="844"/>
      <c r="B25" s="856"/>
      <c r="C25" s="283"/>
      <c r="D25" s="1" t="s">
        <v>276</v>
      </c>
      <c r="E25" s="60" t="s">
        <v>273</v>
      </c>
      <c r="F25" s="67"/>
      <c r="G25" s="441" t="s">
        <v>273</v>
      </c>
      <c r="H25" s="60" t="s">
        <v>273</v>
      </c>
      <c r="I25" s="60" t="s">
        <v>273</v>
      </c>
      <c r="J25" s="59" t="str">
        <f>IFERROR(IF(J21="","",MIN(SUM(J21:J24),(B21*I21))),0)</f>
        <v/>
      </c>
      <c r="K25" s="61"/>
      <c r="L25" s="62"/>
      <c r="M25" s="62"/>
      <c r="N25" s="62"/>
      <c r="O25" s="62"/>
      <c r="P25" s="62"/>
      <c r="Q25" s="62"/>
      <c r="R25" s="62"/>
      <c r="S25" s="62"/>
      <c r="T25" s="62"/>
    </row>
    <row r="26" spans="1:20" ht="13.5" hidden="1" customHeight="1">
      <c r="A26" s="843">
        <v>8</v>
      </c>
      <c r="B26" s="879" t="str">
        <f>IF(判定!AZ13&gt;=1,判定!AZ13,"-")</f>
        <v>-</v>
      </c>
      <c r="C26" s="879" t="str">
        <f>IF(B26&gt;=1,IFERROR(INDEX($F$81:$G$86,MATCH(判定!AR13,$F$81:$F$86,0),2),"-"),"-")</f>
        <v>-</v>
      </c>
      <c r="D26" s="138" t="str">
        <f>IF(D21="","",D21)</f>
        <v/>
      </c>
      <c r="E26" s="60" t="str">
        <f>IF(D26="","",IF(N26="○",M$5,IF(P26="○",O$5,IF(R26="○",Q$5,IF(T26="○",S$5,"ERROR")))))</f>
        <v/>
      </c>
      <c r="F26" s="59" t="str">
        <f>IF(D26="","",IF(N26="○",M26,IF(P26="○",O26,IF(R26="○",Q26,IF(T26="○",S26,"ERROR")))))</f>
        <v/>
      </c>
      <c r="G26" s="139" t="str">
        <f>IF($B26="","",IF($E26="正規職員","-",IF(AND(EXACT(B21,B26),EXACT(D21,D26),EXACT(E21,E26)),G21,"賃金単価を記載")))</f>
        <v/>
      </c>
      <c r="H26" s="59" t="str">
        <f t="shared" ref="H26:H27" si="26">IF($D26="","",IF($E26="正規職員","-",F26*G26))</f>
        <v/>
      </c>
      <c r="I26" s="59">
        <f t="shared" si="8"/>
        <v>271333.33333333401</v>
      </c>
      <c r="J26" s="59" t="str">
        <f>IF($D26="","",IF(E26="正規職員",I26,MIN(H26:I26)))</f>
        <v/>
      </c>
      <c r="K26" s="61" t="str">
        <f>IF(D26="","",IF(OR(COUNTIFS(D26,"*要配慮*")=1,COUNTIFS(D26,"*医療的ケア*")=1),"○","エラー"))</f>
        <v/>
      </c>
      <c r="L26" s="62">
        <f>L21+1</f>
        <v>7</v>
      </c>
      <c r="M26" s="62" t="e">
        <f>VLOOKUP($D26&amp;M$5,'②-2勤務時間数入力'!$D$7:$Q$106,$L26,FALSE)</f>
        <v>#N/A</v>
      </c>
      <c r="N26" s="62" t="str">
        <f>IF(ISERROR(M26),"×",IF(M26="-","×","○"))</f>
        <v>×</v>
      </c>
      <c r="O26" s="62" t="e">
        <f>VLOOKUP($D26&amp;O$5,'②-2勤務時間数入力'!$D$7:$Q$106,$L26,FALSE)</f>
        <v>#N/A</v>
      </c>
      <c r="P26" s="62" t="str">
        <f>IF(ISERROR(O26),"×",IF(O26="-","×","○"))</f>
        <v>×</v>
      </c>
      <c r="Q26" s="62" t="e">
        <f>VLOOKUP($D26&amp;Q$5,'②-2勤務時間数入力'!$D$7:$Q$106,$L26,FALSE)</f>
        <v>#N/A</v>
      </c>
      <c r="R26" s="62" t="str">
        <f>IF(ISERROR(Q26),"×",IF(Q26="-","×","○"))</f>
        <v>×</v>
      </c>
      <c r="S26" s="62" t="e">
        <f>VLOOKUP($D26&amp;S$5,'②-2勤務時間数入力'!$D$7:$Q$106,$L26,FALSE)</f>
        <v>#N/A</v>
      </c>
      <c r="T26" s="62" t="str">
        <f>IF(ISERROR(S26),"×",IF(S26="-","×","○"))</f>
        <v>×</v>
      </c>
    </row>
    <row r="27" spans="1:20" ht="13.5" hidden="1" customHeight="1">
      <c r="A27" s="854"/>
      <c r="B27" s="879"/>
      <c r="C27" s="879"/>
      <c r="D27" s="138" t="str">
        <f>IF(D22="","",D22)</f>
        <v/>
      </c>
      <c r="E27" s="60" t="str">
        <f t="shared" ref="E27:E29" si="27">IF(D27="","",IF(N27="○",M$5,IF(P27="○",O$5,IF(R27="○",Q$5,IF(T27="○",S$5,"ERROR")))))</f>
        <v/>
      </c>
      <c r="F27" s="59" t="str">
        <f t="shared" ref="F27:F29" si="28">IF(D27="","",IF(N27="○",M27,IF(P27="○",O27,IF(R27="○",Q27,IF(T27="○",S27,"ERROR")))))</f>
        <v/>
      </c>
      <c r="G27" s="139" t="str">
        <f>IF($B26="","",IF($E27="正規職員","-",IF(AND(EXACT(B21,B26),EXACT(D22,D27),EXACT(E22,E27)),G22,"賃金単価を記載")))</f>
        <v/>
      </c>
      <c r="H27" s="59" t="str">
        <f t="shared" si="26"/>
        <v/>
      </c>
      <c r="I27" s="59">
        <f t="shared" si="8"/>
        <v>271333.33333333401</v>
      </c>
      <c r="J27" s="59" t="str">
        <f t="shared" ref="J27:J29" si="29">IF($D27="","",IF(E27="正規職員",I27,MIN(H27:I27)))</f>
        <v/>
      </c>
      <c r="K27" s="61" t="str">
        <f t="shared" ref="K27:K29" si="30">IF(D27="","",IF(OR(COUNTIFS(D27,"*要配慮*")=1,COUNTIFS(D27,"*医療的ケア*")=1),"○","エラー"))</f>
        <v/>
      </c>
      <c r="L27" s="62">
        <f t="shared" ref="L27:L29" si="31">L26</f>
        <v>7</v>
      </c>
      <c r="M27" s="62" t="e">
        <f>VLOOKUP($D27&amp;M$5,'②-2勤務時間数入力'!$D$7:$Q$106,$L27,FALSE)</f>
        <v>#N/A</v>
      </c>
      <c r="N27" s="62" t="str">
        <f>IF(ISERROR(M27),"×",IF(M27="-","×","○"))</f>
        <v>×</v>
      </c>
      <c r="O27" s="62" t="e">
        <f>VLOOKUP($D27&amp;O$5,'②-2勤務時間数入力'!$D$7:$Q$106,$L27,FALSE)</f>
        <v>#N/A</v>
      </c>
      <c r="P27" s="62" t="str">
        <f>IF(ISERROR(O27),"×",IF(O27="-","×","○"))</f>
        <v>×</v>
      </c>
      <c r="Q27" s="62" t="e">
        <f>VLOOKUP($D27&amp;Q$5,'②-2勤務時間数入力'!$D$7:$Q$106,$L27,FALSE)</f>
        <v>#N/A</v>
      </c>
      <c r="R27" s="62" t="str">
        <f>IF(ISERROR(Q27),"×",IF(Q27="-","×","○"))</f>
        <v>×</v>
      </c>
      <c r="S27" s="62" t="e">
        <f>VLOOKUP($D27&amp;S$5,'②-2勤務時間数入力'!$D$7:$Q$106,$L27,FALSE)</f>
        <v>#N/A</v>
      </c>
      <c r="T27" s="62" t="str">
        <f>IF(ISERROR(S27),"×",IF(S27="-","×","○"))</f>
        <v>×</v>
      </c>
    </row>
    <row r="28" spans="1:20" ht="13.5" hidden="1" customHeight="1">
      <c r="A28" s="854"/>
      <c r="B28" s="879"/>
      <c r="C28" s="879" t="str">
        <f>IF(B26&gt;=1,IFERROR(INDEX($F$81:$G$86,MATCH(判定!AS13,$F$81:$F$86,0),2),"-"),"-")</f>
        <v>-</v>
      </c>
      <c r="D28" s="138" t="str">
        <f>IF(D23="","",D23)</f>
        <v/>
      </c>
      <c r="E28" s="60" t="str">
        <f t="shared" si="27"/>
        <v/>
      </c>
      <c r="F28" s="59" t="str">
        <f t="shared" si="28"/>
        <v/>
      </c>
      <c r="G28" s="139" t="str">
        <f>IF($B26="","",IF($E28="正規職員","-",IF(AND(EXACT(B21,B26),EXACT(D23,D28),EXACT(E23,E28)),G23,"賃金単価を記載")))</f>
        <v/>
      </c>
      <c r="H28" s="59" t="str">
        <f>IF($D28="","",IF($E28="正規職員","-",F28*G28))</f>
        <v/>
      </c>
      <c r="I28" s="59">
        <f t="shared" si="8"/>
        <v>271333.33333333401</v>
      </c>
      <c r="J28" s="59" t="str">
        <f t="shared" si="29"/>
        <v/>
      </c>
      <c r="K28" s="61" t="str">
        <f t="shared" si="30"/>
        <v/>
      </c>
      <c r="L28" s="62">
        <f t="shared" si="31"/>
        <v>7</v>
      </c>
      <c r="M28" s="62" t="e">
        <f>VLOOKUP($D28&amp;M$5,'②-2勤務時間数入力'!$D$7:$Q$106,$L28,FALSE)</f>
        <v>#N/A</v>
      </c>
      <c r="N28" s="62" t="str">
        <f>IF(ISERROR(M28),"×",IF(M28="-","×","○"))</f>
        <v>×</v>
      </c>
      <c r="O28" s="62" t="e">
        <f>VLOOKUP($D28&amp;O$5,'②-2勤務時間数入力'!$D$7:$Q$106,$L28,FALSE)</f>
        <v>#N/A</v>
      </c>
      <c r="P28" s="62" t="str">
        <f>IF(ISERROR(O28),"×",IF(O28="-","×","○"))</f>
        <v>×</v>
      </c>
      <c r="Q28" s="62" t="e">
        <f>VLOOKUP($D28&amp;Q$5,'②-2勤務時間数入力'!$D$7:$Q$106,$L28,FALSE)</f>
        <v>#N/A</v>
      </c>
      <c r="R28" s="62" t="str">
        <f>IF(ISERROR(Q28),"×",IF(Q28="-","×","○"))</f>
        <v>×</v>
      </c>
      <c r="S28" s="62" t="e">
        <f>VLOOKUP($D28&amp;S$5,'②-2勤務時間数入力'!$D$7:$Q$106,$L28,FALSE)</f>
        <v>#N/A</v>
      </c>
      <c r="T28" s="62" t="str">
        <f>IF(ISERROR(S28),"×",IF(S28="-","×","○"))</f>
        <v>×</v>
      </c>
    </row>
    <row r="29" spans="1:20" ht="13.5" hidden="1" customHeight="1">
      <c r="A29" s="878"/>
      <c r="B29" s="879"/>
      <c r="C29" s="879"/>
      <c r="D29" s="138" t="str">
        <f>IF(D24="","",D24)</f>
        <v/>
      </c>
      <c r="E29" s="60" t="str">
        <f t="shared" si="27"/>
        <v/>
      </c>
      <c r="F29" s="59" t="str">
        <f t="shared" si="28"/>
        <v/>
      </c>
      <c r="G29" s="139" t="str">
        <f>IF($B26="","",IF($E29="正規職員","-",IF(AND(EXACT(B21,B26),EXACT(D24,D29),EXACT(E24,E29)),G24,"賃金単価を記載")))</f>
        <v/>
      </c>
      <c r="H29" s="59" t="str">
        <f>IF($D29="","",IF($E29="正規職員","-",F29*G29))</f>
        <v/>
      </c>
      <c r="I29" s="59">
        <f t="shared" si="8"/>
        <v>271333.33333333401</v>
      </c>
      <c r="J29" s="59" t="str">
        <f t="shared" si="29"/>
        <v/>
      </c>
      <c r="K29" s="61" t="str">
        <f t="shared" si="30"/>
        <v/>
      </c>
      <c r="L29" s="62">
        <f t="shared" si="31"/>
        <v>7</v>
      </c>
      <c r="M29" s="62" t="e">
        <f>VLOOKUP($D29&amp;M$5,'②-2勤務時間数入力'!$D$7:$Q$106,$L29,FALSE)</f>
        <v>#N/A</v>
      </c>
      <c r="N29" s="62" t="str">
        <f>IF(ISERROR(M29),"×",IF(M29="-","×","○"))</f>
        <v>×</v>
      </c>
      <c r="O29" s="62" t="e">
        <f>VLOOKUP($D29&amp;O$5,'②-2勤務時間数入力'!$D$7:$Q$106,$L29,FALSE)</f>
        <v>#N/A</v>
      </c>
      <c r="P29" s="62" t="str">
        <f>IF(ISERROR(O29),"×",IF(O29="-","×","○"))</f>
        <v>×</v>
      </c>
      <c r="Q29" s="62" t="e">
        <f>VLOOKUP($D29&amp;Q$5,'②-2勤務時間数入力'!$D$7:$Q$106,$L29,FALSE)</f>
        <v>#N/A</v>
      </c>
      <c r="R29" s="62" t="str">
        <f>IF(ISERROR(Q29),"×",IF(Q29="-","×","○"))</f>
        <v>×</v>
      </c>
      <c r="S29" s="62" t="e">
        <f>VLOOKUP($D29&amp;S$5,'②-2勤務時間数入力'!$D$7:$Q$106,$L29,FALSE)</f>
        <v>#N/A</v>
      </c>
      <c r="T29" s="62" t="str">
        <f>IF(ISERROR(S29),"×",IF(S29="-","×","○"))</f>
        <v>×</v>
      </c>
    </row>
    <row r="30" spans="1:20" ht="13.5" hidden="1" customHeight="1">
      <c r="A30" s="844"/>
      <c r="B30" s="856"/>
      <c r="C30" s="283"/>
      <c r="D30" s="1" t="s">
        <v>277</v>
      </c>
      <c r="E30" s="60" t="s">
        <v>273</v>
      </c>
      <c r="F30" s="67"/>
      <c r="G30" s="441" t="s">
        <v>273</v>
      </c>
      <c r="H30" s="60" t="s">
        <v>273</v>
      </c>
      <c r="I30" s="60" t="s">
        <v>273</v>
      </c>
      <c r="J30" s="59" t="str">
        <f>IFERROR(IF(J26="","",MIN(SUM(J26:J29),(B26*I26))),0)</f>
        <v/>
      </c>
      <c r="K30" s="61"/>
      <c r="L30" s="62"/>
      <c r="M30" s="62"/>
      <c r="N30" s="62"/>
      <c r="O30" s="62"/>
      <c r="P30" s="62"/>
      <c r="Q30" s="62"/>
      <c r="R30" s="62"/>
      <c r="S30" s="62"/>
      <c r="T30" s="62"/>
    </row>
    <row r="31" spans="1:20" ht="13.5" hidden="1" customHeight="1">
      <c r="A31" s="843">
        <v>9</v>
      </c>
      <c r="B31" s="879" t="str">
        <f>IF(判定!AZ14&gt;=1,判定!AZ14,"-")</f>
        <v>-</v>
      </c>
      <c r="C31" s="879" t="str">
        <f>IF(B31&gt;=1,IFERROR(INDEX($F$81:$G$86,MATCH(判定!AR14,$F$81:$F$86,0),2),"-"),"-")</f>
        <v>-</v>
      </c>
      <c r="D31" s="138" t="str">
        <f>IF(D26="","",D26)</f>
        <v/>
      </c>
      <c r="E31" s="60" t="str">
        <f>IF(D31="","",IF(N31="○",M$5,IF(P31="○",O$5,IF(R31="○",Q$5,IF(T31="○",S$5,"ERROR")))))</f>
        <v/>
      </c>
      <c r="F31" s="59" t="str">
        <f>IF(D31="","",IF(N31="○",M31,IF(P31="○",O31,IF(R31="○",Q31,IF(T31="○",S31,"ERROR")))))</f>
        <v/>
      </c>
      <c r="G31" s="139" t="str">
        <f>IF($B31="","",IF($E31="正規職員","-",IF(AND(EXACT(B26,B31),EXACT(D26,D31),EXACT(E26,E31)),G26,"賃金単価を記載")))</f>
        <v/>
      </c>
      <c r="H31" s="59" t="str">
        <f t="shared" ref="H31:H32" si="32">IF($D31="","",IF($E31="正規職員","-",F31*G31))</f>
        <v/>
      </c>
      <c r="I31" s="59">
        <f t="shared" si="8"/>
        <v>271333.33333333401</v>
      </c>
      <c r="J31" s="59" t="str">
        <f>IF($D31="","",IF(E31="正規職員",I31,MIN(H31:I31)))</f>
        <v/>
      </c>
      <c r="K31" s="61" t="str">
        <f>IF(D31="","",IF(OR(COUNTIFS(D31,"*要配慮*")=1,COUNTIFS(D31,"*医療的ケア*")=1),"○","エラー"))</f>
        <v/>
      </c>
      <c r="L31" s="62">
        <f>L26+1</f>
        <v>8</v>
      </c>
      <c r="M31" s="62" t="e">
        <f>VLOOKUP($D31&amp;M$5,'②-2勤務時間数入力'!$D$7:$Q$106,$L31,FALSE)</f>
        <v>#N/A</v>
      </c>
      <c r="N31" s="62" t="str">
        <f>IF(ISERROR(M31),"×",IF(M31="-","×","○"))</f>
        <v>×</v>
      </c>
      <c r="O31" s="62" t="e">
        <f>VLOOKUP($D31&amp;O$5,'②-2勤務時間数入力'!$D$7:$Q$106,$L31,FALSE)</f>
        <v>#N/A</v>
      </c>
      <c r="P31" s="62" t="str">
        <f>IF(ISERROR(O31),"×",IF(O31="-","×","○"))</f>
        <v>×</v>
      </c>
      <c r="Q31" s="62" t="e">
        <f>VLOOKUP($D31&amp;Q$5,'②-2勤務時間数入力'!$D$7:$Q$106,$L31,FALSE)</f>
        <v>#N/A</v>
      </c>
      <c r="R31" s="62" t="str">
        <f>IF(ISERROR(Q31),"×",IF(Q31="-","×","○"))</f>
        <v>×</v>
      </c>
      <c r="S31" s="62" t="e">
        <f>VLOOKUP($D31&amp;S$5,'②-2勤務時間数入力'!$D$7:$Q$106,$L31,FALSE)</f>
        <v>#N/A</v>
      </c>
      <c r="T31" s="62" t="str">
        <f>IF(ISERROR(S31),"×",IF(S31="-","×","○"))</f>
        <v>×</v>
      </c>
    </row>
    <row r="32" spans="1:20" ht="13.5" hidden="1" customHeight="1">
      <c r="A32" s="854"/>
      <c r="B32" s="879"/>
      <c r="C32" s="879"/>
      <c r="D32" s="138" t="str">
        <f>IF(D27="","",D27)</f>
        <v/>
      </c>
      <c r="E32" s="60" t="str">
        <f t="shared" ref="E32:E34" si="33">IF(D32="","",IF(N32="○",M$5,IF(P32="○",O$5,IF(R32="○",Q$5,IF(T32="○",S$5,"ERROR")))))</f>
        <v/>
      </c>
      <c r="F32" s="59" t="str">
        <f t="shared" ref="F32:F34" si="34">IF(D32="","",IF(N32="○",M32,IF(P32="○",O32,IF(R32="○",Q32,IF(T32="○",S32,"ERROR")))))</f>
        <v/>
      </c>
      <c r="G32" s="139" t="str">
        <f>IF($B31="","",IF($E32="正規職員","-",IF(AND(EXACT(B26,B31),EXACT(D27,D32),EXACT(E27,E32)),G27,"賃金単価を記載")))</f>
        <v/>
      </c>
      <c r="H32" s="59" t="str">
        <f t="shared" si="32"/>
        <v/>
      </c>
      <c r="I32" s="59">
        <f t="shared" si="8"/>
        <v>271333.33333333401</v>
      </c>
      <c r="J32" s="59" t="str">
        <f t="shared" ref="J32:J34" si="35">IF($D32="","",IF(E32="正規職員",I32,MIN(H32:I32)))</f>
        <v/>
      </c>
      <c r="K32" s="61" t="str">
        <f t="shared" ref="K32:K34" si="36">IF(D32="","",IF(OR(COUNTIFS(D32,"*要配慮*")=1,COUNTIFS(D32,"*医療的ケア*")=1),"○","エラー"))</f>
        <v/>
      </c>
      <c r="L32" s="62">
        <f>L31</f>
        <v>8</v>
      </c>
      <c r="M32" s="62" t="e">
        <f>VLOOKUP($D32&amp;M$5,'②-2勤務時間数入力'!$D$7:$Q$106,$L32,FALSE)</f>
        <v>#N/A</v>
      </c>
      <c r="N32" s="62" t="str">
        <f>IF(ISERROR(M32),"×",IF(M32="-","×","○"))</f>
        <v>×</v>
      </c>
      <c r="O32" s="62" t="e">
        <f>VLOOKUP($D32&amp;O$5,'②-2勤務時間数入力'!$D$7:$Q$106,$L32,FALSE)</f>
        <v>#N/A</v>
      </c>
      <c r="P32" s="62" t="str">
        <f>IF(ISERROR(O32),"×",IF(O32="-","×","○"))</f>
        <v>×</v>
      </c>
      <c r="Q32" s="62" t="e">
        <f>VLOOKUP($D32&amp;Q$5,'②-2勤務時間数入力'!$D$7:$Q$106,$L32,FALSE)</f>
        <v>#N/A</v>
      </c>
      <c r="R32" s="62" t="str">
        <f>IF(ISERROR(Q32),"×",IF(Q32="-","×","○"))</f>
        <v>×</v>
      </c>
      <c r="S32" s="62" t="e">
        <f>VLOOKUP($D32&amp;S$5,'②-2勤務時間数入力'!$D$7:$Q$106,$L32,FALSE)</f>
        <v>#N/A</v>
      </c>
      <c r="T32" s="62" t="str">
        <f>IF(ISERROR(S32),"×",IF(S32="-","×","○"))</f>
        <v>×</v>
      </c>
    </row>
    <row r="33" spans="1:20" ht="13.5" hidden="1" customHeight="1">
      <c r="A33" s="854"/>
      <c r="B33" s="879"/>
      <c r="C33" s="879" t="str">
        <f>IF(B31&gt;=1,IFERROR(INDEX($F$81:$G$86,MATCH(判定!AS14,$F$81:$F$86,0),2),"-"),"-")</f>
        <v>-</v>
      </c>
      <c r="D33" s="138" t="str">
        <f>IF(D28="","",D28)</f>
        <v/>
      </c>
      <c r="E33" s="60" t="str">
        <f t="shared" si="33"/>
        <v/>
      </c>
      <c r="F33" s="59" t="str">
        <f t="shared" si="34"/>
        <v/>
      </c>
      <c r="G33" s="139" t="str">
        <f>IF($B31="","",IF($E33="正規職員","-",IF(AND(EXACT(B26,B31),EXACT(D28,D33),EXACT(E28,E33)),G28,"賃金単価を記載")))</f>
        <v/>
      </c>
      <c r="H33" s="59" t="str">
        <f>IF($D33="","",IF($E33="正規職員","-",F33*G33))</f>
        <v/>
      </c>
      <c r="I33" s="59">
        <f t="shared" si="8"/>
        <v>271333.33333333401</v>
      </c>
      <c r="J33" s="59" t="str">
        <f t="shared" si="35"/>
        <v/>
      </c>
      <c r="K33" s="61" t="str">
        <f t="shared" si="36"/>
        <v/>
      </c>
      <c r="L33" s="62">
        <f t="shared" ref="L33:L34" si="37">L32</f>
        <v>8</v>
      </c>
      <c r="M33" s="62" t="e">
        <f>VLOOKUP($D33&amp;M$5,'②-2勤務時間数入力'!$D$7:$Q$106,$L33,FALSE)</f>
        <v>#N/A</v>
      </c>
      <c r="N33" s="62" t="str">
        <f>IF(ISERROR(M33),"×",IF(M33="-","×","○"))</f>
        <v>×</v>
      </c>
      <c r="O33" s="62" t="e">
        <f>VLOOKUP($D33&amp;O$5,'②-2勤務時間数入力'!$D$7:$Q$106,$L33,FALSE)</f>
        <v>#N/A</v>
      </c>
      <c r="P33" s="62" t="str">
        <f>IF(ISERROR(O33),"×",IF(O33="-","×","○"))</f>
        <v>×</v>
      </c>
      <c r="Q33" s="62" t="e">
        <f>VLOOKUP($D33&amp;Q$5,'②-2勤務時間数入力'!$D$7:$Q$106,$L33,FALSE)</f>
        <v>#N/A</v>
      </c>
      <c r="R33" s="62" t="str">
        <f>IF(ISERROR(Q33),"×",IF(Q33="-","×","○"))</f>
        <v>×</v>
      </c>
      <c r="S33" s="62" t="e">
        <f>VLOOKUP($D33&amp;S$5,'②-2勤務時間数入力'!$D$7:$Q$106,$L33,FALSE)</f>
        <v>#N/A</v>
      </c>
      <c r="T33" s="62" t="str">
        <f>IF(ISERROR(S33),"×",IF(S33="-","×","○"))</f>
        <v>×</v>
      </c>
    </row>
    <row r="34" spans="1:20" ht="13.5" hidden="1" customHeight="1">
      <c r="A34" s="878"/>
      <c r="B34" s="879"/>
      <c r="C34" s="879"/>
      <c r="D34" s="138" t="str">
        <f>IF(D29="","",D29)</f>
        <v/>
      </c>
      <c r="E34" s="60" t="str">
        <f t="shared" si="33"/>
        <v/>
      </c>
      <c r="F34" s="59" t="str">
        <f t="shared" si="34"/>
        <v/>
      </c>
      <c r="G34" s="139" t="str">
        <f>IF($B31="","",IF($E34="正規職員","-",IF(AND(EXACT(B26,B31),EXACT(D29,D34),EXACT(E29,E34)),G29,"賃金単価を記載")))</f>
        <v/>
      </c>
      <c r="H34" s="59" t="str">
        <f>IF($D34="","",IF($E34="正規職員","-",F34*G34))</f>
        <v/>
      </c>
      <c r="I34" s="59">
        <f t="shared" si="8"/>
        <v>271333.33333333401</v>
      </c>
      <c r="J34" s="59" t="str">
        <f t="shared" si="35"/>
        <v/>
      </c>
      <c r="K34" s="61" t="str">
        <f t="shared" si="36"/>
        <v/>
      </c>
      <c r="L34" s="62">
        <f t="shared" si="37"/>
        <v>8</v>
      </c>
      <c r="M34" s="62" t="e">
        <f>VLOOKUP($D34&amp;M$5,'②-2勤務時間数入力'!$D$7:$Q$106,$L34,FALSE)</f>
        <v>#N/A</v>
      </c>
      <c r="N34" s="62" t="str">
        <f>IF(ISERROR(M34),"×",IF(M34="-","×","○"))</f>
        <v>×</v>
      </c>
      <c r="O34" s="62" t="e">
        <f>VLOOKUP($D34&amp;O$5,'②-2勤務時間数入力'!$D$7:$Q$106,$L34,FALSE)</f>
        <v>#N/A</v>
      </c>
      <c r="P34" s="62" t="str">
        <f>IF(ISERROR(O34),"×",IF(O34="-","×","○"))</f>
        <v>×</v>
      </c>
      <c r="Q34" s="62" t="e">
        <f>VLOOKUP($D34&amp;Q$5,'②-2勤務時間数入力'!$D$7:$Q$106,$L34,FALSE)</f>
        <v>#N/A</v>
      </c>
      <c r="R34" s="62" t="str">
        <f>IF(ISERROR(Q34),"×",IF(Q34="-","×","○"))</f>
        <v>×</v>
      </c>
      <c r="S34" s="62" t="e">
        <f>VLOOKUP($D34&amp;S$5,'②-2勤務時間数入力'!$D$7:$Q$106,$L34,FALSE)</f>
        <v>#N/A</v>
      </c>
      <c r="T34" s="62" t="str">
        <f>IF(ISERROR(S34),"×",IF(S34="-","×","○"))</f>
        <v>×</v>
      </c>
    </row>
    <row r="35" spans="1:20" ht="13.5" hidden="1" customHeight="1">
      <c r="A35" s="844"/>
      <c r="B35" s="856"/>
      <c r="C35" s="283"/>
      <c r="D35" s="1" t="s">
        <v>278</v>
      </c>
      <c r="E35" s="60" t="s">
        <v>273</v>
      </c>
      <c r="F35" s="67"/>
      <c r="G35" s="441" t="s">
        <v>273</v>
      </c>
      <c r="H35" s="60" t="s">
        <v>273</v>
      </c>
      <c r="I35" s="60" t="s">
        <v>273</v>
      </c>
      <c r="J35" s="59" t="str">
        <f>IFERROR(IF(J31="","",MIN(SUM(J31:J34),(B31*I31))),0)</f>
        <v/>
      </c>
      <c r="K35" s="61"/>
      <c r="L35" s="62"/>
      <c r="M35" s="62"/>
      <c r="N35" s="62"/>
      <c r="O35" s="62"/>
      <c r="P35" s="62"/>
      <c r="Q35" s="62"/>
      <c r="R35" s="62"/>
      <c r="S35" s="62"/>
      <c r="T35" s="62"/>
    </row>
    <row r="36" spans="1:20" ht="13.5" hidden="1" customHeight="1">
      <c r="A36" s="843">
        <v>10</v>
      </c>
      <c r="B36" s="856" t="str">
        <f>IF(判定!AZ15&gt;=1,判定!AZ15,"-")</f>
        <v>-</v>
      </c>
      <c r="C36" s="856" t="str">
        <f>IF(B36&gt;=1,IFERROR(INDEX($F$81:$G$86,MATCH(判定!AR15,$F$81:$F$86,0),2),"-"),"-")</f>
        <v>-</v>
      </c>
      <c r="D36" s="138" t="str">
        <f>IF(D31="","",D31)</f>
        <v/>
      </c>
      <c r="E36" s="60" t="str">
        <f>IF(D36="","",IF(N36="○",M$5,IF(P36="○",O$5,IF(R36="○",Q$5,IF(T36="○",S$5,"ERROR")))))</f>
        <v/>
      </c>
      <c r="F36" s="59" t="str">
        <f>IF(D36="","",IF(N36="○",M36,IF(P36="○",O36,IF(R36="○",Q36,IF(T36="○",S36,"ERROR")))))</f>
        <v/>
      </c>
      <c r="G36" s="139" t="str">
        <f>IF($B36="","",IF($E36="正規職員","-",IF(AND(EXACT(B31,B36),EXACT(D31,D36),EXACT(E31,E36)),G31,"賃金単価を記載")))</f>
        <v/>
      </c>
      <c r="H36" s="59" t="str">
        <f t="shared" ref="H36:H37" si="38">IF($D36="","",IF($E36="正規職員","-",F36*G36))</f>
        <v/>
      </c>
      <c r="I36" s="59">
        <f t="shared" si="8"/>
        <v>271333.33333333401</v>
      </c>
      <c r="J36" s="59" t="str">
        <f>IF($D36="","",IF(E36="正規職員",I36,MIN(H36:I36)))</f>
        <v/>
      </c>
      <c r="K36" s="61" t="str">
        <f>IF(D36="","",IF(OR(COUNTIFS(D36,"*要配慮*")=1,COUNTIFS(D36,"*医療的ケア*")=1),"○","エラー"))</f>
        <v/>
      </c>
      <c r="L36" s="62">
        <f>L31+1</f>
        <v>9</v>
      </c>
      <c r="M36" s="62" t="e">
        <f>VLOOKUP($D36&amp;M$5,'②-2勤務時間数入力'!$D$7:$Q$106,$L36,FALSE)</f>
        <v>#N/A</v>
      </c>
      <c r="N36" s="62" t="str">
        <f>IF(ISERROR(M36),"×",IF(M36="-","×","○"))</f>
        <v>×</v>
      </c>
      <c r="O36" s="62" t="e">
        <f>VLOOKUP($D36&amp;O$5,'②-2勤務時間数入力'!$D$7:$Q$106,$L36,FALSE)</f>
        <v>#N/A</v>
      </c>
      <c r="P36" s="62" t="str">
        <f>IF(ISERROR(O36),"×",IF(O36="-","×","○"))</f>
        <v>×</v>
      </c>
      <c r="Q36" s="62" t="e">
        <f>VLOOKUP($D36&amp;Q$5,'②-2勤務時間数入力'!$D$7:$Q$106,$L36,FALSE)</f>
        <v>#N/A</v>
      </c>
      <c r="R36" s="62" t="str">
        <f>IF(ISERROR(Q36),"×",IF(Q36="-","×","○"))</f>
        <v>×</v>
      </c>
      <c r="S36" s="62" t="e">
        <f>VLOOKUP($D36&amp;S$5,'②-2勤務時間数入力'!$D$7:$Q$106,$L36,FALSE)</f>
        <v>#N/A</v>
      </c>
      <c r="T36" s="62" t="str">
        <f>IF(ISERROR(S36),"×",IF(S36="-","×","○"))</f>
        <v>×</v>
      </c>
    </row>
    <row r="37" spans="1:20" ht="13.5" hidden="1" customHeight="1">
      <c r="A37" s="854"/>
      <c r="B37" s="857"/>
      <c r="C37" s="858"/>
      <c r="D37" s="138" t="str">
        <f>IF(D32="","",D32)</f>
        <v/>
      </c>
      <c r="E37" s="60" t="str">
        <f t="shared" ref="E37:E39" si="39">IF(D37="","",IF(N37="○",M$5,IF(P37="○",O$5,IF(R37="○",Q$5,IF(T37="○",S$5,"ERROR")))))</f>
        <v/>
      </c>
      <c r="F37" s="59" t="str">
        <f t="shared" ref="F37:F39" si="40">IF(D37="","",IF(N37="○",M37,IF(P37="○",O37,IF(R37="○",Q37,IF(T37="○",S37,"ERROR")))))</f>
        <v/>
      </c>
      <c r="G37" s="139" t="str">
        <f>IF($B36="","",IF($E37="正規職員","-",IF(AND(EXACT(B31,B36),EXACT(D32,D37),EXACT(E32,E37)),G32,"賃金単価を記載")))</f>
        <v/>
      </c>
      <c r="H37" s="59" t="str">
        <f t="shared" si="38"/>
        <v/>
      </c>
      <c r="I37" s="59">
        <f t="shared" si="8"/>
        <v>271333.33333333401</v>
      </c>
      <c r="J37" s="59" t="str">
        <f t="shared" ref="J37:J39" si="41">IF($D37="","",IF(E37="正規職員",I37,MIN(H37:I37)))</f>
        <v/>
      </c>
      <c r="K37" s="61" t="str">
        <f t="shared" ref="K37:K39" si="42">IF(D37="","",IF(OR(COUNTIFS(D37,"*要配慮*")=1,COUNTIFS(D37,"*医療的ケア*")=1),"○","エラー"))</f>
        <v/>
      </c>
      <c r="L37" s="62">
        <f t="shared" ref="L37:L39" si="43">L36</f>
        <v>9</v>
      </c>
      <c r="M37" s="62" t="e">
        <f>VLOOKUP($D37&amp;M$5,'②-2勤務時間数入力'!$D$7:$Q$106,$L37,FALSE)</f>
        <v>#N/A</v>
      </c>
      <c r="N37" s="62" t="str">
        <f>IF(ISERROR(M37),"×",IF(M37="-","×","○"))</f>
        <v>×</v>
      </c>
      <c r="O37" s="62" t="e">
        <f>VLOOKUP($D37&amp;O$5,'②-2勤務時間数入力'!$D$7:$Q$106,$L37,FALSE)</f>
        <v>#N/A</v>
      </c>
      <c r="P37" s="62" t="str">
        <f>IF(ISERROR(O37),"×",IF(O37="-","×","○"))</f>
        <v>×</v>
      </c>
      <c r="Q37" s="62" t="e">
        <f>VLOOKUP($D37&amp;Q$5,'②-2勤務時間数入力'!$D$7:$Q$106,$L37,FALSE)</f>
        <v>#N/A</v>
      </c>
      <c r="R37" s="62" t="str">
        <f>IF(ISERROR(Q37),"×",IF(Q37="-","×","○"))</f>
        <v>×</v>
      </c>
      <c r="S37" s="62" t="e">
        <f>VLOOKUP($D37&amp;S$5,'②-2勤務時間数入力'!$D$7:$Q$106,$L37,FALSE)</f>
        <v>#N/A</v>
      </c>
      <c r="T37" s="62" t="str">
        <f>IF(ISERROR(S37),"×",IF(S37="-","×","○"))</f>
        <v>×</v>
      </c>
    </row>
    <row r="38" spans="1:20" ht="13.5" hidden="1" customHeight="1">
      <c r="A38" s="854"/>
      <c r="B38" s="857"/>
      <c r="C38" s="856" t="str">
        <f>IF(B36&gt;=1,IFERROR(INDEX($F$81:$G$86,MATCH(判定!AS15,$F$81:$F$86,0),2),"-"),"-")</f>
        <v>-</v>
      </c>
      <c r="D38" s="138" t="str">
        <f>IF(D33="","",D33)</f>
        <v/>
      </c>
      <c r="E38" s="60" t="str">
        <f t="shared" si="39"/>
        <v/>
      </c>
      <c r="F38" s="59" t="str">
        <f t="shared" si="40"/>
        <v/>
      </c>
      <c r="G38" s="139" t="str">
        <f>IF($B36="","",IF($E38="正規職員","-",IF(AND(EXACT(B31,B36),EXACT(D33,D38),EXACT(E33,E38)),G33,"賃金単価を記載")))</f>
        <v/>
      </c>
      <c r="H38" s="59" t="str">
        <f>IF($D38="","",IF($E38="正規職員","-",F38*G38))</f>
        <v/>
      </c>
      <c r="I38" s="59">
        <f t="shared" si="8"/>
        <v>271333.33333333401</v>
      </c>
      <c r="J38" s="59" t="str">
        <f t="shared" si="41"/>
        <v/>
      </c>
      <c r="K38" s="61" t="str">
        <f t="shared" si="42"/>
        <v/>
      </c>
      <c r="L38" s="62">
        <f t="shared" si="43"/>
        <v>9</v>
      </c>
      <c r="M38" s="62" t="e">
        <f>VLOOKUP($D38&amp;M$5,'②-2勤務時間数入力'!$D$7:$Q$106,$L38,FALSE)</f>
        <v>#N/A</v>
      </c>
      <c r="N38" s="62" t="str">
        <f>IF(ISERROR(M38),"×",IF(M38="-","×","○"))</f>
        <v>×</v>
      </c>
      <c r="O38" s="62" t="e">
        <f>VLOOKUP($D38&amp;O$5,'②-2勤務時間数入力'!$D$7:$Q$106,$L38,FALSE)</f>
        <v>#N/A</v>
      </c>
      <c r="P38" s="62" t="str">
        <f>IF(ISERROR(O38),"×",IF(O38="-","×","○"))</f>
        <v>×</v>
      </c>
      <c r="Q38" s="62" t="e">
        <f>VLOOKUP($D38&amp;Q$5,'②-2勤務時間数入力'!$D$7:$Q$106,$L38,FALSE)</f>
        <v>#N/A</v>
      </c>
      <c r="R38" s="62" t="str">
        <f>IF(ISERROR(Q38),"×",IF(Q38="-","×","○"))</f>
        <v>×</v>
      </c>
      <c r="S38" s="62" t="e">
        <f>VLOOKUP($D38&amp;S$5,'②-2勤務時間数入力'!$D$7:$Q$106,$L38,FALSE)</f>
        <v>#N/A</v>
      </c>
      <c r="T38" s="62" t="str">
        <f>IF(ISERROR(S38),"×",IF(S38="-","×","○"))</f>
        <v>×</v>
      </c>
    </row>
    <row r="39" spans="1:20" ht="13.5" hidden="1" customHeight="1">
      <c r="A39" s="878"/>
      <c r="B39" s="857"/>
      <c r="C39" s="858"/>
      <c r="D39" s="138" t="str">
        <f>IF(D34="","",D34)</f>
        <v/>
      </c>
      <c r="E39" s="60" t="str">
        <f t="shared" si="39"/>
        <v/>
      </c>
      <c r="F39" s="59" t="str">
        <f t="shared" si="40"/>
        <v/>
      </c>
      <c r="G39" s="139" t="str">
        <f>IF($B36="","",IF($E39="正規職員","-",IF(AND(EXACT(B31,B36),EXACT(D34,D39),EXACT(E34,E39)),G34,"賃金単価を記載")))</f>
        <v/>
      </c>
      <c r="H39" s="59" t="str">
        <f>IF($D39="","",IF($E39="正規職員","-",F39*G39))</f>
        <v/>
      </c>
      <c r="I39" s="59">
        <f t="shared" si="8"/>
        <v>271333.33333333401</v>
      </c>
      <c r="J39" s="59" t="str">
        <f t="shared" si="41"/>
        <v/>
      </c>
      <c r="K39" s="61" t="str">
        <f t="shared" si="42"/>
        <v/>
      </c>
      <c r="L39" s="62">
        <f t="shared" si="43"/>
        <v>9</v>
      </c>
      <c r="M39" s="62" t="e">
        <f>VLOOKUP($D39&amp;M$5,'②-2勤務時間数入力'!$D$7:$Q$106,$L39,FALSE)</f>
        <v>#N/A</v>
      </c>
      <c r="N39" s="62" t="str">
        <f>IF(ISERROR(M39),"×",IF(M39="-","×","○"))</f>
        <v>×</v>
      </c>
      <c r="O39" s="62" t="e">
        <f>VLOOKUP($D39&amp;O$5,'②-2勤務時間数入力'!$D$7:$Q$106,$L39,FALSE)</f>
        <v>#N/A</v>
      </c>
      <c r="P39" s="62" t="str">
        <f>IF(ISERROR(O39),"×",IF(O39="-","×","○"))</f>
        <v>×</v>
      </c>
      <c r="Q39" s="62" t="e">
        <f>VLOOKUP($D39&amp;Q$5,'②-2勤務時間数入力'!$D$7:$Q$106,$L39,FALSE)</f>
        <v>#N/A</v>
      </c>
      <c r="R39" s="62" t="str">
        <f>IF(ISERROR(Q39),"×",IF(Q39="-","×","○"))</f>
        <v>×</v>
      </c>
      <c r="S39" s="62" t="e">
        <f>VLOOKUP($D39&amp;S$5,'②-2勤務時間数入力'!$D$7:$Q$106,$L39,FALSE)</f>
        <v>#N/A</v>
      </c>
      <c r="T39" s="62" t="str">
        <f>IF(ISERROR(S39),"×",IF(S39="-","×","○"))</f>
        <v>×</v>
      </c>
    </row>
    <row r="40" spans="1:20" ht="13.5" hidden="1" customHeight="1">
      <c r="A40" s="844"/>
      <c r="B40" s="858"/>
      <c r="C40" s="283"/>
      <c r="D40" s="1" t="s">
        <v>279</v>
      </c>
      <c r="E40" s="60" t="s">
        <v>273</v>
      </c>
      <c r="F40" s="67"/>
      <c r="G40" s="441" t="s">
        <v>273</v>
      </c>
      <c r="H40" s="60" t="s">
        <v>273</v>
      </c>
      <c r="I40" s="60" t="s">
        <v>273</v>
      </c>
      <c r="J40" s="59" t="str">
        <f>IFERROR(IF(J36="","",MIN(SUM(J36:J39),(B36*I36))),0)</f>
        <v/>
      </c>
      <c r="K40" s="61"/>
      <c r="L40" s="62"/>
      <c r="M40" s="62"/>
      <c r="N40" s="62"/>
      <c r="O40" s="62"/>
      <c r="P40" s="62"/>
      <c r="Q40" s="62"/>
      <c r="R40" s="62"/>
      <c r="S40" s="62"/>
      <c r="T40" s="62"/>
    </row>
    <row r="41" spans="1:20" ht="13.5" hidden="1" customHeight="1">
      <c r="A41" s="843">
        <v>11</v>
      </c>
      <c r="B41" s="856" t="str">
        <f>IF(判定!AZ16&gt;=1,判定!AZ16,"-")</f>
        <v>-</v>
      </c>
      <c r="C41" s="856" t="str">
        <f>IF(B41&gt;=1,IFERROR(INDEX($F$81:$G$86,MATCH(判定!AR16,$F$81:$F$86,0),2),"-"),"-")</f>
        <v>-</v>
      </c>
      <c r="D41" s="138" t="str">
        <f>IF(D36="","",D36)</f>
        <v/>
      </c>
      <c r="E41" s="60" t="str">
        <f>IF(D41="","",IF(N41="○",M$5,IF(P41="○",O$5,IF(R41="○",Q$5,IF(T41="○",S$5,"ERROR")))))</f>
        <v/>
      </c>
      <c r="F41" s="59" t="str">
        <f>IF(D41="","",IF(N41="○",M41,IF(P41="○",O41,IF(R41="○",Q41,IF(T41="○",S41,"ERROR")))))</f>
        <v/>
      </c>
      <c r="G41" s="139" t="str">
        <f>IF($B41="","",IF($E41="正規職員","-",IF(AND(EXACT(B36,B41),EXACT(D36,D41),EXACT(E36,E41)),G36,"賃金単価を記載")))</f>
        <v/>
      </c>
      <c r="H41" s="59" t="str">
        <f t="shared" ref="H41:H42" si="44">IF($D41="","",IF($E41="正規職員","-",F41*G41))</f>
        <v/>
      </c>
      <c r="I41" s="59">
        <f t="shared" si="8"/>
        <v>271333.33333333401</v>
      </c>
      <c r="J41" s="59" t="str">
        <f>IF($D41="","",IF(E41="正規職員",I41,MIN(H41:I41)))</f>
        <v/>
      </c>
      <c r="K41" s="61" t="str">
        <f>IF(D41="","",IF(OR(COUNTIFS(D41,"*要配慮*")=1,COUNTIFS(D41,"*医療的ケア*")=1),"○","エラー"))</f>
        <v/>
      </c>
      <c r="L41" s="62">
        <f>L36+1</f>
        <v>10</v>
      </c>
      <c r="M41" s="62" t="e">
        <f>VLOOKUP($D41&amp;M$5,'②-2勤務時間数入力'!$D$7:$Q$106,$L41,FALSE)</f>
        <v>#N/A</v>
      </c>
      <c r="N41" s="62" t="str">
        <f>IF(ISERROR(M41),"×",IF(M41="-","×","○"))</f>
        <v>×</v>
      </c>
      <c r="O41" s="62" t="e">
        <f>VLOOKUP($D41&amp;O$5,'②-2勤務時間数入力'!$D$7:$Q$106,$L41,FALSE)</f>
        <v>#N/A</v>
      </c>
      <c r="P41" s="62" t="str">
        <f>IF(ISERROR(O41),"×",IF(O41="-","×","○"))</f>
        <v>×</v>
      </c>
      <c r="Q41" s="62" t="e">
        <f>VLOOKUP($D41&amp;Q$5,'②-2勤務時間数入力'!$D$7:$Q$106,$L41,FALSE)</f>
        <v>#N/A</v>
      </c>
      <c r="R41" s="62" t="str">
        <f>IF(ISERROR(Q41),"×",IF(Q41="-","×","○"))</f>
        <v>×</v>
      </c>
      <c r="S41" s="62" t="e">
        <f>VLOOKUP($D41&amp;S$5,'②-2勤務時間数入力'!$D$7:$Q$106,$L41,FALSE)</f>
        <v>#N/A</v>
      </c>
      <c r="T41" s="62" t="str">
        <f>IF(ISERROR(S41),"×",IF(S41="-","×","○"))</f>
        <v>×</v>
      </c>
    </row>
    <row r="42" spans="1:20" ht="13.5" hidden="1" customHeight="1">
      <c r="A42" s="854"/>
      <c r="B42" s="857"/>
      <c r="C42" s="858"/>
      <c r="D42" s="138" t="str">
        <f>IF(D37="","",D37)</f>
        <v/>
      </c>
      <c r="E42" s="60" t="str">
        <f t="shared" ref="E42:E44" si="45">IF(D42="","",IF(N42="○",M$5,IF(P42="○",O$5,IF(R42="○",Q$5,IF(T42="○",S$5,"ERROR")))))</f>
        <v/>
      </c>
      <c r="F42" s="59" t="str">
        <f t="shared" ref="F42:F44" si="46">IF(D42="","",IF(N42="○",M42,IF(P42="○",O42,IF(R42="○",Q42,IF(T42="○",S42,"ERROR")))))</f>
        <v/>
      </c>
      <c r="G42" s="139" t="str">
        <f>IF($B41="","",IF($E42="正規職員","-",IF(AND(EXACT(B36,B41),EXACT(D37,D42),EXACT(E37,E42)),G37,"賃金単価を記載")))</f>
        <v/>
      </c>
      <c r="H42" s="59" t="str">
        <f t="shared" si="44"/>
        <v/>
      </c>
      <c r="I42" s="59">
        <f t="shared" si="8"/>
        <v>271333.33333333401</v>
      </c>
      <c r="J42" s="59" t="str">
        <f t="shared" ref="J42:J44" si="47">IF($D42="","",IF(E42="正規職員",I42,MIN(H42:I42)))</f>
        <v/>
      </c>
      <c r="K42" s="61" t="str">
        <f t="shared" ref="K42:K44" si="48">IF(D42="","",IF(OR(COUNTIFS(D42,"*要配慮*")=1,COUNTIFS(D42,"*医療的ケア*")=1),"○","エラー"))</f>
        <v/>
      </c>
      <c r="L42" s="62">
        <f t="shared" ref="L42:L44" si="49">L41</f>
        <v>10</v>
      </c>
      <c r="M42" s="62" t="e">
        <f>VLOOKUP($D42&amp;M$5,'②-2勤務時間数入力'!$D$7:$Q$106,$L42,FALSE)</f>
        <v>#N/A</v>
      </c>
      <c r="N42" s="62" t="str">
        <f>IF(ISERROR(M42),"×",IF(M42="-","×","○"))</f>
        <v>×</v>
      </c>
      <c r="O42" s="62" t="e">
        <f>VLOOKUP($D42&amp;O$5,'②-2勤務時間数入力'!$D$7:$Q$106,$L42,FALSE)</f>
        <v>#N/A</v>
      </c>
      <c r="P42" s="62" t="str">
        <f>IF(ISERROR(O42),"×",IF(O42="-","×","○"))</f>
        <v>×</v>
      </c>
      <c r="Q42" s="62" t="e">
        <f>VLOOKUP($D42&amp;Q$5,'②-2勤務時間数入力'!$D$7:$Q$106,$L42,FALSE)</f>
        <v>#N/A</v>
      </c>
      <c r="R42" s="62" t="str">
        <f>IF(ISERROR(Q42),"×",IF(Q42="-","×","○"))</f>
        <v>×</v>
      </c>
      <c r="S42" s="62" t="e">
        <f>VLOOKUP($D42&amp;S$5,'②-2勤務時間数入力'!$D$7:$Q$106,$L42,FALSE)</f>
        <v>#N/A</v>
      </c>
      <c r="T42" s="62" t="str">
        <f>IF(ISERROR(S42),"×",IF(S42="-","×","○"))</f>
        <v>×</v>
      </c>
    </row>
    <row r="43" spans="1:20" ht="13.5" hidden="1" customHeight="1">
      <c r="A43" s="854"/>
      <c r="B43" s="857"/>
      <c r="C43" s="856" t="str">
        <f>IF(B41&gt;=1,IFERROR(INDEX($F$81:$G$86,MATCH(判定!AS16,$F$81:$F$86,0),2),"-"),"-")</f>
        <v>-</v>
      </c>
      <c r="D43" s="138" t="str">
        <f>IF(D38="","",D38)</f>
        <v/>
      </c>
      <c r="E43" s="60" t="str">
        <f t="shared" si="45"/>
        <v/>
      </c>
      <c r="F43" s="59" t="str">
        <f t="shared" si="46"/>
        <v/>
      </c>
      <c r="G43" s="139" t="str">
        <f>IF($B41="","",IF($E43="正規職員","-",IF(AND(EXACT(B36,B41),EXACT(D38,D43),EXACT(E38,E43)),G38,"賃金単価を記載")))</f>
        <v/>
      </c>
      <c r="H43" s="59" t="str">
        <f>IF($D43="","",IF($E43="正規職員","-",F43*G43))</f>
        <v/>
      </c>
      <c r="I43" s="59">
        <f t="shared" si="8"/>
        <v>271333.33333333401</v>
      </c>
      <c r="J43" s="59" t="str">
        <f t="shared" si="47"/>
        <v/>
      </c>
      <c r="K43" s="61" t="str">
        <f t="shared" si="48"/>
        <v/>
      </c>
      <c r="L43" s="62">
        <f t="shared" si="49"/>
        <v>10</v>
      </c>
      <c r="M43" s="62" t="e">
        <f>VLOOKUP($D43&amp;M$5,'②-2勤務時間数入力'!$D$7:$Q$106,$L43,FALSE)</f>
        <v>#N/A</v>
      </c>
      <c r="N43" s="62" t="str">
        <f>IF(ISERROR(M43),"×",IF(M43="-","×","○"))</f>
        <v>×</v>
      </c>
      <c r="O43" s="62" t="e">
        <f>VLOOKUP($D43&amp;O$5,'②-2勤務時間数入力'!$D$7:$Q$106,$L43,FALSE)</f>
        <v>#N/A</v>
      </c>
      <c r="P43" s="62" t="str">
        <f>IF(ISERROR(O43),"×",IF(O43="-","×","○"))</f>
        <v>×</v>
      </c>
      <c r="Q43" s="62" t="e">
        <f>VLOOKUP($D43&amp;Q$5,'②-2勤務時間数入力'!$D$7:$Q$106,$L43,FALSE)</f>
        <v>#N/A</v>
      </c>
      <c r="R43" s="62" t="str">
        <f>IF(ISERROR(Q43),"×",IF(Q43="-","×","○"))</f>
        <v>×</v>
      </c>
      <c r="S43" s="62" t="e">
        <f>VLOOKUP($D43&amp;S$5,'②-2勤務時間数入力'!$D$7:$Q$106,$L43,FALSE)</f>
        <v>#N/A</v>
      </c>
      <c r="T43" s="62" t="str">
        <f>IF(ISERROR(S43),"×",IF(S43="-","×","○"))</f>
        <v>×</v>
      </c>
    </row>
    <row r="44" spans="1:20" ht="13.5" hidden="1" customHeight="1">
      <c r="A44" s="878"/>
      <c r="B44" s="857"/>
      <c r="C44" s="858"/>
      <c r="D44" s="138" t="str">
        <f>IF(D39="","",D39)</f>
        <v/>
      </c>
      <c r="E44" s="60" t="str">
        <f t="shared" si="45"/>
        <v/>
      </c>
      <c r="F44" s="59" t="str">
        <f t="shared" si="46"/>
        <v/>
      </c>
      <c r="G44" s="139" t="str">
        <f>IF($B41="","",IF($E44="正規職員","-",IF(AND(EXACT(B36,B41),EXACT(D39,D44),EXACT(E39,E44)),G39,"賃金単価を記載")))</f>
        <v/>
      </c>
      <c r="H44" s="59" t="str">
        <f>IF($D44="","",IF($E44="正規職員","-",F44*G44))</f>
        <v/>
      </c>
      <c r="I44" s="59">
        <f t="shared" si="8"/>
        <v>271333.33333333401</v>
      </c>
      <c r="J44" s="59" t="str">
        <f t="shared" si="47"/>
        <v/>
      </c>
      <c r="K44" s="61" t="str">
        <f t="shared" si="48"/>
        <v/>
      </c>
      <c r="L44" s="62">
        <f t="shared" si="49"/>
        <v>10</v>
      </c>
      <c r="M44" s="62" t="e">
        <f>VLOOKUP($D44&amp;M$5,'②-2勤務時間数入力'!$D$7:$Q$106,$L44,FALSE)</f>
        <v>#N/A</v>
      </c>
      <c r="N44" s="62" t="str">
        <f>IF(ISERROR(M44),"×",IF(M44="-","×","○"))</f>
        <v>×</v>
      </c>
      <c r="O44" s="62" t="e">
        <f>VLOOKUP($D44&amp;O$5,'②-2勤務時間数入力'!$D$7:$Q$106,$L44,FALSE)</f>
        <v>#N/A</v>
      </c>
      <c r="P44" s="62" t="str">
        <f>IF(ISERROR(O44),"×",IF(O44="-","×","○"))</f>
        <v>×</v>
      </c>
      <c r="Q44" s="62" t="e">
        <f>VLOOKUP($D44&amp;Q$5,'②-2勤務時間数入力'!$D$7:$Q$106,$L44,FALSE)</f>
        <v>#N/A</v>
      </c>
      <c r="R44" s="62" t="str">
        <f>IF(ISERROR(Q44),"×",IF(Q44="-","×","○"))</f>
        <v>×</v>
      </c>
      <c r="S44" s="62" t="e">
        <f>VLOOKUP($D44&amp;S$5,'②-2勤務時間数入力'!$D$7:$Q$106,$L44,FALSE)</f>
        <v>#N/A</v>
      </c>
      <c r="T44" s="62" t="str">
        <f>IF(ISERROR(S44),"×",IF(S44="-","×","○"))</f>
        <v>×</v>
      </c>
    </row>
    <row r="45" spans="1:20" ht="13.5" hidden="1" customHeight="1">
      <c r="A45" s="844"/>
      <c r="B45" s="858"/>
      <c r="C45" s="283"/>
      <c r="D45" s="1" t="s">
        <v>280</v>
      </c>
      <c r="E45" s="60" t="s">
        <v>273</v>
      </c>
      <c r="F45" s="67"/>
      <c r="G45" s="441" t="s">
        <v>273</v>
      </c>
      <c r="H45" s="60" t="s">
        <v>273</v>
      </c>
      <c r="I45" s="60" t="s">
        <v>273</v>
      </c>
      <c r="J45" s="59" t="str">
        <f>IFERROR(IF(J41="","",MIN(SUM(J41:J44),(B41*I41))),0)</f>
        <v/>
      </c>
      <c r="K45" s="61"/>
      <c r="L45" s="62"/>
      <c r="M45" s="62"/>
      <c r="N45" s="62"/>
      <c r="O45" s="62"/>
      <c r="P45" s="62"/>
      <c r="Q45" s="62"/>
      <c r="R45" s="62"/>
      <c r="S45" s="62"/>
      <c r="T45" s="62"/>
    </row>
    <row r="46" spans="1:20" ht="13.5" hidden="1" customHeight="1">
      <c r="A46" s="843">
        <v>12</v>
      </c>
      <c r="B46" s="856" t="str">
        <f>IF(判定!AZ17&gt;=1,判定!AZ17,"-")</f>
        <v>-</v>
      </c>
      <c r="C46" s="856" t="str">
        <f>IF(B46&gt;=1,IFERROR(INDEX($F$81:$G$86,MATCH(判定!AR17,$F$81:$F$86,0),2),"-"),"-")</f>
        <v>-</v>
      </c>
      <c r="D46" s="138" t="str">
        <f>IF(D41="","",D41)</f>
        <v/>
      </c>
      <c r="E46" s="60" t="str">
        <f>IF(D46="","",IF(N46="○",M$5,IF(P46="○",O$5,IF(R46="○",Q$5,IF(T46="○",S$5,"ERROR")))))</f>
        <v/>
      </c>
      <c r="F46" s="59" t="str">
        <f>IF(D46="","",IF(N46="○",M46,IF(P46="○",O46,IF(R46="○",Q46,IF(T46="○",S46,"ERROR")))))</f>
        <v/>
      </c>
      <c r="G46" s="139" t="str">
        <f>IF($B46="","",IF($E46="正規職員","-",IF(AND(EXACT(B41,B46),EXACT(D41,D46),EXACT(E41,E46)),G41,"賃金単価を記載")))</f>
        <v/>
      </c>
      <c r="H46" s="59" t="str">
        <f t="shared" ref="H46:H47" si="50">IF($D46="","",IF($E46="正規職員","-",F46*G46))</f>
        <v/>
      </c>
      <c r="I46" s="59">
        <f t="shared" si="8"/>
        <v>271333.33333333401</v>
      </c>
      <c r="J46" s="59" t="str">
        <f>IF($D46="","",IF(E46="正規職員",I46,MIN(H46:I46)))</f>
        <v/>
      </c>
      <c r="K46" s="61" t="str">
        <f>IF(D46="","",IF(OR(COUNTIFS(D46,"*要配慮*")=1,COUNTIFS(D46,"*医療的ケア*")=1),"○","エラー"))</f>
        <v/>
      </c>
      <c r="L46" s="62">
        <f>L41+1</f>
        <v>11</v>
      </c>
      <c r="M46" s="62" t="e">
        <f>VLOOKUP($D46&amp;M$5,'②-2勤務時間数入力'!$D$7:$Q$106,$L46,FALSE)</f>
        <v>#N/A</v>
      </c>
      <c r="N46" s="62" t="str">
        <f>IF(ISERROR(M46),"×",IF(M46="-","×","○"))</f>
        <v>×</v>
      </c>
      <c r="O46" s="62" t="e">
        <f>VLOOKUP($D46&amp;O$5,'②-2勤務時間数入力'!$D$7:$Q$106,$L46,FALSE)</f>
        <v>#N/A</v>
      </c>
      <c r="P46" s="62" t="str">
        <f>IF(ISERROR(O46),"×",IF(O46="-","×","○"))</f>
        <v>×</v>
      </c>
      <c r="Q46" s="62" t="e">
        <f>VLOOKUP($D46&amp;Q$5,'②-2勤務時間数入力'!$D$7:$Q$106,$L46,FALSE)</f>
        <v>#N/A</v>
      </c>
      <c r="R46" s="62" t="str">
        <f>IF(ISERROR(Q46),"×",IF(Q46="-","×","○"))</f>
        <v>×</v>
      </c>
      <c r="S46" s="62" t="e">
        <f>VLOOKUP($D46&amp;S$5,'②-2勤務時間数入力'!$D$7:$Q$106,$L46,FALSE)</f>
        <v>#N/A</v>
      </c>
      <c r="T46" s="62" t="str">
        <f>IF(ISERROR(S46),"×",IF(S46="-","×","○"))</f>
        <v>×</v>
      </c>
    </row>
    <row r="47" spans="1:20" ht="13.5" hidden="1" customHeight="1">
      <c r="A47" s="854"/>
      <c r="B47" s="857"/>
      <c r="C47" s="858"/>
      <c r="D47" s="138" t="str">
        <f>IF(D42="","",D42)</f>
        <v/>
      </c>
      <c r="E47" s="60" t="str">
        <f t="shared" ref="E47:E49" si="51">IF(D47="","",IF(N47="○",M$5,IF(P47="○",O$5,IF(R47="○",Q$5,IF(T47="○",S$5,"ERROR")))))</f>
        <v/>
      </c>
      <c r="F47" s="59" t="str">
        <f t="shared" ref="F47:F49" si="52">IF(D47="","",IF(N47="○",M47,IF(P47="○",O47,IF(R47="○",Q47,IF(T47="○",S47,"ERROR")))))</f>
        <v/>
      </c>
      <c r="G47" s="139" t="str">
        <f>IF($B46="","",IF($E47="正規職員","-",IF(AND(EXACT(B41,B46),EXACT(D42,D47),EXACT(E42,E47)),G42,"賃金単価を記載")))</f>
        <v/>
      </c>
      <c r="H47" s="59" t="str">
        <f t="shared" si="50"/>
        <v/>
      </c>
      <c r="I47" s="59">
        <f t="shared" si="8"/>
        <v>271333.33333333401</v>
      </c>
      <c r="J47" s="59" t="str">
        <f t="shared" ref="J47:J49" si="53">IF($D47="","",IF(E47="正規職員",I47,MIN(H47:I47)))</f>
        <v/>
      </c>
      <c r="K47" s="61" t="str">
        <f t="shared" ref="K47:K49" si="54">IF(D47="","",IF(OR(COUNTIFS(D47,"*要配慮*")=1,COUNTIFS(D47,"*医療的ケア*")=1),"○","エラー"))</f>
        <v/>
      </c>
      <c r="L47" s="62">
        <f t="shared" ref="L47:L49" si="55">L46</f>
        <v>11</v>
      </c>
      <c r="M47" s="62" t="e">
        <f>VLOOKUP($D47&amp;M$5,'②-2勤務時間数入力'!$D$7:$Q$106,$L47,FALSE)</f>
        <v>#N/A</v>
      </c>
      <c r="N47" s="62" t="str">
        <f>IF(ISERROR(M47),"×",IF(M47="-","×","○"))</f>
        <v>×</v>
      </c>
      <c r="O47" s="62" t="e">
        <f>VLOOKUP($D47&amp;O$5,'②-2勤務時間数入力'!$D$7:$Q$106,$L47,FALSE)</f>
        <v>#N/A</v>
      </c>
      <c r="P47" s="62" t="str">
        <f>IF(ISERROR(O47),"×",IF(O47="-","×","○"))</f>
        <v>×</v>
      </c>
      <c r="Q47" s="62" t="e">
        <f>VLOOKUP($D47&amp;Q$5,'②-2勤務時間数入力'!$D$7:$Q$106,$L47,FALSE)</f>
        <v>#N/A</v>
      </c>
      <c r="R47" s="62" t="str">
        <f>IF(ISERROR(Q47),"×",IF(Q47="-","×","○"))</f>
        <v>×</v>
      </c>
      <c r="S47" s="62" t="e">
        <f>VLOOKUP($D47&amp;S$5,'②-2勤務時間数入力'!$D$7:$Q$106,$L47,FALSE)</f>
        <v>#N/A</v>
      </c>
      <c r="T47" s="62" t="str">
        <f>IF(ISERROR(S47),"×",IF(S47="-","×","○"))</f>
        <v>×</v>
      </c>
    </row>
    <row r="48" spans="1:20" ht="13.5" hidden="1" customHeight="1">
      <c r="A48" s="854"/>
      <c r="B48" s="857"/>
      <c r="C48" s="856" t="str">
        <f>IF(B46&gt;=1,IFERROR(INDEX($F$81:$G$86,MATCH(判定!AS17,$F$81:$F$86,0),2),"-"),"-")</f>
        <v>-</v>
      </c>
      <c r="D48" s="138" t="str">
        <f>IF(D43="","",D43)</f>
        <v/>
      </c>
      <c r="E48" s="60" t="str">
        <f t="shared" si="51"/>
        <v/>
      </c>
      <c r="F48" s="59" t="str">
        <f t="shared" si="52"/>
        <v/>
      </c>
      <c r="G48" s="139" t="str">
        <f>IF($B46="","",IF($E48="正規職員","-",IF(AND(EXACT(B41,B46),EXACT(D43,D48),EXACT(E43,E48)),G43,"賃金単価を記載")))</f>
        <v/>
      </c>
      <c r="H48" s="59" t="str">
        <f>IF($D48="","",IF($E48="正規職員","-",F48*G48))</f>
        <v/>
      </c>
      <c r="I48" s="59">
        <f t="shared" si="8"/>
        <v>271333.33333333401</v>
      </c>
      <c r="J48" s="59" t="str">
        <f t="shared" si="53"/>
        <v/>
      </c>
      <c r="K48" s="61" t="str">
        <f t="shared" si="54"/>
        <v/>
      </c>
      <c r="L48" s="62">
        <f t="shared" si="55"/>
        <v>11</v>
      </c>
      <c r="M48" s="62" t="e">
        <f>VLOOKUP($D48&amp;M$5,'②-2勤務時間数入力'!$D$7:$Q$106,$L48,FALSE)</f>
        <v>#N/A</v>
      </c>
      <c r="N48" s="62" t="str">
        <f>IF(ISERROR(M48),"×",IF(M48="-","×","○"))</f>
        <v>×</v>
      </c>
      <c r="O48" s="62" t="e">
        <f>VLOOKUP($D48&amp;O$5,'②-2勤務時間数入力'!$D$7:$Q$106,$L48,FALSE)</f>
        <v>#N/A</v>
      </c>
      <c r="P48" s="62" t="str">
        <f>IF(ISERROR(O48),"×",IF(O48="-","×","○"))</f>
        <v>×</v>
      </c>
      <c r="Q48" s="62" t="e">
        <f>VLOOKUP($D48&amp;Q$5,'②-2勤務時間数入力'!$D$7:$Q$106,$L48,FALSE)</f>
        <v>#N/A</v>
      </c>
      <c r="R48" s="62" t="str">
        <f>IF(ISERROR(Q48),"×",IF(Q48="-","×","○"))</f>
        <v>×</v>
      </c>
      <c r="S48" s="62" t="e">
        <f>VLOOKUP($D48&amp;S$5,'②-2勤務時間数入力'!$D$7:$Q$106,$L48,FALSE)</f>
        <v>#N/A</v>
      </c>
      <c r="T48" s="62" t="str">
        <f>IF(ISERROR(S48),"×",IF(S48="-","×","○"))</f>
        <v>×</v>
      </c>
    </row>
    <row r="49" spans="1:20" ht="13.5" hidden="1" customHeight="1">
      <c r="A49" s="878"/>
      <c r="B49" s="857"/>
      <c r="C49" s="858"/>
      <c r="D49" s="138" t="str">
        <f>IF(D44="","",D44)</f>
        <v/>
      </c>
      <c r="E49" s="60" t="str">
        <f t="shared" si="51"/>
        <v/>
      </c>
      <c r="F49" s="59" t="str">
        <f t="shared" si="52"/>
        <v/>
      </c>
      <c r="G49" s="139" t="str">
        <f>IF($B46="","",IF($E49="正規職員","-",IF(AND(EXACT(B41,B46),EXACT(D44,D49),EXACT(E44,E49)),G44,"賃金単価を記載")))</f>
        <v/>
      </c>
      <c r="H49" s="59" t="str">
        <f>IF($D49="","",IF($E49="正規職員","-",F49*G49))</f>
        <v/>
      </c>
      <c r="I49" s="59">
        <f t="shared" si="8"/>
        <v>271333.33333333401</v>
      </c>
      <c r="J49" s="59" t="str">
        <f t="shared" si="53"/>
        <v/>
      </c>
      <c r="K49" s="61" t="str">
        <f t="shared" si="54"/>
        <v/>
      </c>
      <c r="L49" s="62">
        <f t="shared" si="55"/>
        <v>11</v>
      </c>
      <c r="M49" s="62" t="e">
        <f>VLOOKUP($D49&amp;M$5,'②-2勤務時間数入力'!$D$7:$Q$106,$L49,FALSE)</f>
        <v>#N/A</v>
      </c>
      <c r="N49" s="62" t="str">
        <f>IF(ISERROR(M49),"×",IF(M49="-","×","○"))</f>
        <v>×</v>
      </c>
      <c r="O49" s="62" t="e">
        <f>VLOOKUP($D49&amp;O$5,'②-2勤務時間数入力'!$D$7:$Q$106,$L49,FALSE)</f>
        <v>#N/A</v>
      </c>
      <c r="P49" s="62" t="str">
        <f>IF(ISERROR(O49),"×",IF(O49="-","×","○"))</f>
        <v>×</v>
      </c>
      <c r="Q49" s="62" t="e">
        <f>VLOOKUP($D49&amp;Q$5,'②-2勤務時間数入力'!$D$7:$Q$106,$L49,FALSE)</f>
        <v>#N/A</v>
      </c>
      <c r="R49" s="62" t="str">
        <f>IF(ISERROR(Q49),"×",IF(Q49="-","×","○"))</f>
        <v>×</v>
      </c>
      <c r="S49" s="62" t="e">
        <f>VLOOKUP($D49&amp;S$5,'②-2勤務時間数入力'!$D$7:$Q$106,$L49,FALSE)</f>
        <v>#N/A</v>
      </c>
      <c r="T49" s="62" t="str">
        <f>IF(ISERROR(S49),"×",IF(S49="-","×","○"))</f>
        <v>×</v>
      </c>
    </row>
    <row r="50" spans="1:20" ht="13.5" hidden="1" customHeight="1">
      <c r="A50" s="844"/>
      <c r="B50" s="858"/>
      <c r="C50" s="283"/>
      <c r="D50" s="1" t="s">
        <v>281</v>
      </c>
      <c r="E50" s="60" t="s">
        <v>273</v>
      </c>
      <c r="F50" s="67"/>
      <c r="G50" s="441" t="s">
        <v>273</v>
      </c>
      <c r="H50" s="60" t="s">
        <v>273</v>
      </c>
      <c r="I50" s="60" t="s">
        <v>273</v>
      </c>
      <c r="J50" s="59" t="str">
        <f>IFERROR(IF(J46="","",MIN(SUM(J46:J49),(B46*I46))),0)</f>
        <v/>
      </c>
      <c r="K50" s="61"/>
      <c r="L50" s="62"/>
      <c r="M50" s="62"/>
      <c r="N50" s="62"/>
      <c r="O50" s="62"/>
      <c r="P50" s="62"/>
      <c r="Q50" s="62"/>
      <c r="R50" s="62"/>
      <c r="S50" s="62"/>
      <c r="T50" s="62"/>
    </row>
    <row r="51" spans="1:20" ht="13.5" hidden="1" customHeight="1">
      <c r="A51" s="843">
        <v>1</v>
      </c>
      <c r="B51" s="856" t="str">
        <f>IF(判定!AZ18&gt;=1,判定!AZ18,"-")</f>
        <v>-</v>
      </c>
      <c r="C51" s="856" t="str">
        <f>IF(B51&gt;=1,IFERROR(INDEX($F$81:$G$86,MATCH(判定!AR18,$F$81:$F$86,0),2),"-"),"-")</f>
        <v>-</v>
      </c>
      <c r="D51" s="138" t="str">
        <f>IF(D46="","",D46)</f>
        <v/>
      </c>
      <c r="E51" s="60" t="str">
        <f>IF(D51="","",IF(N51="○",M$5,IF(P51="○",O$5,IF(R51="○",Q$5,IF(T51="○",S$5,"ERROR")))))</f>
        <v/>
      </c>
      <c r="F51" s="59" t="str">
        <f>IF(D51="","",IF(N51="○",M51,IF(P51="○",O51,IF(R51="○",Q51,IF(T51="○",S51,"ERROR")))))</f>
        <v/>
      </c>
      <c r="G51" s="139" t="str">
        <f>IF($B51="","",IF($E51="正規職員","-",IF(AND(EXACT(B46,B51),EXACT(D46,D51),EXACT(E46,E51)),G46,"賃金単価を記載")))</f>
        <v/>
      </c>
      <c r="H51" s="59" t="str">
        <f t="shared" ref="H51:H52" si="56">IF($D51="","",IF($E51="正規職員","-",F51*G51))</f>
        <v/>
      </c>
      <c r="I51" s="59">
        <f t="shared" si="8"/>
        <v>271333.33333333401</v>
      </c>
      <c r="J51" s="59" t="str">
        <f>IF($D51="","",IF(E51="正規職員",I51,MIN(H51:I51)))</f>
        <v/>
      </c>
      <c r="K51" s="61" t="str">
        <f>IF(D51="","",IF(OR(COUNTIFS(D51,"*要配慮*")=1,COUNTIFS(D51,"*医療的ケア*")=1),"○","エラー"))</f>
        <v/>
      </c>
      <c r="L51" s="62">
        <f>L46+1</f>
        <v>12</v>
      </c>
      <c r="M51" s="62" t="e">
        <f>VLOOKUP($D51&amp;M$5,'②-2勤務時間数入力'!$D$7:$Q$106,$L51,FALSE)</f>
        <v>#N/A</v>
      </c>
      <c r="N51" s="62" t="str">
        <f>IF(ISERROR(M51),"×",IF(M51="-","×","○"))</f>
        <v>×</v>
      </c>
      <c r="O51" s="62" t="e">
        <f>VLOOKUP($D51&amp;O$5,'②-2勤務時間数入力'!$D$7:$Q$106,$L51,FALSE)</f>
        <v>#N/A</v>
      </c>
      <c r="P51" s="62" t="str">
        <f>IF(ISERROR(O51),"×",IF(O51="-","×","○"))</f>
        <v>×</v>
      </c>
      <c r="Q51" s="62" t="e">
        <f>VLOOKUP($D51&amp;Q$5,'②-2勤務時間数入力'!$D$7:$Q$106,$L51,FALSE)</f>
        <v>#N/A</v>
      </c>
      <c r="R51" s="62" t="str">
        <f>IF(ISERROR(Q51),"×",IF(Q51="-","×","○"))</f>
        <v>×</v>
      </c>
      <c r="S51" s="62" t="e">
        <f>VLOOKUP($D51&amp;S$5,'②-2勤務時間数入力'!$D$7:$Q$106,$L51,FALSE)</f>
        <v>#N/A</v>
      </c>
      <c r="T51" s="62" t="str">
        <f>IF(ISERROR(S51),"×",IF(S51="-","×","○"))</f>
        <v>×</v>
      </c>
    </row>
    <row r="52" spans="1:20" ht="13.5" hidden="1" customHeight="1">
      <c r="A52" s="854"/>
      <c r="B52" s="857"/>
      <c r="C52" s="858"/>
      <c r="D52" s="138" t="str">
        <f>IF(D47="","",D47)</f>
        <v/>
      </c>
      <c r="E52" s="60" t="str">
        <f t="shared" ref="E52:E54" si="57">IF(D52="","",IF(N52="○",M$5,IF(P52="○",O$5,IF(R52="○",Q$5,IF(T52="○",S$5,"ERROR")))))</f>
        <v/>
      </c>
      <c r="F52" s="59" t="str">
        <f t="shared" ref="F52:F54" si="58">IF(D52="","",IF(N52="○",M52,IF(P52="○",O52,IF(R52="○",Q52,IF(T52="○",S52,"ERROR")))))</f>
        <v/>
      </c>
      <c r="G52" s="139" t="str">
        <f>IF($B51="","",IF($E52="正規職員","-",IF(AND(EXACT(B46,B51),EXACT(D47,D52),EXACT(E47,E52)),G47,"賃金単価を記載")))</f>
        <v/>
      </c>
      <c r="H52" s="59" t="str">
        <f t="shared" si="56"/>
        <v/>
      </c>
      <c r="I52" s="59">
        <f t="shared" si="8"/>
        <v>271333.33333333401</v>
      </c>
      <c r="J52" s="59" t="str">
        <f>IF($D52="","",IF(E52="正規職員",I52,MIN(H52:I52)))</f>
        <v/>
      </c>
      <c r="K52" s="61" t="str">
        <f t="shared" ref="K52:K54" si="59">IF(D52="","",IF(OR(COUNTIFS(D52,"*要配慮*")=1,COUNTIFS(D52,"*医療的ケア*")=1),"○","エラー"))</f>
        <v/>
      </c>
      <c r="L52" s="62">
        <f t="shared" ref="L52:L54" si="60">L51</f>
        <v>12</v>
      </c>
      <c r="M52" s="62" t="e">
        <f>VLOOKUP($D52&amp;M$5,'②-2勤務時間数入力'!$D$7:$Q$106,$L52,FALSE)</f>
        <v>#N/A</v>
      </c>
      <c r="N52" s="62" t="str">
        <f>IF(ISERROR(M52),"×",IF(M52="-","×","○"))</f>
        <v>×</v>
      </c>
      <c r="O52" s="62" t="e">
        <f>VLOOKUP($D52&amp;O$5,'②-2勤務時間数入力'!$D$7:$Q$106,$L52,FALSE)</f>
        <v>#N/A</v>
      </c>
      <c r="P52" s="62" t="str">
        <f>IF(ISERROR(O52),"×",IF(O52="-","×","○"))</f>
        <v>×</v>
      </c>
      <c r="Q52" s="62" t="e">
        <f>VLOOKUP($D52&amp;Q$5,'②-2勤務時間数入力'!$D$7:$Q$106,$L52,FALSE)</f>
        <v>#N/A</v>
      </c>
      <c r="R52" s="62" t="str">
        <f>IF(ISERROR(Q52),"×",IF(Q52="-","×","○"))</f>
        <v>×</v>
      </c>
      <c r="S52" s="62" t="e">
        <f>VLOOKUP($D52&amp;S$5,'②-2勤務時間数入力'!$D$7:$Q$106,$L52,FALSE)</f>
        <v>#N/A</v>
      </c>
      <c r="T52" s="62" t="str">
        <f>IF(ISERROR(S52),"×",IF(S52="-","×","○"))</f>
        <v>×</v>
      </c>
    </row>
    <row r="53" spans="1:20" ht="13.5" hidden="1" customHeight="1">
      <c r="A53" s="854"/>
      <c r="B53" s="857"/>
      <c r="C53" s="856" t="str">
        <f>IF(B51&gt;=1,IFERROR(INDEX($F$81:$G$86,MATCH(判定!AS18,$F$81:$F$86,0),2),"-"),"-")</f>
        <v>-</v>
      </c>
      <c r="D53" s="138" t="str">
        <f>IF(D48="","",D48)</f>
        <v/>
      </c>
      <c r="E53" s="60" t="str">
        <f t="shared" si="57"/>
        <v/>
      </c>
      <c r="F53" s="59" t="str">
        <f t="shared" si="58"/>
        <v/>
      </c>
      <c r="G53" s="139" t="str">
        <f>IF($B51="","",IF($E53="正規職員","-",IF(AND(EXACT(B46,B51),EXACT(D48,D53),EXACT(E48,E53)),G48,"賃金単価を記載")))</f>
        <v/>
      </c>
      <c r="H53" s="59" t="str">
        <f>IF($D53="","",IF($E53="正規職員","-",F53*G53))</f>
        <v/>
      </c>
      <c r="I53" s="59">
        <f t="shared" si="8"/>
        <v>271333.33333333401</v>
      </c>
      <c r="J53" s="59" t="str">
        <f>IF($D53="","",IF(E53="正規職員",I53,MIN(H53:I53)))</f>
        <v/>
      </c>
      <c r="K53" s="61" t="str">
        <f t="shared" si="59"/>
        <v/>
      </c>
      <c r="L53" s="62">
        <f t="shared" si="60"/>
        <v>12</v>
      </c>
      <c r="M53" s="62" t="e">
        <f>VLOOKUP($D53&amp;M$5,'②-2勤務時間数入力'!$D$7:$Q$106,$L53,FALSE)</f>
        <v>#N/A</v>
      </c>
      <c r="N53" s="62" t="str">
        <f>IF(ISERROR(M53),"×",IF(M53="-","×","○"))</f>
        <v>×</v>
      </c>
      <c r="O53" s="62" t="e">
        <f>VLOOKUP($D53&amp;O$5,'②-2勤務時間数入力'!$D$7:$Q$106,$L53,FALSE)</f>
        <v>#N/A</v>
      </c>
      <c r="P53" s="62" t="str">
        <f>IF(ISERROR(O53),"×",IF(O53="-","×","○"))</f>
        <v>×</v>
      </c>
      <c r="Q53" s="62" t="e">
        <f>VLOOKUP($D53&amp;Q$5,'②-2勤務時間数入力'!$D$7:$Q$106,$L53,FALSE)</f>
        <v>#N/A</v>
      </c>
      <c r="R53" s="62" t="str">
        <f>IF(ISERROR(Q53),"×",IF(Q53="-","×","○"))</f>
        <v>×</v>
      </c>
      <c r="S53" s="62" t="e">
        <f>VLOOKUP($D53&amp;S$5,'②-2勤務時間数入力'!$D$7:$Q$106,$L53,FALSE)</f>
        <v>#N/A</v>
      </c>
      <c r="T53" s="62" t="str">
        <f>IF(ISERROR(S53),"×",IF(S53="-","×","○"))</f>
        <v>×</v>
      </c>
    </row>
    <row r="54" spans="1:20" ht="13.5" hidden="1" customHeight="1">
      <c r="A54" s="878"/>
      <c r="B54" s="857"/>
      <c r="C54" s="858"/>
      <c r="D54" s="138" t="str">
        <f>IF(D49="","",D49)</f>
        <v/>
      </c>
      <c r="E54" s="60" t="str">
        <f t="shared" si="57"/>
        <v/>
      </c>
      <c r="F54" s="59" t="str">
        <f t="shared" si="58"/>
        <v/>
      </c>
      <c r="G54" s="139" t="str">
        <f>IF($B51="","",IF($E54="正規職員","-",IF(AND(EXACT(B46,B51),EXACT(D49,D54),EXACT(E49,E54)),G49,"賃金単価を記載")))</f>
        <v/>
      </c>
      <c r="H54" s="59" t="str">
        <f>IF($D54="","",IF($E54="正規職員","-",F54*G54))</f>
        <v/>
      </c>
      <c r="I54" s="59">
        <f t="shared" si="8"/>
        <v>271333.33333333401</v>
      </c>
      <c r="J54" s="59" t="str">
        <f t="shared" ref="J54" si="61">IF($D54="","",IF(E54="正規職員",I54,MIN(H54:I54)))</f>
        <v/>
      </c>
      <c r="K54" s="61" t="str">
        <f t="shared" si="59"/>
        <v/>
      </c>
      <c r="L54" s="62">
        <f t="shared" si="60"/>
        <v>12</v>
      </c>
      <c r="M54" s="62" t="e">
        <f>VLOOKUP($D54&amp;M$5,'②-2勤務時間数入力'!$D$7:$Q$106,$L54,FALSE)</f>
        <v>#N/A</v>
      </c>
      <c r="N54" s="62" t="str">
        <f>IF(ISERROR(M54),"×",IF(M54="-","×","○"))</f>
        <v>×</v>
      </c>
      <c r="O54" s="62" t="e">
        <f>VLOOKUP($D54&amp;O$5,'②-2勤務時間数入力'!$D$7:$Q$106,$L54,FALSE)</f>
        <v>#N/A</v>
      </c>
      <c r="P54" s="62" t="str">
        <f>IF(ISERROR(O54),"×",IF(O54="-","×","○"))</f>
        <v>×</v>
      </c>
      <c r="Q54" s="62" t="e">
        <f>VLOOKUP($D54&amp;Q$5,'②-2勤務時間数入力'!$D$7:$Q$106,$L54,FALSE)</f>
        <v>#N/A</v>
      </c>
      <c r="R54" s="62" t="str">
        <f>IF(ISERROR(Q54),"×",IF(Q54="-","×","○"))</f>
        <v>×</v>
      </c>
      <c r="S54" s="62" t="e">
        <f>VLOOKUP($D54&amp;S$5,'②-2勤務時間数入力'!$D$7:$Q$106,$L54,FALSE)</f>
        <v>#N/A</v>
      </c>
      <c r="T54" s="62" t="str">
        <f>IF(ISERROR(S54),"×",IF(S54="-","×","○"))</f>
        <v>×</v>
      </c>
    </row>
    <row r="55" spans="1:20" ht="13.5" hidden="1" customHeight="1">
      <c r="A55" s="844"/>
      <c r="B55" s="858"/>
      <c r="C55" s="283"/>
      <c r="D55" s="1" t="s">
        <v>282</v>
      </c>
      <c r="E55" s="60" t="s">
        <v>273</v>
      </c>
      <c r="F55" s="67"/>
      <c r="G55" s="441" t="s">
        <v>273</v>
      </c>
      <c r="H55" s="60" t="s">
        <v>273</v>
      </c>
      <c r="I55" s="60" t="s">
        <v>273</v>
      </c>
      <c r="J55" s="59" t="str">
        <f>IFERROR(IF(J51="","",MIN(SUM(J51:J54),(B51*I51))),0)</f>
        <v/>
      </c>
      <c r="K55" s="61"/>
      <c r="L55" s="62"/>
      <c r="M55" s="62"/>
      <c r="N55" s="62"/>
      <c r="O55" s="62"/>
      <c r="P55" s="62"/>
      <c r="Q55" s="62"/>
      <c r="R55" s="62"/>
      <c r="S55" s="62"/>
      <c r="T55" s="62"/>
    </row>
    <row r="56" spans="1:20" ht="13.5" hidden="1" customHeight="1">
      <c r="A56" s="843">
        <v>2</v>
      </c>
      <c r="B56" s="856" t="str">
        <f>IF(判定!AZ19&gt;=1,判定!AZ19,"-")</f>
        <v>-</v>
      </c>
      <c r="C56" s="856" t="str">
        <f>IF(B56&gt;=1,IFERROR(INDEX($F$81:$G$86,MATCH(判定!AR19,$F$81:$F$86,0),2),"-"),"-")</f>
        <v>-</v>
      </c>
      <c r="D56" s="138" t="str">
        <f>IF(D51="","",D51)</f>
        <v/>
      </c>
      <c r="E56" s="60" t="str">
        <f>IF(D56="","",IF(N56="○",M$5,IF(P56="○",O$5,IF(R56="○",Q$5,IF(T56="○",S$5,"ERROR")))))</f>
        <v/>
      </c>
      <c r="F56" s="59" t="str">
        <f>IF(D56="","",IF(N56="○",M56,IF(P56="○",O56,IF(R56="○",Q56,IF(T56="○",S56,"ERROR")))))</f>
        <v/>
      </c>
      <c r="G56" s="139" t="str">
        <f>IF($B56="","",IF($E56="正規職員","-",IF(AND(EXACT(B51,B56),EXACT(D51,D56),EXACT(E51,E56)),G51,"賃金単価を記載")))</f>
        <v/>
      </c>
      <c r="H56" s="59" t="str">
        <f t="shared" ref="H56:H57" si="62">IF($D56="","",IF($E56="正規職員","-",F56*G56))</f>
        <v/>
      </c>
      <c r="I56" s="59">
        <f t="shared" si="8"/>
        <v>271333.33333333401</v>
      </c>
      <c r="J56" s="59" t="str">
        <f>IF($D56="","",IF(E56="正規職員",I56,MIN(H56:I56)))</f>
        <v/>
      </c>
      <c r="K56" s="61" t="str">
        <f>IF(D56="","",IF(OR(COUNTIFS(D56,"*要配慮*")=1,COUNTIFS(D56,"*医療的ケア*")=1),"○","エラー"))</f>
        <v/>
      </c>
      <c r="L56" s="62">
        <f>L51+1</f>
        <v>13</v>
      </c>
      <c r="M56" s="62" t="e">
        <f>VLOOKUP($D56&amp;M$5,'②-2勤務時間数入力'!$D$7:$Q$106,$L56,FALSE)</f>
        <v>#N/A</v>
      </c>
      <c r="N56" s="62" t="str">
        <f>IF(ISERROR(M56),"×",IF(M56="-","×","○"))</f>
        <v>×</v>
      </c>
      <c r="O56" s="62" t="e">
        <f>VLOOKUP($D56&amp;O$5,'②-2勤務時間数入力'!$D$7:$Q$106,$L56,FALSE)</f>
        <v>#N/A</v>
      </c>
      <c r="P56" s="62" t="str">
        <f>IF(ISERROR(O56),"×",IF(O56="-","×","○"))</f>
        <v>×</v>
      </c>
      <c r="Q56" s="62" t="e">
        <f>VLOOKUP($D56&amp;Q$5,'②-2勤務時間数入力'!$D$7:$Q$106,$L56,FALSE)</f>
        <v>#N/A</v>
      </c>
      <c r="R56" s="62" t="str">
        <f>IF(ISERROR(Q56),"×",IF(Q56="-","×","○"))</f>
        <v>×</v>
      </c>
      <c r="S56" s="62" t="e">
        <f>VLOOKUP($D56&amp;S$5,'②-2勤務時間数入力'!$D$7:$Q$106,$L56,FALSE)</f>
        <v>#N/A</v>
      </c>
      <c r="T56" s="62" t="str">
        <f>IF(ISERROR(S56),"×",IF(S56="-","×","○"))</f>
        <v>×</v>
      </c>
    </row>
    <row r="57" spans="1:20" ht="13.5" hidden="1" customHeight="1">
      <c r="A57" s="854"/>
      <c r="B57" s="857"/>
      <c r="C57" s="858"/>
      <c r="D57" s="138" t="str">
        <f>IF(D52="","",D52)</f>
        <v/>
      </c>
      <c r="E57" s="60" t="str">
        <f t="shared" ref="E57:E59" si="63">IF(D57="","",IF(N57="○",M$5,IF(P57="○",O$5,IF(R57="○",Q$5,IF(T57="○",S$5,"ERROR")))))</f>
        <v/>
      </c>
      <c r="F57" s="59" t="str">
        <f t="shared" ref="F57:F59" si="64">IF(D57="","",IF(N57="○",M57,IF(P57="○",O57,IF(R57="○",Q57,IF(T57="○",S57,"ERROR")))))</f>
        <v/>
      </c>
      <c r="G57" s="139" t="str">
        <f>IF($B56="","",IF($E57="正規職員","-",IF(AND(EXACT(B51,B56),EXACT(D52,D57),EXACT(E52,E57)),G52,"賃金単価を記載")))</f>
        <v/>
      </c>
      <c r="H57" s="59" t="str">
        <f t="shared" si="62"/>
        <v/>
      </c>
      <c r="I57" s="59">
        <f t="shared" si="8"/>
        <v>271333.33333333401</v>
      </c>
      <c r="J57" s="59" t="str">
        <f t="shared" ref="J57:J59" si="65">IF($D57="","",IF(E57="正規職員",I57,MIN(H57:I57)))</f>
        <v/>
      </c>
      <c r="K57" s="61" t="str">
        <f t="shared" ref="K57:K59" si="66">IF(D57="","",IF(OR(COUNTIFS(D57,"*要配慮*")=1,COUNTIFS(D57,"*医療的ケア*")=1),"○","エラー"))</f>
        <v/>
      </c>
      <c r="L57" s="62">
        <f t="shared" ref="L57:L59" si="67">L56</f>
        <v>13</v>
      </c>
      <c r="M57" s="62" t="e">
        <f>VLOOKUP($D57&amp;M$5,'②-2勤務時間数入力'!$D$7:$Q$106,$L57,FALSE)</f>
        <v>#N/A</v>
      </c>
      <c r="N57" s="62" t="str">
        <f>IF(ISERROR(M57),"×",IF(M57="-","×","○"))</f>
        <v>×</v>
      </c>
      <c r="O57" s="62" t="e">
        <f>VLOOKUP($D57&amp;O$5,'②-2勤務時間数入力'!$D$7:$Q$106,$L57,FALSE)</f>
        <v>#N/A</v>
      </c>
      <c r="P57" s="62" t="str">
        <f>IF(ISERROR(O57),"×",IF(O57="-","×","○"))</f>
        <v>×</v>
      </c>
      <c r="Q57" s="62" t="e">
        <f>VLOOKUP($D57&amp;Q$5,'②-2勤務時間数入力'!$D$7:$Q$106,$L57,FALSE)</f>
        <v>#N/A</v>
      </c>
      <c r="R57" s="62" t="str">
        <f>IF(ISERROR(Q57),"×",IF(Q57="-","×","○"))</f>
        <v>×</v>
      </c>
      <c r="S57" s="62" t="e">
        <f>VLOOKUP($D57&amp;S$5,'②-2勤務時間数入力'!$D$7:$Q$106,$L57,FALSE)</f>
        <v>#N/A</v>
      </c>
      <c r="T57" s="62" t="str">
        <f>IF(ISERROR(S57),"×",IF(S57="-","×","○"))</f>
        <v>×</v>
      </c>
    </row>
    <row r="58" spans="1:20" ht="13.5" hidden="1" customHeight="1">
      <c r="A58" s="854"/>
      <c r="B58" s="857"/>
      <c r="C58" s="856" t="str">
        <f>IF(B56&gt;=1,IFERROR(INDEX($F$81:$G$86,MATCH(判定!AS19,$F$81:$F$86,0),2),"-"),"-")</f>
        <v>-</v>
      </c>
      <c r="D58" s="138" t="str">
        <f>IF(D53="","",D53)</f>
        <v/>
      </c>
      <c r="E58" s="60" t="str">
        <f t="shared" si="63"/>
        <v/>
      </c>
      <c r="F58" s="59" t="str">
        <f t="shared" si="64"/>
        <v/>
      </c>
      <c r="G58" s="139" t="str">
        <f>IF($B56="","",IF($E58="正規職員","-",IF(AND(EXACT(B51,B56),EXACT(D53,D58),EXACT(E53,E58)),G53,"賃金単価を記載")))</f>
        <v/>
      </c>
      <c r="H58" s="59" t="str">
        <f>IF($D58="","",IF($E58="正規職員","-",F58*G58))</f>
        <v/>
      </c>
      <c r="I58" s="59">
        <f t="shared" si="8"/>
        <v>271333.33333333401</v>
      </c>
      <c r="J58" s="59" t="str">
        <f t="shared" si="65"/>
        <v/>
      </c>
      <c r="K58" s="61" t="str">
        <f t="shared" si="66"/>
        <v/>
      </c>
      <c r="L58" s="62">
        <f t="shared" si="67"/>
        <v>13</v>
      </c>
      <c r="M58" s="62" t="e">
        <f>VLOOKUP($D58&amp;M$5,'②-2勤務時間数入力'!$D$7:$Q$106,$L58,FALSE)</f>
        <v>#N/A</v>
      </c>
      <c r="N58" s="62" t="str">
        <f>IF(ISERROR(M58),"×",IF(M58="-","×","○"))</f>
        <v>×</v>
      </c>
      <c r="O58" s="62" t="e">
        <f>VLOOKUP($D58&amp;O$5,'②-2勤務時間数入力'!$D$7:$Q$106,$L58,FALSE)</f>
        <v>#N/A</v>
      </c>
      <c r="P58" s="62" t="str">
        <f>IF(ISERROR(O58),"×",IF(O58="-","×","○"))</f>
        <v>×</v>
      </c>
      <c r="Q58" s="62" t="e">
        <f>VLOOKUP($D58&amp;Q$5,'②-2勤務時間数入力'!$D$7:$Q$106,$L58,FALSE)</f>
        <v>#N/A</v>
      </c>
      <c r="R58" s="62" t="str">
        <f>IF(ISERROR(Q58),"×",IF(Q58="-","×","○"))</f>
        <v>×</v>
      </c>
      <c r="S58" s="62" t="e">
        <f>VLOOKUP($D58&amp;S$5,'②-2勤務時間数入力'!$D$7:$Q$106,$L58,FALSE)</f>
        <v>#N/A</v>
      </c>
      <c r="T58" s="62" t="str">
        <f>IF(ISERROR(S58),"×",IF(S58="-","×","○"))</f>
        <v>×</v>
      </c>
    </row>
    <row r="59" spans="1:20" ht="13.5" hidden="1" customHeight="1">
      <c r="A59" s="878"/>
      <c r="B59" s="857"/>
      <c r="C59" s="858"/>
      <c r="D59" s="138" t="str">
        <f>IF(D54="","",D54)</f>
        <v/>
      </c>
      <c r="E59" s="60" t="str">
        <f t="shared" si="63"/>
        <v/>
      </c>
      <c r="F59" s="59" t="str">
        <f t="shared" si="64"/>
        <v/>
      </c>
      <c r="G59" s="139" t="str">
        <f>IF($B56="","",IF($E59="正規職員","-",IF(AND(EXACT(B51,B56),EXACT(D54,D59),EXACT(E54,E59)),G54,"賃金単価を記載")))</f>
        <v/>
      </c>
      <c r="H59" s="59" t="str">
        <f>IF($D59="","",IF($E59="正規職員","-",F59*G59))</f>
        <v/>
      </c>
      <c r="I59" s="59">
        <f t="shared" si="8"/>
        <v>271333.33333333401</v>
      </c>
      <c r="J59" s="59" t="str">
        <f t="shared" si="65"/>
        <v/>
      </c>
      <c r="K59" s="61" t="str">
        <f t="shared" si="66"/>
        <v/>
      </c>
      <c r="L59" s="62">
        <f t="shared" si="67"/>
        <v>13</v>
      </c>
      <c r="M59" s="62" t="e">
        <f>VLOOKUP($D59&amp;M$5,'②-2勤務時間数入力'!$D$7:$Q$106,$L59,FALSE)</f>
        <v>#N/A</v>
      </c>
      <c r="N59" s="62" t="str">
        <f>IF(ISERROR(M59),"×",IF(M59="-","×","○"))</f>
        <v>×</v>
      </c>
      <c r="O59" s="62" t="e">
        <f>VLOOKUP($D59&amp;O$5,'②-2勤務時間数入力'!$D$7:$Q$106,$L59,FALSE)</f>
        <v>#N/A</v>
      </c>
      <c r="P59" s="62" t="str">
        <f>IF(ISERROR(O59),"×",IF(O59="-","×","○"))</f>
        <v>×</v>
      </c>
      <c r="Q59" s="62" t="e">
        <f>VLOOKUP($D59&amp;Q$5,'②-2勤務時間数入力'!$D$7:$Q$106,$L59,FALSE)</f>
        <v>#N/A</v>
      </c>
      <c r="R59" s="62" t="str">
        <f>IF(ISERROR(Q59),"×",IF(Q59="-","×","○"))</f>
        <v>×</v>
      </c>
      <c r="S59" s="62" t="e">
        <f>VLOOKUP($D59&amp;S$5,'②-2勤務時間数入力'!$D$7:$Q$106,$L59,FALSE)</f>
        <v>#N/A</v>
      </c>
      <c r="T59" s="62" t="str">
        <f>IF(ISERROR(S59),"×",IF(S59="-","×","○"))</f>
        <v>×</v>
      </c>
    </row>
    <row r="60" spans="1:20" ht="13.5" hidden="1" customHeight="1">
      <c r="A60" s="844"/>
      <c r="B60" s="858"/>
      <c r="C60" s="283"/>
      <c r="D60" s="1" t="s">
        <v>283</v>
      </c>
      <c r="E60" s="60" t="s">
        <v>273</v>
      </c>
      <c r="F60" s="67"/>
      <c r="G60" s="441" t="s">
        <v>273</v>
      </c>
      <c r="H60" s="60" t="s">
        <v>273</v>
      </c>
      <c r="I60" s="60" t="s">
        <v>273</v>
      </c>
      <c r="J60" s="59" t="str">
        <f>IFERROR(IF(J56="","",MIN(SUM(J56:J59),(B56*I56))),0)</f>
        <v/>
      </c>
      <c r="K60" s="61"/>
      <c r="L60" s="62"/>
      <c r="M60" s="62"/>
      <c r="N60" s="62"/>
      <c r="O60" s="62"/>
      <c r="P60" s="62"/>
      <c r="Q60" s="62"/>
      <c r="R60" s="62"/>
      <c r="S60" s="62"/>
      <c r="T60" s="62"/>
    </row>
    <row r="61" spans="1:20" ht="13.5" hidden="1" customHeight="1">
      <c r="A61" s="843">
        <v>3</v>
      </c>
      <c r="B61" s="856" t="str">
        <f>IF(判定!AZ20&gt;=1,判定!AZ20,"-")</f>
        <v>-</v>
      </c>
      <c r="C61" s="856" t="str">
        <f>IF(B61&gt;=1,IFERROR(INDEX($F$81:$G$86,MATCH(判定!AR20,$F$81:$F$86,0),2),"-"),"-")</f>
        <v>-</v>
      </c>
      <c r="D61" s="138" t="str">
        <f>IF(D56="","",D56)</f>
        <v/>
      </c>
      <c r="E61" s="60" t="str">
        <f>IF(D61="","",IF(N61="○",M$5,IF(P61="○",O$5,IF(R61="○",Q$5,IF(T61="○",S$5,"ERROR")))))</f>
        <v/>
      </c>
      <c r="F61" s="59" t="str">
        <f t="shared" ref="F61:F64" si="68">IF(D61="","",IF(N61="○",M61,IF(P61="○",O61,IF(R61="○",Q61,IF(T61="○",S61,"ERROR")))))</f>
        <v/>
      </c>
      <c r="G61" s="139" t="str">
        <f>IF($B61="","",IF($E61="正規職員","-",IF(AND(EXACT(B56,B61),EXACT(D56,D61),EXACT(E56,E61)),G56,"賃金単価を記載")))</f>
        <v/>
      </c>
      <c r="H61" s="59" t="str">
        <f t="shared" ref="H61:H62" si="69">IF($D61="","",IF($E61="正規職員","-",F61*G61))</f>
        <v/>
      </c>
      <c r="I61" s="59">
        <f t="shared" si="8"/>
        <v>271333.33333333401</v>
      </c>
      <c r="J61" s="59" t="str">
        <f>IF($D61="","",IF(E61="正規職員",I61,MIN(H61:I61)))</f>
        <v/>
      </c>
      <c r="K61" s="61" t="str">
        <f>IF(D61="","",IF(OR(COUNTIFS(D61,"*要配慮*")=1,COUNTIFS(D61,"*医療的ケア*")=1),"○","エラー"))</f>
        <v/>
      </c>
      <c r="L61" s="62">
        <f>L56+1</f>
        <v>14</v>
      </c>
      <c r="M61" s="62" t="e">
        <f>VLOOKUP($D61&amp;M$5,'②-2勤務時間数入力'!$D$7:$Q$106,$L61,FALSE)</f>
        <v>#N/A</v>
      </c>
      <c r="N61" s="62" t="str">
        <f>IF(ISERROR(M61),"×",IF(M61="-","×","○"))</f>
        <v>×</v>
      </c>
      <c r="O61" s="62" t="e">
        <f>VLOOKUP($D61&amp;O$5,'②-2勤務時間数入力'!$D$7:$Q$106,$L61,FALSE)</f>
        <v>#N/A</v>
      </c>
      <c r="P61" s="62" t="str">
        <f>IF(ISERROR(O61),"×",IF(O61="-","×","○"))</f>
        <v>×</v>
      </c>
      <c r="Q61" s="62" t="e">
        <f>VLOOKUP($D61&amp;Q$5,'②-2勤務時間数入力'!$D$7:$Q$106,$L61,FALSE)</f>
        <v>#N/A</v>
      </c>
      <c r="R61" s="62" t="str">
        <f>IF(ISERROR(Q61),"×",IF(Q61="-","×","○"))</f>
        <v>×</v>
      </c>
      <c r="S61" s="62" t="e">
        <f>VLOOKUP($D61&amp;S$5,'②-2勤務時間数入力'!$D$7:$Q$106,$L61,FALSE)</f>
        <v>#N/A</v>
      </c>
      <c r="T61" s="62" t="str">
        <f>IF(ISERROR(S61),"×",IF(S61="-","×","○"))</f>
        <v>×</v>
      </c>
    </row>
    <row r="62" spans="1:20" ht="13.5" hidden="1" customHeight="1">
      <c r="A62" s="854"/>
      <c r="B62" s="857"/>
      <c r="C62" s="858"/>
      <c r="D62" s="138" t="str">
        <f>IF(D57="","",D57)</f>
        <v/>
      </c>
      <c r="E62" s="60" t="str">
        <f t="shared" ref="E62:E64" si="70">IF(D62="","",IF(N62="○",M$5,IF(P62="○",O$5,IF(R62="○",Q$5,IF(T62="○",S$5,"ERROR")))))</f>
        <v/>
      </c>
      <c r="F62" s="59" t="str">
        <f t="shared" si="68"/>
        <v/>
      </c>
      <c r="G62" s="139" t="str">
        <f>IF($B61="","",IF($E62="正規職員","-",IF(AND(EXACT(B56,B61),EXACT(D57,D62),EXACT(E57,E62)),G57,"賃金単価を記載")))</f>
        <v/>
      </c>
      <c r="H62" s="59" t="str">
        <f t="shared" si="69"/>
        <v/>
      </c>
      <c r="I62" s="59">
        <f t="shared" si="8"/>
        <v>271333.33333333401</v>
      </c>
      <c r="J62" s="59" t="str">
        <f t="shared" ref="J62:J64" si="71">IF($D62="","",IF(E62="正規職員",I62,MIN(H62:I62)))</f>
        <v/>
      </c>
      <c r="K62" s="61" t="str">
        <f t="shared" ref="K62:K64" si="72">IF(D62="","",IF(OR(COUNTIFS(D62,"*要配慮*")=1,COUNTIFS(D62,"*医療的ケア*")=1),"○","エラー"))</f>
        <v/>
      </c>
      <c r="L62" s="62">
        <f>L61</f>
        <v>14</v>
      </c>
      <c r="M62" s="62" t="e">
        <f>VLOOKUP($D62&amp;M$5,'②-2勤務時間数入力'!$D$7:$Q$106,$L62,FALSE)</f>
        <v>#N/A</v>
      </c>
      <c r="N62" s="62" t="str">
        <f>IF(ISERROR(M62),"×",IF(M62="-","×","○"))</f>
        <v>×</v>
      </c>
      <c r="O62" s="62" t="e">
        <f>VLOOKUP($D62&amp;O$5,'②-2勤務時間数入力'!$D$7:$Q$106,$L62,FALSE)</f>
        <v>#N/A</v>
      </c>
      <c r="P62" s="62" t="str">
        <f>IF(ISERROR(O62),"×",IF(O62="-","×","○"))</f>
        <v>×</v>
      </c>
      <c r="Q62" s="62" t="e">
        <f>VLOOKUP($D62&amp;Q$5,'②-2勤務時間数入力'!$D$7:$Q$106,$L62,FALSE)</f>
        <v>#N/A</v>
      </c>
      <c r="R62" s="62" t="str">
        <f>IF(ISERROR(Q62),"×",IF(Q62="-","×","○"))</f>
        <v>×</v>
      </c>
      <c r="S62" s="62" t="e">
        <f>VLOOKUP($D62&amp;S$5,'②-2勤務時間数入力'!$D$7:$Q$106,$L62,FALSE)</f>
        <v>#N/A</v>
      </c>
      <c r="T62" s="62" t="str">
        <f>IF(ISERROR(S62),"×",IF(S62="-","×","○"))</f>
        <v>×</v>
      </c>
    </row>
    <row r="63" spans="1:20" ht="13.5" hidden="1" customHeight="1">
      <c r="A63" s="854"/>
      <c r="B63" s="857"/>
      <c r="C63" s="856" t="str">
        <f>IF(B61&gt;=1,IFERROR(INDEX($F$81:$G$86,MATCH(判定!AS20,$F$81:$F$86,0),2),"-"),"-")</f>
        <v>-</v>
      </c>
      <c r="D63" s="138" t="str">
        <f>IF(D58="","",D58)</f>
        <v/>
      </c>
      <c r="E63" s="60" t="str">
        <f t="shared" si="70"/>
        <v/>
      </c>
      <c r="F63" s="59" t="str">
        <f t="shared" si="68"/>
        <v/>
      </c>
      <c r="G63" s="139" t="str">
        <f>IF($B61="","",IF($E63="正規職員","-",IF(AND(EXACT(B56,B61),EXACT(D58,D63),EXACT(E58,E63)),G58,"賃金単価を記載")))</f>
        <v/>
      </c>
      <c r="H63" s="59" t="str">
        <f>IF($D63="","",IF($E63="正規職員","-",F63*G63))</f>
        <v/>
      </c>
      <c r="I63" s="59">
        <f t="shared" si="8"/>
        <v>271333.33333333401</v>
      </c>
      <c r="J63" s="59" t="str">
        <f t="shared" si="71"/>
        <v/>
      </c>
      <c r="K63" s="61" t="str">
        <f t="shared" si="72"/>
        <v/>
      </c>
      <c r="L63" s="62">
        <f t="shared" ref="L63:L64" si="73">L62</f>
        <v>14</v>
      </c>
      <c r="M63" s="62" t="e">
        <f>VLOOKUP($D63&amp;M$5,'②-2勤務時間数入力'!$D$7:$Q$106,$L63,FALSE)</f>
        <v>#N/A</v>
      </c>
      <c r="N63" s="62" t="str">
        <f>IF(ISERROR(M63),"×",IF(M63="-","×","○"))</f>
        <v>×</v>
      </c>
      <c r="O63" s="62" t="e">
        <f>VLOOKUP($D63&amp;O$5,'②-2勤務時間数入力'!$D$7:$Q$106,$L63,FALSE)</f>
        <v>#N/A</v>
      </c>
      <c r="P63" s="62" t="str">
        <f>IF(ISERROR(O63),"×",IF(O63="-","×","○"))</f>
        <v>×</v>
      </c>
      <c r="Q63" s="62" t="e">
        <f>VLOOKUP($D63&amp;Q$5,'②-2勤務時間数入力'!$D$7:$Q$106,$L63,FALSE)</f>
        <v>#N/A</v>
      </c>
      <c r="R63" s="62" t="str">
        <f>IF(ISERROR(Q63),"×",IF(Q63="-","×","○"))</f>
        <v>×</v>
      </c>
      <c r="S63" s="62" t="e">
        <f>VLOOKUP($D63&amp;S$5,'②-2勤務時間数入力'!$D$7:$Q$106,$L63,FALSE)</f>
        <v>#N/A</v>
      </c>
      <c r="T63" s="62" t="str">
        <f>IF(ISERROR(S63),"×",IF(S63="-","×","○"))</f>
        <v>×</v>
      </c>
    </row>
    <row r="64" spans="1:20" ht="13.5" hidden="1" customHeight="1">
      <c r="A64" s="878"/>
      <c r="B64" s="857"/>
      <c r="C64" s="858"/>
      <c r="D64" s="138" t="str">
        <f>IF(D59="","",D59)</f>
        <v/>
      </c>
      <c r="E64" s="60" t="str">
        <f t="shared" si="70"/>
        <v/>
      </c>
      <c r="F64" s="59" t="str">
        <f t="shared" si="68"/>
        <v/>
      </c>
      <c r="G64" s="139" t="str">
        <f>IF($B61="","",IF($E64="正規職員","-",IF(AND(EXACT(B56,B61),EXACT(D59,D64),EXACT(E59,E64)),G59,"賃金単価を記載")))</f>
        <v/>
      </c>
      <c r="H64" s="59" t="str">
        <f>IF($D64="","",IF($E64="正規職員","-",F64*G64))</f>
        <v/>
      </c>
      <c r="I64" s="59">
        <f t="shared" ref="I64" si="74">$I$6</f>
        <v>271333.33333333401</v>
      </c>
      <c r="J64" s="59" t="str">
        <f t="shared" si="71"/>
        <v/>
      </c>
      <c r="K64" s="61" t="str">
        <f t="shared" si="72"/>
        <v/>
      </c>
      <c r="L64" s="62">
        <f t="shared" si="73"/>
        <v>14</v>
      </c>
      <c r="M64" s="62" t="e">
        <f>VLOOKUP($D64&amp;M$5,'②-2勤務時間数入力'!$D$7:$Q$106,$L64,FALSE)</f>
        <v>#N/A</v>
      </c>
      <c r="N64" s="62" t="str">
        <f>IF(ISERROR(M64),"×",IF(M64="-","×","○"))</f>
        <v>×</v>
      </c>
      <c r="O64" s="62" t="e">
        <f>VLOOKUP($D64&amp;O$5,'②-2勤務時間数入力'!$D$7:$Q$106,$L64,FALSE)</f>
        <v>#N/A</v>
      </c>
      <c r="P64" s="62" t="str">
        <f>IF(ISERROR(O64),"×",IF(O64="-","×","○"))</f>
        <v>×</v>
      </c>
      <c r="Q64" s="62" t="e">
        <f>VLOOKUP($D64&amp;Q$5,'②-2勤務時間数入力'!$D$7:$Q$106,$L64,FALSE)</f>
        <v>#N/A</v>
      </c>
      <c r="R64" s="62" t="str">
        <f>IF(ISERROR(Q64),"×",IF(Q64="-","×","○"))</f>
        <v>×</v>
      </c>
      <c r="S64" s="62" t="e">
        <f>VLOOKUP($D64&amp;S$5,'②-2勤務時間数入力'!$D$7:$Q$106,$L64,FALSE)</f>
        <v>#N/A</v>
      </c>
      <c r="T64" s="62" t="str">
        <f>IF(ISERROR(S64),"×",IF(S64="-","×","○"))</f>
        <v>×</v>
      </c>
    </row>
    <row r="65" spans="1:11" ht="13.5" hidden="1" customHeight="1">
      <c r="A65" s="844"/>
      <c r="B65" s="858"/>
      <c r="C65" s="428"/>
      <c r="D65" s="1" t="s">
        <v>284</v>
      </c>
      <c r="E65" s="60" t="s">
        <v>273</v>
      </c>
      <c r="F65" s="67"/>
      <c r="G65" s="441" t="s">
        <v>273</v>
      </c>
      <c r="H65" s="60" t="s">
        <v>273</v>
      </c>
      <c r="I65" s="60" t="s">
        <v>273</v>
      </c>
      <c r="J65" s="59" t="str">
        <f>IFERROR(IF(J61="","",MIN(SUM(J61:J64),(B61*I61))),0)</f>
        <v/>
      </c>
      <c r="K65" s="61"/>
    </row>
    <row r="66" spans="1:11" ht="13.5" hidden="1" customHeight="1">
      <c r="A66" s="58" t="s">
        <v>264</v>
      </c>
      <c r="B66" s="285"/>
      <c r="C66" s="58"/>
      <c r="D66" s="1"/>
      <c r="E66" s="59"/>
      <c r="F66" s="59"/>
      <c r="G66" s="59"/>
      <c r="H66" s="59"/>
      <c r="I66" s="59"/>
      <c r="J66" s="63">
        <f>ROUNDDOWN(SUM(J10,J15,J20,J25,J30,J35,J40,J45,J50,J55,J60,J65),-3)</f>
        <v>0</v>
      </c>
    </row>
    <row r="67" spans="1:11" ht="15" customHeight="1">
      <c r="D67" s="61"/>
      <c r="E67" s="61"/>
      <c r="F67" s="61"/>
      <c r="G67" s="61"/>
      <c r="H67" s="61"/>
      <c r="I67" s="61"/>
    </row>
    <row r="69" spans="1:11" hidden="1">
      <c r="C69" s="82" t="s">
        <v>349</v>
      </c>
      <c r="D69" s="82"/>
      <c r="E69" s="82"/>
      <c r="F69" s="82"/>
    </row>
    <row r="70" spans="1:11" hidden="1">
      <c r="C70" s="82" t="s">
        <v>352</v>
      </c>
      <c r="D70" s="82"/>
      <c r="E70" s="82"/>
      <c r="F70" s="82"/>
    </row>
    <row r="71" spans="1:11" hidden="1">
      <c r="C71" s="82" t="s">
        <v>376</v>
      </c>
      <c r="D71" s="82"/>
      <c r="E71" s="82"/>
      <c r="F71" s="82"/>
    </row>
    <row r="72" spans="1:11" ht="163.5" hidden="1" customHeight="1">
      <c r="C72" s="137" t="s">
        <v>322</v>
      </c>
      <c r="D72" s="883" t="s">
        <v>1080</v>
      </c>
      <c r="E72" s="884"/>
      <c r="F72" s="885"/>
    </row>
    <row r="73" spans="1:11" ht="57" hidden="1" customHeight="1">
      <c r="C73" s="137" t="s">
        <v>327</v>
      </c>
      <c r="D73" s="883" t="s">
        <v>351</v>
      </c>
      <c r="E73" s="884"/>
      <c r="F73" s="885"/>
    </row>
    <row r="74" spans="1:11" ht="57" hidden="1" customHeight="1"/>
    <row r="75" spans="1:11" hidden="1"/>
    <row r="76" spans="1:11" hidden="1"/>
    <row r="77" spans="1:11" hidden="1"/>
    <row r="78" spans="1:11" hidden="1"/>
    <row r="79" spans="1:11" hidden="1"/>
    <row r="80" spans="1:11" hidden="1"/>
    <row r="81" spans="6:7" hidden="1">
      <c r="G81" t="s">
        <v>799</v>
      </c>
    </row>
    <row r="82" spans="6:7" hidden="1">
      <c r="F82" t="s">
        <v>795</v>
      </c>
      <c r="G82" t="str">
        <f>'②-1職員名簿'!C144</f>
        <v>保育教諭等</v>
      </c>
    </row>
    <row r="83" spans="6:7" hidden="1">
      <c r="F83" t="s">
        <v>796</v>
      </c>
      <c r="G83" t="str">
        <f>'②-1職員名簿'!C145</f>
        <v>要件緩和</v>
      </c>
    </row>
    <row r="84" spans="6:7" hidden="1">
      <c r="F84" t="s">
        <v>797</v>
      </c>
      <c r="G84" t="str">
        <f>'②-1職員名簿'!C146</f>
        <v>看護師等</v>
      </c>
    </row>
    <row r="85" spans="6:7" hidden="1">
      <c r="F85" t="s">
        <v>798</v>
      </c>
      <c r="G85" t="str">
        <f>'②-1職員名簿'!C147</f>
        <v>栄養士</v>
      </c>
    </row>
    <row r="86" spans="6:7" hidden="1">
      <c r="F86" t="s">
        <v>802</v>
      </c>
      <c r="G86" t="str">
        <f>'②-1職員名簿'!C148</f>
        <v>調理師等</v>
      </c>
    </row>
    <row r="87" spans="6:7" hidden="1">
      <c r="F87" t="s">
        <v>803</v>
      </c>
      <c r="G87" t="str">
        <f>'②-1職員名簿'!C149</f>
        <v>教育・保育支援者</v>
      </c>
    </row>
  </sheetData>
  <sheetProtection algorithmName="SHA-512" hashValue="ctSJmCKKCjk/vvMXKZUAUfeGy+T3NJ7GCkhI+2NVQ17KEc8O/wmLIX/Y9QAz5Zvxw88tG9vLT5uZ2seKaKmJ3Q==" saltValue="9KWrtIODT9REc07D8bCgbw==" spinCount="100000" sheet="1" selectLockedCells="1"/>
  <mergeCells count="57">
    <mergeCell ref="A1:J1"/>
    <mergeCell ref="E2:F2"/>
    <mergeCell ref="G2:J2"/>
    <mergeCell ref="M5:N5"/>
    <mergeCell ref="O5:P5"/>
    <mergeCell ref="S5:T5"/>
    <mergeCell ref="A6:A10"/>
    <mergeCell ref="B6:B10"/>
    <mergeCell ref="C6:C7"/>
    <mergeCell ref="C8:C9"/>
    <mergeCell ref="Q5:R5"/>
    <mergeCell ref="A11:A15"/>
    <mergeCell ref="B11:B15"/>
    <mergeCell ref="A16:A20"/>
    <mergeCell ref="B16:B20"/>
    <mergeCell ref="A21:A25"/>
    <mergeCell ref="B21:B25"/>
    <mergeCell ref="A26:A30"/>
    <mergeCell ref="B26:B30"/>
    <mergeCell ref="A31:A35"/>
    <mergeCell ref="B31:B35"/>
    <mergeCell ref="A36:A40"/>
    <mergeCell ref="B36:B40"/>
    <mergeCell ref="D73:F73"/>
    <mergeCell ref="A41:A45"/>
    <mergeCell ref="B41:B45"/>
    <mergeCell ref="A46:A50"/>
    <mergeCell ref="B46:B50"/>
    <mergeCell ref="A51:A55"/>
    <mergeCell ref="B51:B55"/>
    <mergeCell ref="D72:F72"/>
    <mergeCell ref="A56:A60"/>
    <mergeCell ref="B56:B60"/>
    <mergeCell ref="A61:A65"/>
    <mergeCell ref="B61:B65"/>
    <mergeCell ref="C43:C44"/>
    <mergeCell ref="C41:C42"/>
    <mergeCell ref="C48:C49"/>
    <mergeCell ref="C46:C47"/>
    <mergeCell ref="C18:C19"/>
    <mergeCell ref="C16:C17"/>
    <mergeCell ref="C13:C14"/>
    <mergeCell ref="C11:C12"/>
    <mergeCell ref="C23:C24"/>
    <mergeCell ref="C21:C22"/>
    <mergeCell ref="C28:C29"/>
    <mergeCell ref="C26:C27"/>
    <mergeCell ref="C33:C34"/>
    <mergeCell ref="C31:C32"/>
    <mergeCell ref="C38:C39"/>
    <mergeCell ref="C36:C37"/>
    <mergeCell ref="C53:C54"/>
    <mergeCell ref="C51:C52"/>
    <mergeCell ref="C58:C59"/>
    <mergeCell ref="C56:C57"/>
    <mergeCell ref="C63:C64"/>
    <mergeCell ref="C61:C62"/>
  </mergeCells>
  <phoneticPr fontId="1"/>
  <conditionalFormatting sqref="D6:D9 D11:D14 D16:D19 D21:D24 D26:D29 D31:D34 D36:D39 D41:D44 D46:D49 D51:D54 D56:D59 D61:D64">
    <cfRule type="containsBlanks" dxfId="15" priority="1">
      <formula>LEN(TRIM(D6))=0</formula>
    </cfRule>
  </conditionalFormatting>
  <conditionalFormatting sqref="G6:G64">
    <cfRule type="containsText" dxfId="14" priority="2" operator="containsText" text="賃金単価を記載">
      <formula>NOT(ISERROR(SEARCH("賃金単価を記載",G6)))</formula>
    </cfRule>
  </conditionalFormatting>
  <dataValidations count="1">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D10" xr:uid="{9CD0D137-6E00-485C-A7A4-A0B152D5972D}"/>
  </dataValidations>
  <pageMargins left="0.70866141732283472" right="0.70866141732283472" top="0.74803149606299213" bottom="0.74803149606299213" header="0.31496062992125984" footer="0.31496062992125984"/>
  <pageSetup paperSize="9" scale="4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A43D6652-47F2-447D-9CC1-83423463697C}">
          <x14:formula1>
            <xm:f>'②-1職員名簿'!Y$7:Y$107</xm:f>
          </x14:formula1>
          <xm:sqref>D6:D9 D11:D65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7C3C-C48B-4B2F-BFB1-F6206808C308}">
  <sheetPr>
    <tabColor rgb="FFFFFF00"/>
  </sheetPr>
  <dimension ref="A1:P37"/>
  <sheetViews>
    <sheetView view="pageBreakPreview" zoomScale="85" zoomScaleNormal="100" zoomScaleSheetLayoutView="85" workbookViewId="0">
      <selection activeCell="J7" sqref="J7:L9"/>
    </sheetView>
  </sheetViews>
  <sheetFormatPr defaultColWidth="9" defaultRowHeight="13"/>
  <cols>
    <col min="1" max="1" width="5.08203125" style="178" customWidth="1"/>
    <col min="2" max="2" width="14.33203125" style="178" customWidth="1"/>
    <col min="3" max="5" width="4.08203125" style="178" customWidth="1"/>
    <col min="6" max="7" width="4.75" style="178" customWidth="1"/>
    <col min="8" max="8" width="3.75" style="178" customWidth="1"/>
    <col min="9" max="9" width="9.33203125" style="178" customWidth="1"/>
    <col min="10" max="10" width="8.75" style="178" customWidth="1"/>
    <col min="11" max="11" width="17.5" style="178" customWidth="1"/>
    <col min="12" max="12" width="5.83203125" style="178" customWidth="1"/>
    <col min="13" max="13" width="5.75" style="178" customWidth="1"/>
    <col min="14" max="14" width="9.83203125" style="178" bestFit="1" customWidth="1"/>
    <col min="15" max="16384" width="9" style="178"/>
  </cols>
  <sheetData>
    <row r="1" spans="1:14" ht="23.15" customHeight="1">
      <c r="A1" s="201" t="s">
        <v>837</v>
      </c>
      <c r="B1" s="201"/>
      <c r="C1" s="201"/>
      <c r="D1" s="201"/>
      <c r="E1" s="201"/>
      <c r="F1" s="201"/>
      <c r="G1" s="201"/>
      <c r="H1" s="201"/>
      <c r="I1" s="201"/>
      <c r="J1" s="201"/>
      <c r="K1" s="201"/>
      <c r="L1" s="201" t="e">
        <f>様式４!H1</f>
        <v>#N/A</v>
      </c>
      <c r="M1" s="201" t="e">
        <f>①基本情報!Q5</f>
        <v>#N/A</v>
      </c>
      <c r="N1" s="201"/>
    </row>
    <row r="2" spans="1:14" ht="23.15" customHeight="1">
      <c r="A2" s="201"/>
      <c r="B2" s="201"/>
      <c r="C2" s="201"/>
      <c r="D2" s="201"/>
      <c r="E2" s="201"/>
      <c r="F2" s="201"/>
      <c r="G2" s="201"/>
      <c r="H2" s="201"/>
      <c r="I2" s="201"/>
      <c r="J2" s="201"/>
      <c r="K2" s="202" t="s">
        <v>1282</v>
      </c>
      <c r="L2" s="201"/>
      <c r="M2" s="201"/>
      <c r="N2" s="37"/>
    </row>
    <row r="3" spans="1:14" ht="23.15" customHeight="1">
      <c r="A3" s="201"/>
      <c r="B3" s="201"/>
      <c r="C3" s="201"/>
      <c r="D3" s="201"/>
      <c r="E3" s="201"/>
      <c r="F3" s="201"/>
      <c r="G3" s="201"/>
      <c r="H3" s="201"/>
      <c r="I3" s="201"/>
      <c r="J3" s="201"/>
      <c r="K3" s="201"/>
      <c r="L3" s="201"/>
      <c r="M3" s="201"/>
      <c r="N3" s="37"/>
    </row>
    <row r="4" spans="1:14" ht="23.15" customHeight="1">
      <c r="A4" s="886" t="s">
        <v>838</v>
      </c>
      <c r="B4" s="886"/>
      <c r="C4" s="886"/>
      <c r="D4" s="886"/>
      <c r="E4" s="886"/>
      <c r="F4" s="886"/>
      <c r="G4" s="886"/>
      <c r="H4" s="886"/>
      <c r="I4" s="886"/>
      <c r="J4" s="886"/>
      <c r="K4" s="886"/>
      <c r="L4" s="886"/>
      <c r="M4" s="201"/>
      <c r="N4" s="37"/>
    </row>
    <row r="5" spans="1:14" ht="23.15" customHeight="1">
      <c r="A5" s="886" t="s">
        <v>839</v>
      </c>
      <c r="B5" s="886"/>
      <c r="C5" s="886"/>
      <c r="D5" s="886"/>
      <c r="E5" s="886"/>
      <c r="F5" s="887"/>
      <c r="G5" s="887"/>
      <c r="H5" s="887"/>
      <c r="I5" s="887"/>
      <c r="J5" s="887"/>
      <c r="K5" s="887"/>
      <c r="L5" s="887"/>
      <c r="M5" s="201"/>
      <c r="N5" s="37"/>
    </row>
    <row r="6" spans="1:14" ht="23.15" customHeight="1">
      <c r="A6" s="201"/>
      <c r="B6" s="201"/>
      <c r="C6" s="201"/>
      <c r="D6" s="201"/>
      <c r="E6" s="201"/>
      <c r="F6" s="201"/>
      <c r="G6" s="201"/>
      <c r="H6" s="201"/>
      <c r="I6" s="201"/>
      <c r="J6" s="201"/>
      <c r="K6" s="201"/>
      <c r="L6" s="201"/>
      <c r="M6" s="201"/>
      <c r="N6" s="37"/>
    </row>
    <row r="7" spans="1:14" ht="23.15" customHeight="1">
      <c r="A7" s="201"/>
      <c r="B7" s="201" t="s">
        <v>840</v>
      </c>
      <c r="C7" s="201"/>
      <c r="D7" s="201"/>
      <c r="E7" s="201"/>
      <c r="F7" s="201"/>
      <c r="G7" s="201"/>
      <c r="H7" s="201"/>
      <c r="I7" s="201"/>
      <c r="J7" s="888" t="e">
        <f>様式４!F7</f>
        <v>#N/A</v>
      </c>
      <c r="K7" s="888"/>
      <c r="L7" s="888"/>
      <c r="M7" s="201"/>
    </row>
    <row r="8" spans="1:14" ht="17.149999999999999" customHeight="1">
      <c r="A8" s="201"/>
      <c r="B8" s="201"/>
      <c r="C8" s="201"/>
      <c r="D8" s="201"/>
      <c r="E8" s="201"/>
      <c r="F8" s="201"/>
      <c r="G8" s="201"/>
      <c r="H8" s="201"/>
      <c r="I8" s="201"/>
      <c r="J8" s="889"/>
      <c r="K8" s="889"/>
      <c r="L8" s="889"/>
      <c r="M8" s="201"/>
    </row>
    <row r="9" spans="1:14" ht="36" customHeight="1">
      <c r="A9" s="201"/>
      <c r="B9" s="201"/>
      <c r="C9" s="201"/>
      <c r="D9" s="201"/>
      <c r="E9" s="201"/>
      <c r="F9" s="201"/>
      <c r="G9" s="201"/>
      <c r="H9" s="890" t="s">
        <v>841</v>
      </c>
      <c r="I9" s="890"/>
      <c r="J9" s="889"/>
      <c r="K9" s="889"/>
      <c r="L9" s="889"/>
      <c r="M9" s="201" t="e">
        <f>VLOOKUP($M$1,補助金用基本データ!$D$5:$T$58,11)</f>
        <v>#N/A</v>
      </c>
      <c r="N9" s="178" t="e">
        <f>IF(J7=M9,0,1)</f>
        <v>#N/A</v>
      </c>
    </row>
    <row r="10" spans="1:14" ht="18" customHeight="1">
      <c r="A10" s="201"/>
      <c r="B10" s="201"/>
      <c r="C10" s="201"/>
      <c r="D10" s="201"/>
      <c r="E10" s="201"/>
      <c r="F10" s="201"/>
      <c r="G10" s="201"/>
      <c r="H10" s="891" t="s">
        <v>296</v>
      </c>
      <c r="I10" s="891"/>
      <c r="J10" s="892" t="e">
        <f>様式４!F10</f>
        <v>#N/A</v>
      </c>
      <c r="K10" s="893"/>
      <c r="L10" s="893"/>
      <c r="M10" s="201" t="e">
        <f>VLOOKUP($M$1,補助金用基本データ!$D$5:$T$58,10)</f>
        <v>#N/A</v>
      </c>
      <c r="N10" s="178" t="e">
        <f>IF(J10=M10,0,1)</f>
        <v>#N/A</v>
      </c>
    </row>
    <row r="11" spans="1:14" ht="23.15" customHeight="1">
      <c r="A11" s="201"/>
      <c r="B11" s="201"/>
      <c r="C11" s="201"/>
      <c r="D11" s="201"/>
      <c r="E11" s="201"/>
      <c r="F11" s="201"/>
      <c r="G11" s="201"/>
      <c r="H11" s="891" t="s">
        <v>297</v>
      </c>
      <c r="I11" s="891"/>
      <c r="J11" s="893" t="e">
        <f>様式４!F11</f>
        <v>#N/A</v>
      </c>
      <c r="K11" s="893"/>
      <c r="L11" s="893"/>
      <c r="M11" s="201" t="e">
        <f>VLOOKUP($M$1,補助金用基本データ!$D$5:$T$58,12)&amp;"　"&amp;VLOOKUP($M$1,補助金用基本データ!$D$5:$T$58,13)</f>
        <v>#N/A</v>
      </c>
      <c r="N11" s="178" t="e">
        <f t="shared" ref="N11:N12" si="0">IF(J11=M11,0,1)</f>
        <v>#N/A</v>
      </c>
    </row>
    <row r="12" spans="1:14" ht="32.25" customHeight="1">
      <c r="A12" s="201"/>
      <c r="B12" s="201"/>
      <c r="C12" s="201"/>
      <c r="D12" s="201"/>
      <c r="E12" s="201"/>
      <c r="F12" s="201"/>
      <c r="G12" s="201"/>
      <c r="H12" s="896" t="s">
        <v>843</v>
      </c>
      <c r="I12" s="896"/>
      <c r="J12" s="893" t="e">
        <f>様式４!F12</f>
        <v>#N/A</v>
      </c>
      <c r="K12" s="893"/>
      <c r="L12" s="893"/>
      <c r="M12" s="201">
        <f>IF('②-1職員名簿'!U3="","",'②-1職員名簿'!U3)</f>
        <v>0</v>
      </c>
      <c r="N12" s="178" t="e">
        <f t="shared" si="0"/>
        <v>#N/A</v>
      </c>
    </row>
    <row r="13" spans="1:14" ht="23.15" customHeight="1">
      <c r="A13" s="201"/>
      <c r="B13" s="201"/>
      <c r="C13" s="201"/>
      <c r="D13" s="201"/>
      <c r="E13" s="201"/>
      <c r="F13" s="201"/>
      <c r="G13" s="201"/>
      <c r="H13" s="201"/>
      <c r="I13" s="201"/>
      <c r="J13" s="201"/>
      <c r="K13" s="201"/>
      <c r="L13" s="201"/>
      <c r="M13" s="201"/>
      <c r="N13" s="37"/>
    </row>
    <row r="14" spans="1:14" ht="23.15" customHeight="1">
      <c r="B14" s="897" t="s">
        <v>1319</v>
      </c>
      <c r="C14" s="897"/>
      <c r="D14" s="897"/>
      <c r="E14" s="897"/>
      <c r="F14" s="897"/>
      <c r="G14" s="897"/>
      <c r="H14" s="897"/>
      <c r="I14" s="897"/>
      <c r="J14" s="897"/>
      <c r="K14" s="897"/>
      <c r="L14" s="897"/>
      <c r="M14" s="201"/>
      <c r="N14" s="37"/>
    </row>
    <row r="15" spans="1:14" ht="23.15" customHeight="1">
      <c r="A15" s="444"/>
      <c r="B15" s="897"/>
      <c r="C15" s="897"/>
      <c r="D15" s="897"/>
      <c r="E15" s="897"/>
      <c r="F15" s="897"/>
      <c r="G15" s="897"/>
      <c r="H15" s="897"/>
      <c r="I15" s="897"/>
      <c r="J15" s="897"/>
      <c r="K15" s="897"/>
      <c r="L15" s="897"/>
      <c r="M15" s="201"/>
      <c r="N15" s="37"/>
    </row>
    <row r="16" spans="1:14" ht="23.15" customHeight="1">
      <c r="A16" s="201"/>
      <c r="B16" s="897"/>
      <c r="C16" s="897"/>
      <c r="D16" s="897"/>
      <c r="E16" s="897"/>
      <c r="F16" s="897"/>
      <c r="G16" s="897"/>
      <c r="H16" s="897"/>
      <c r="I16" s="897"/>
      <c r="J16" s="897"/>
      <c r="K16" s="897"/>
      <c r="L16" s="897"/>
      <c r="M16" s="201"/>
      <c r="N16" s="37"/>
    </row>
    <row r="17" spans="1:16" ht="23.15" customHeight="1">
      <c r="A17" s="201" t="s">
        <v>844</v>
      </c>
      <c r="B17" s="201"/>
      <c r="C17" s="201"/>
      <c r="D17" s="201"/>
      <c r="E17" s="201"/>
      <c r="F17" s="201"/>
      <c r="G17" s="898">
        <f>J28</f>
        <v>0</v>
      </c>
      <c r="H17" s="899"/>
      <c r="I17" s="899"/>
      <c r="J17" s="899"/>
      <c r="K17" s="203" t="s">
        <v>290</v>
      </c>
      <c r="L17" s="201"/>
      <c r="M17" s="201"/>
      <c r="N17" s="37"/>
    </row>
    <row r="18" spans="1:16" ht="15" customHeight="1" thickBot="1">
      <c r="A18" s="201"/>
      <c r="B18" s="201"/>
      <c r="C18" s="201"/>
      <c r="D18" s="201"/>
      <c r="E18" s="201"/>
      <c r="F18" s="201"/>
      <c r="G18" s="201"/>
      <c r="H18" s="201"/>
      <c r="I18" s="201"/>
      <c r="J18" s="201"/>
      <c r="K18" s="201"/>
      <c r="L18" s="201"/>
      <c r="M18" s="201"/>
      <c r="N18" s="37"/>
    </row>
    <row r="19" spans="1:16" ht="18.75" customHeight="1">
      <c r="A19" s="201"/>
      <c r="B19" s="900" t="s">
        <v>865</v>
      </c>
      <c r="C19" s="902" t="s">
        <v>845</v>
      </c>
      <c r="D19" s="903"/>
      <c r="E19" s="903"/>
      <c r="F19" s="903"/>
      <c r="G19" s="903"/>
      <c r="H19" s="903"/>
      <c r="I19" s="903"/>
      <c r="J19" s="903"/>
      <c r="K19" s="903"/>
      <c r="L19" s="904"/>
      <c r="M19" s="201"/>
      <c r="N19" s="37"/>
    </row>
    <row r="20" spans="1:16" ht="18.75" customHeight="1">
      <c r="A20" s="201"/>
      <c r="B20" s="901"/>
      <c r="C20" s="905"/>
      <c r="D20" s="906"/>
      <c r="E20" s="906"/>
      <c r="F20" s="906"/>
      <c r="G20" s="906"/>
      <c r="H20" s="906"/>
      <c r="I20" s="906"/>
      <c r="J20" s="906"/>
      <c r="K20" s="906"/>
      <c r="L20" s="907"/>
      <c r="M20" s="201"/>
      <c r="N20" s="37"/>
    </row>
    <row r="21" spans="1:16" ht="21.75" customHeight="1">
      <c r="A21" s="201"/>
      <c r="B21" s="204"/>
      <c r="C21" s="205">
        <v>1</v>
      </c>
      <c r="D21" s="206" t="s">
        <v>988</v>
      </c>
      <c r="E21" s="206"/>
      <c r="F21" s="206"/>
      <c r="G21" s="206"/>
      <c r="H21" s="206"/>
      <c r="I21" s="207"/>
      <c r="J21" s="894">
        <f>'様式３（第二期）'!W22</f>
        <v>0</v>
      </c>
      <c r="K21" s="895"/>
      <c r="L21" s="208" t="s">
        <v>846</v>
      </c>
      <c r="M21" s="201"/>
      <c r="N21" s="55">
        <f>SUM(⑤基本加算１!K6:K7)</f>
        <v>0</v>
      </c>
      <c r="O21" s="178">
        <v>1571000</v>
      </c>
      <c r="P21" s="178">
        <v>1</v>
      </c>
    </row>
    <row r="22" spans="1:16" ht="21.75" customHeight="1">
      <c r="A22" s="201"/>
      <c r="B22" s="204"/>
      <c r="C22" s="205">
        <v>2</v>
      </c>
      <c r="D22" s="206" t="s">
        <v>989</v>
      </c>
      <c r="E22" s="206"/>
      <c r="F22" s="206"/>
      <c r="G22" s="206"/>
      <c r="H22" s="206"/>
      <c r="I22" s="207"/>
      <c r="J22" s="894">
        <f>'様式３（第二期）'!W24</f>
        <v>0</v>
      </c>
      <c r="K22" s="895"/>
      <c r="L22" s="209" t="s">
        <v>846</v>
      </c>
      <c r="M22" s="201"/>
      <c r="N22" s="55">
        <f>SUM(⑥基本加算２!J6:J7)</f>
        <v>0</v>
      </c>
      <c r="O22" s="178">
        <v>3471000</v>
      </c>
      <c r="P22" s="178">
        <v>1</v>
      </c>
    </row>
    <row r="23" spans="1:16" ht="21.75" customHeight="1">
      <c r="A23" s="201"/>
      <c r="B23" s="204"/>
      <c r="C23" s="205">
        <v>3</v>
      </c>
      <c r="D23" s="206" t="s">
        <v>990</v>
      </c>
      <c r="E23" s="206"/>
      <c r="F23" s="206"/>
      <c r="G23" s="206"/>
      <c r="H23" s="206"/>
      <c r="I23" s="207"/>
      <c r="J23" s="894">
        <f>'様式３（第二期）'!W26</f>
        <v>0</v>
      </c>
      <c r="K23" s="895"/>
      <c r="L23" s="209" t="s">
        <v>846</v>
      </c>
      <c r="M23" s="201"/>
      <c r="N23" s="55">
        <f>SUM(⑦基本加算３!J6:J7)</f>
        <v>0</v>
      </c>
      <c r="O23" s="178">
        <v>3471000</v>
      </c>
      <c r="P23" s="178">
        <v>1</v>
      </c>
    </row>
    <row r="24" spans="1:16" ht="21.75" customHeight="1">
      <c r="A24" s="201"/>
      <c r="B24" s="204"/>
      <c r="C24" s="205">
        <v>4</v>
      </c>
      <c r="D24" s="206" t="s">
        <v>987</v>
      </c>
      <c r="E24" s="206"/>
      <c r="F24" s="206"/>
      <c r="G24" s="206"/>
      <c r="H24" s="206"/>
      <c r="I24" s="207"/>
      <c r="J24" s="894">
        <f>'様式３（第二期）'!W28</f>
        <v>0</v>
      </c>
      <c r="K24" s="895"/>
      <c r="L24" s="209" t="s">
        <v>846</v>
      </c>
      <c r="M24" s="201"/>
      <c r="N24" s="55">
        <f>⑧一般加算１!N11</f>
        <v>0</v>
      </c>
      <c r="O24" s="178">
        <v>2156000</v>
      </c>
      <c r="P24" s="178">
        <v>1</v>
      </c>
    </row>
    <row r="25" spans="1:16" ht="21.75" customHeight="1">
      <c r="A25" s="201"/>
      <c r="B25" s="204"/>
      <c r="C25" s="205">
        <v>5</v>
      </c>
      <c r="D25" s="206" t="s">
        <v>986</v>
      </c>
      <c r="E25" s="206"/>
      <c r="F25" s="206"/>
      <c r="G25" s="206"/>
      <c r="H25" s="206"/>
      <c r="I25" s="207"/>
      <c r="J25" s="894">
        <f>'様式３（第二期）'!W30</f>
        <v>0</v>
      </c>
      <c r="K25" s="895"/>
      <c r="L25" s="209" t="s">
        <v>846</v>
      </c>
      <c r="M25" s="201"/>
      <c r="N25" s="55">
        <f>⑨一般加算２!N11</f>
        <v>0</v>
      </c>
      <c r="O25" s="178">
        <v>2156000</v>
      </c>
      <c r="P25" s="178">
        <v>1</v>
      </c>
    </row>
    <row r="26" spans="1:16" ht="21.75" customHeight="1">
      <c r="A26" s="201"/>
      <c r="B26" s="204"/>
      <c r="C26" s="205">
        <v>6</v>
      </c>
      <c r="D26" s="206" t="s">
        <v>985</v>
      </c>
      <c r="E26" s="206"/>
      <c r="F26" s="206"/>
      <c r="G26" s="206"/>
      <c r="H26" s="206"/>
      <c r="I26" s="207"/>
      <c r="J26" s="894">
        <f>'様式３（第二期）'!W32</f>
        <v>0</v>
      </c>
      <c r="K26" s="895"/>
      <c r="L26" s="209" t="s">
        <v>846</v>
      </c>
      <c r="M26" s="201"/>
      <c r="N26" s="55" t="str">
        <f>⑩特定加算１!J16</f>
        <v/>
      </c>
      <c r="O26" s="178">
        <v>2619000</v>
      </c>
      <c r="P26" s="178" t="str">
        <f>[16]⑩特定加算１!B6</f>
        <v>-</v>
      </c>
    </row>
    <row r="27" spans="1:16" ht="21.75" customHeight="1">
      <c r="A27" s="201"/>
      <c r="B27" s="204"/>
      <c r="C27" s="205">
        <v>7</v>
      </c>
      <c r="D27" s="206" t="s">
        <v>984</v>
      </c>
      <c r="E27" s="206"/>
      <c r="F27" s="206"/>
      <c r="G27" s="206"/>
      <c r="H27" s="206"/>
      <c r="I27" s="207"/>
      <c r="J27" s="894">
        <f>'様式３（第二期）'!W34</f>
        <v>0</v>
      </c>
      <c r="K27" s="895"/>
      <c r="L27" s="208" t="s">
        <v>846</v>
      </c>
      <c r="M27" s="201"/>
      <c r="N27" s="55" t="str">
        <f>⑪特定加算２!J10</f>
        <v/>
      </c>
      <c r="O27" s="178">
        <v>2619000</v>
      </c>
    </row>
    <row r="28" spans="1:16" ht="21.75" customHeight="1">
      <c r="A28" s="201"/>
      <c r="B28" s="211"/>
      <c r="C28" s="231" t="s">
        <v>847</v>
      </c>
      <c r="D28" s="206"/>
      <c r="E28" s="206"/>
      <c r="F28" s="206"/>
      <c r="G28" s="206"/>
      <c r="H28" s="206"/>
      <c r="I28" s="207"/>
      <c r="J28" s="894">
        <f>SUM(J21:K27)</f>
        <v>0</v>
      </c>
      <c r="K28" s="895"/>
      <c r="L28" s="209" t="s">
        <v>846</v>
      </c>
      <c r="M28" s="201"/>
      <c r="N28" s="55">
        <f>SUM(N21:N27)</f>
        <v>0</v>
      </c>
    </row>
    <row r="29" spans="1:16" ht="17.149999999999999" customHeight="1">
      <c r="A29" s="201"/>
      <c r="B29" s="918" t="s">
        <v>849</v>
      </c>
      <c r="C29" s="920" t="s">
        <v>848</v>
      </c>
      <c r="D29" s="921"/>
      <c r="E29" s="921"/>
      <c r="F29" s="443"/>
      <c r="G29" s="443"/>
      <c r="H29" s="443"/>
      <c r="I29" s="443"/>
      <c r="J29" s="443"/>
      <c r="K29" s="443"/>
      <c r="L29" s="212"/>
      <c r="M29" s="201"/>
      <c r="N29" s="37"/>
    </row>
    <row r="30" spans="1:16" ht="17.149999999999999" customHeight="1">
      <c r="A30" s="201"/>
      <c r="B30" s="919"/>
      <c r="C30" s="213"/>
      <c r="D30" s="922" t="s">
        <v>850</v>
      </c>
      <c r="E30" s="922"/>
      <c r="F30" s="922"/>
      <c r="G30" s="922"/>
      <c r="H30" s="922"/>
      <c r="I30" s="922"/>
      <c r="J30" s="922"/>
      <c r="K30" s="922"/>
      <c r="L30" s="208"/>
      <c r="M30" s="201"/>
      <c r="N30" s="37"/>
    </row>
    <row r="31" spans="1:16" ht="17.149999999999999" customHeight="1">
      <c r="A31" s="201"/>
      <c r="B31" s="908" t="s">
        <v>851</v>
      </c>
      <c r="C31" s="442" t="s">
        <v>852</v>
      </c>
      <c r="D31" s="443"/>
      <c r="E31" s="443"/>
      <c r="F31" s="443"/>
      <c r="G31" s="443"/>
      <c r="H31" s="443"/>
      <c r="I31" s="443"/>
      <c r="J31" s="443"/>
      <c r="K31" s="443"/>
      <c r="L31" s="212"/>
      <c r="M31" s="201"/>
      <c r="N31" s="37"/>
    </row>
    <row r="32" spans="1:16" ht="17.149999999999999" customHeight="1">
      <c r="A32" s="201"/>
      <c r="B32" s="909"/>
      <c r="C32" s="213" t="s">
        <v>853</v>
      </c>
      <c r="D32" s="210"/>
      <c r="E32" s="210"/>
      <c r="F32" s="210"/>
      <c r="G32" s="210"/>
      <c r="H32" s="210"/>
      <c r="I32" s="210"/>
      <c r="J32" s="210"/>
      <c r="K32" s="210"/>
      <c r="L32" s="208"/>
      <c r="M32" s="201"/>
      <c r="N32" s="37"/>
    </row>
    <row r="33" spans="1:14" ht="17.149999999999999" customHeight="1">
      <c r="A33" s="201"/>
      <c r="B33" s="909"/>
      <c r="C33" s="911" t="s">
        <v>854</v>
      </c>
      <c r="D33" s="912"/>
      <c r="E33" s="912"/>
      <c r="F33" s="912"/>
      <c r="G33" s="912"/>
      <c r="H33" s="912"/>
      <c r="I33" s="912"/>
      <c r="J33" s="912"/>
      <c r="K33" s="912"/>
      <c r="L33" s="913"/>
      <c r="M33" s="201"/>
      <c r="N33" s="37"/>
    </row>
    <row r="34" spans="1:14" ht="16.5" customHeight="1" thickBot="1">
      <c r="A34" s="201">
        <f>①基本情報!S19</f>
        <v>1</v>
      </c>
      <c r="B34" s="910"/>
      <c r="C34" s="914" t="s">
        <v>855</v>
      </c>
      <c r="D34" s="915"/>
      <c r="E34" s="916"/>
      <c r="F34" s="916"/>
      <c r="G34" s="916"/>
      <c r="H34" s="916"/>
      <c r="I34" s="916"/>
      <c r="J34" s="916"/>
      <c r="K34" s="916"/>
      <c r="L34" s="917"/>
      <c r="M34" s="201"/>
      <c r="N34" s="37"/>
    </row>
    <row r="35" spans="1:14" ht="27" customHeight="1">
      <c r="A35" s="37"/>
      <c r="B35" s="37" t="s">
        <v>842</v>
      </c>
      <c r="C35" s="37" t="s">
        <v>842</v>
      </c>
      <c r="D35" s="37"/>
      <c r="E35" s="37"/>
      <c r="F35" s="37"/>
      <c r="G35" s="37"/>
      <c r="H35" s="37"/>
      <c r="I35" s="37"/>
      <c r="J35" s="37"/>
      <c r="K35" s="37"/>
      <c r="L35" s="37"/>
      <c r="M35" s="37"/>
      <c r="N35" s="37"/>
    </row>
    <row r="36" spans="1:14" ht="27" customHeight="1">
      <c r="A36" s="37"/>
      <c r="B36" s="37"/>
      <c r="C36" s="37"/>
      <c r="D36" s="37"/>
      <c r="E36" s="37"/>
      <c r="F36" s="37"/>
      <c r="G36" s="37"/>
      <c r="H36" s="37"/>
      <c r="I36" s="37"/>
      <c r="J36" s="37"/>
      <c r="K36" s="37"/>
      <c r="L36" s="37"/>
      <c r="M36" s="37"/>
      <c r="N36" s="37"/>
    </row>
    <row r="37" spans="1:14" ht="27" customHeight="1"/>
  </sheetData>
  <sheetProtection password="CCCF" sheet="1" selectLockedCells="1"/>
  <mergeCells count="28">
    <mergeCell ref="B31:B34"/>
    <mergeCell ref="C33:L33"/>
    <mergeCell ref="C34:L34"/>
    <mergeCell ref="J25:K25"/>
    <mergeCell ref="J26:K26"/>
    <mergeCell ref="J27:K27"/>
    <mergeCell ref="J28:K28"/>
    <mergeCell ref="B29:B30"/>
    <mergeCell ref="C29:E29"/>
    <mergeCell ref="D30:K30"/>
    <mergeCell ref="J24:K24"/>
    <mergeCell ref="H11:I11"/>
    <mergeCell ref="J11:L11"/>
    <mergeCell ref="H12:I12"/>
    <mergeCell ref="J12:L12"/>
    <mergeCell ref="B14:L16"/>
    <mergeCell ref="G17:J17"/>
    <mergeCell ref="B19:B20"/>
    <mergeCell ref="C19:L20"/>
    <mergeCell ref="J21:K21"/>
    <mergeCell ref="J22:K22"/>
    <mergeCell ref="J23:K23"/>
    <mergeCell ref="A4:L4"/>
    <mergeCell ref="A5:L5"/>
    <mergeCell ref="J7:L9"/>
    <mergeCell ref="H9:I9"/>
    <mergeCell ref="H10:I10"/>
    <mergeCell ref="J10:L10"/>
  </mergeCells>
  <phoneticPr fontId="1"/>
  <conditionalFormatting sqref="J7:L12">
    <cfRule type="containsBlanks" dxfId="13" priority="1">
      <formula>LEN(TRIM(J7))=0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17615-D4E8-43D2-8E7A-C5B39742F45F}">
  <sheetPr>
    <tabColor rgb="FF00B050"/>
  </sheetPr>
  <dimension ref="A1:W47"/>
  <sheetViews>
    <sheetView showGridLines="0" view="pageBreakPreview" zoomScaleNormal="100" zoomScaleSheetLayoutView="100" workbookViewId="0">
      <selection activeCell="B49" sqref="B49"/>
    </sheetView>
  </sheetViews>
  <sheetFormatPr defaultRowHeight="16" customHeight="1"/>
  <cols>
    <col min="1" max="2" width="8.6640625" style="574"/>
    <col min="3" max="3" width="12.83203125" style="574" customWidth="1"/>
    <col min="4" max="4" width="15.9140625" style="574" customWidth="1"/>
    <col min="5" max="5" width="14.1640625" style="574" customWidth="1"/>
    <col min="6" max="6" width="15.83203125" style="574" customWidth="1"/>
    <col min="7" max="11" width="15.9140625" style="574" customWidth="1"/>
    <col min="12" max="12" width="8.6640625" style="574" customWidth="1"/>
    <col min="13" max="13" width="5.83203125" style="574" bestFit="1" customWidth="1"/>
    <col min="14" max="14" width="5.6640625" style="574" customWidth="1"/>
    <col min="15" max="15" width="8.6640625" style="574"/>
    <col min="16" max="16" width="0" style="574" hidden="1" customWidth="1"/>
    <col min="17" max="16384" width="8.6640625" style="574"/>
  </cols>
  <sheetData>
    <row r="1" spans="1:23" s="20" customFormat="1" ht="19">
      <c r="A1" s="923" t="s">
        <v>1620</v>
      </c>
      <c r="B1" s="923"/>
      <c r="C1" s="923"/>
      <c r="D1" s="923"/>
      <c r="E1" s="923"/>
      <c r="F1" s="923"/>
      <c r="M1" s="197"/>
    </row>
    <row r="2" spans="1:23" s="20" customFormat="1" ht="13.5" customHeight="1">
      <c r="A2" s="929" t="str">
        <f>IF(P11=P9,"",P12)</f>
        <v>このシートは貴園は対象外ですので入力の必要はありません。</v>
      </c>
      <c r="B2" s="929"/>
      <c r="C2" s="929"/>
      <c r="D2" s="929"/>
      <c r="E2" s="929"/>
      <c r="F2" s="929"/>
      <c r="G2" s="595" t="s">
        <v>109</v>
      </c>
      <c r="H2" s="928">
        <f>①基本情報!D5</f>
        <v>0</v>
      </c>
      <c r="I2" s="928"/>
      <c r="J2" s="928"/>
      <c r="K2" s="928"/>
      <c r="L2" s="37" t="s">
        <v>136</v>
      </c>
    </row>
    <row r="3" spans="1:23" s="20" customFormat="1" ht="2" customHeight="1">
      <c r="A3" s="929"/>
      <c r="B3" s="929"/>
      <c r="C3" s="929"/>
      <c r="D3" s="929"/>
      <c r="E3" s="929"/>
      <c r="F3" s="929"/>
      <c r="G3" s="66"/>
      <c r="H3" s="66"/>
      <c r="I3" s="66"/>
      <c r="J3" s="66"/>
      <c r="K3" s="66"/>
      <c r="L3" s="66"/>
    </row>
    <row r="4" spans="1:23" customFormat="1" ht="15" customHeight="1">
      <c r="A4" s="929"/>
      <c r="B4" s="929"/>
      <c r="C4" s="929"/>
      <c r="D4" s="929"/>
      <c r="E4" s="929"/>
      <c r="F4" s="929"/>
    </row>
    <row r="5" spans="1:23" ht="16" customHeight="1">
      <c r="A5" s="929"/>
      <c r="B5" s="929"/>
      <c r="C5" s="929"/>
      <c r="D5" s="929"/>
      <c r="E5" s="929"/>
      <c r="F5" s="929"/>
    </row>
    <row r="6" spans="1:23" ht="16" customHeight="1">
      <c r="A6" s="56" t="s">
        <v>1621</v>
      </c>
      <c r="B6" t="s">
        <v>1622</v>
      </c>
      <c r="D6" s="594"/>
      <c r="E6" s="594"/>
      <c r="F6" s="594"/>
    </row>
    <row r="7" spans="1:23" ht="16" customHeight="1">
      <c r="D7" s="594"/>
      <c r="E7" s="594"/>
      <c r="F7" s="594"/>
    </row>
    <row r="8" spans="1:23" ht="16" customHeight="1" thickBot="1">
      <c r="B8" s="574" t="s">
        <v>1623</v>
      </c>
      <c r="L8" s="574" t="e">
        <f>①基本情報!Q5</f>
        <v>#N/A</v>
      </c>
      <c r="W8" s="581"/>
    </row>
    <row r="9" spans="1:23" ht="16" customHeight="1" thickTop="1">
      <c r="D9" s="924" t="s">
        <v>933</v>
      </c>
      <c r="E9" s="925"/>
      <c r="F9" s="926" t="s">
        <v>1626</v>
      </c>
      <c r="G9" s="927"/>
      <c r="H9" s="927"/>
      <c r="I9" s="927" t="s">
        <v>1625</v>
      </c>
      <c r="J9" s="927"/>
      <c r="K9" s="927"/>
      <c r="P9" s="574" t="s">
        <v>11</v>
      </c>
      <c r="W9" s="581"/>
    </row>
    <row r="10" spans="1:23" ht="18.5" customHeight="1">
      <c r="B10" s="576"/>
      <c r="C10" s="585" t="s">
        <v>1605</v>
      </c>
      <c r="D10" s="588" t="s">
        <v>1606</v>
      </c>
      <c r="E10" s="589" t="s">
        <v>1608</v>
      </c>
      <c r="F10" s="586" t="s">
        <v>1606</v>
      </c>
      <c r="G10" s="575" t="s">
        <v>1607</v>
      </c>
      <c r="H10" s="575" t="s">
        <v>1608</v>
      </c>
      <c r="I10" s="575" t="s">
        <v>1606</v>
      </c>
      <c r="J10" s="575" t="s">
        <v>1607</v>
      </c>
      <c r="K10" s="575" t="s">
        <v>1608</v>
      </c>
    </row>
    <row r="11" spans="1:23" ht="18.5" customHeight="1">
      <c r="B11" s="575" t="s">
        <v>1609</v>
      </c>
      <c r="C11" s="585" t="str">
        <f>①基本情報!F39</f>
        <v>無</v>
      </c>
      <c r="D11" s="592">
        <f>F11+I11</f>
        <v>0</v>
      </c>
      <c r="E11" s="593">
        <f>H11+K11</f>
        <v>0</v>
      </c>
      <c r="F11" s="614"/>
      <c r="G11" s="583">
        <f>IF($C11="無",0,VLOOKUP($L$8,個別データ!$C$5:$HA$60,G$35))</f>
        <v>0</v>
      </c>
      <c r="H11" s="583">
        <f t="shared" ref="H11:H22" si="0">F11*G11</f>
        <v>0</v>
      </c>
      <c r="I11" s="614"/>
      <c r="J11" s="583">
        <f>IF($C11="無",0,VLOOKUP($L$8,個別データ!$C$5:$HA$60,J$35))</f>
        <v>0</v>
      </c>
      <c r="K11" s="583">
        <f t="shared" ref="K11:K22" si="1">I11*J11</f>
        <v>0</v>
      </c>
      <c r="L11" s="578"/>
      <c r="M11" s="574" t="str">
        <f t="shared" ref="M11:M22" si="2">IF(N11=D11,"〇","×")</f>
        <v>〇</v>
      </c>
      <c r="N11" s="574">
        <f>'③児童数及び職員定数 (2)-(1)'!G10+'③児童数及び職員定数 (2)-(1)'!H10</f>
        <v>0</v>
      </c>
      <c r="P11" s="574" t="str">
        <f>IF(COUNTIF(C11:C22,P9),"有","無")</f>
        <v>無</v>
      </c>
    </row>
    <row r="12" spans="1:23" ht="18.5" hidden="1" customHeight="1">
      <c r="B12" s="575" t="s">
        <v>1610</v>
      </c>
      <c r="C12" s="585" t="str">
        <f>C11</f>
        <v>無</v>
      </c>
      <c r="D12" s="592">
        <f t="shared" ref="D12:D22" si="3">F12+I12</f>
        <v>0</v>
      </c>
      <c r="E12" s="593">
        <f t="shared" ref="E12:E22" si="4">H12+K12</f>
        <v>0</v>
      </c>
      <c r="F12" s="587">
        <f>F11</f>
        <v>0</v>
      </c>
      <c r="G12" s="583">
        <f>IF(C12="無",0,VLOOKUP($L$8,個別データ!$C$5:$HA$60,G$35))</f>
        <v>0</v>
      </c>
      <c r="H12" s="577">
        <f t="shared" si="0"/>
        <v>0</v>
      </c>
      <c r="I12" s="587">
        <f>I11</f>
        <v>0</v>
      </c>
      <c r="J12" s="583">
        <f>IF($C12="無",0,VLOOKUP($L$8,個別データ!$C$5:$HA$60,J$35))</f>
        <v>0</v>
      </c>
      <c r="K12" s="577">
        <f t="shared" si="1"/>
        <v>0</v>
      </c>
      <c r="L12" s="578"/>
      <c r="M12" s="574" t="str">
        <f t="shared" si="2"/>
        <v>〇</v>
      </c>
      <c r="N12" s="574">
        <f>'③児童数及び職員定数 (2)-(1)'!G11+'③児童数及び職員定数 (2)-(1)'!H11</f>
        <v>0</v>
      </c>
      <c r="P12" s="574" t="s">
        <v>1627</v>
      </c>
    </row>
    <row r="13" spans="1:23" ht="18.5" hidden="1" customHeight="1">
      <c r="B13" s="575" t="s">
        <v>1229</v>
      </c>
      <c r="C13" s="585" t="str">
        <f t="shared" ref="C13:C22" si="5">C12</f>
        <v>無</v>
      </c>
      <c r="D13" s="592">
        <f t="shared" si="3"/>
        <v>0</v>
      </c>
      <c r="E13" s="593">
        <f t="shared" si="4"/>
        <v>0</v>
      </c>
      <c r="F13" s="587">
        <f t="shared" ref="F13:F22" si="6">F12</f>
        <v>0</v>
      </c>
      <c r="G13" s="583">
        <f>IF(C13="無",0,VLOOKUP($L$8,個別データ!$C$5:$HA$60,G$35))</f>
        <v>0</v>
      </c>
      <c r="H13" s="577">
        <f t="shared" si="0"/>
        <v>0</v>
      </c>
      <c r="I13" s="587">
        <f t="shared" ref="I13:I22" si="7">I12</f>
        <v>0</v>
      </c>
      <c r="J13" s="583">
        <f>IF($C13="無",0,VLOOKUP($L$8,個別データ!$C$5:$HA$60,J$35))</f>
        <v>0</v>
      </c>
      <c r="K13" s="577">
        <f t="shared" si="1"/>
        <v>0</v>
      </c>
      <c r="M13" s="574" t="str">
        <f t="shared" si="2"/>
        <v>〇</v>
      </c>
      <c r="N13" s="574">
        <f>'③児童数及び職員定数 (2)-(1)'!G12+'③児童数及び職員定数 (2)-(1)'!H12</f>
        <v>0</v>
      </c>
    </row>
    <row r="14" spans="1:23" ht="18.5" hidden="1" customHeight="1">
      <c r="B14" s="575" t="s">
        <v>1230</v>
      </c>
      <c r="C14" s="585" t="str">
        <f t="shared" si="5"/>
        <v>無</v>
      </c>
      <c r="D14" s="592">
        <f t="shared" si="3"/>
        <v>0</v>
      </c>
      <c r="E14" s="593">
        <f t="shared" si="4"/>
        <v>0</v>
      </c>
      <c r="F14" s="587">
        <f t="shared" si="6"/>
        <v>0</v>
      </c>
      <c r="G14" s="583">
        <f>IF(C14="無",0,VLOOKUP($L$8,個別データ!$C$5:$HA$60,G$35))</f>
        <v>0</v>
      </c>
      <c r="H14" s="577">
        <f t="shared" si="0"/>
        <v>0</v>
      </c>
      <c r="I14" s="587">
        <f t="shared" si="7"/>
        <v>0</v>
      </c>
      <c r="J14" s="583">
        <f>IF($C14="無",0,VLOOKUP($L$8,個別データ!$C$5:$HA$60,J$35))</f>
        <v>0</v>
      </c>
      <c r="K14" s="577">
        <f t="shared" si="1"/>
        <v>0</v>
      </c>
      <c r="M14" s="574" t="str">
        <f t="shared" si="2"/>
        <v>〇</v>
      </c>
      <c r="N14" s="574">
        <f>'③児童数及び職員定数 (2)-(1)'!G13+'③児童数及び職員定数 (2)-(1)'!H13</f>
        <v>0</v>
      </c>
    </row>
    <row r="15" spans="1:23" ht="18.5" hidden="1" customHeight="1">
      <c r="B15" s="575" t="s">
        <v>1231</v>
      </c>
      <c r="C15" s="585" t="str">
        <f t="shared" si="5"/>
        <v>無</v>
      </c>
      <c r="D15" s="592">
        <f t="shared" si="3"/>
        <v>0</v>
      </c>
      <c r="E15" s="593">
        <f t="shared" si="4"/>
        <v>0</v>
      </c>
      <c r="F15" s="587">
        <f t="shared" si="6"/>
        <v>0</v>
      </c>
      <c r="G15" s="583">
        <f>IF(C15="無",0,VLOOKUP($L$8,個別データ!$C$5:$HA$60,G$35))</f>
        <v>0</v>
      </c>
      <c r="H15" s="577">
        <f t="shared" si="0"/>
        <v>0</v>
      </c>
      <c r="I15" s="587">
        <f t="shared" si="7"/>
        <v>0</v>
      </c>
      <c r="J15" s="583">
        <f>IF($C15="無",0,VLOOKUP($L$8,個別データ!$C$5:$HA$60,J$35))</f>
        <v>0</v>
      </c>
      <c r="K15" s="577">
        <f t="shared" si="1"/>
        <v>0</v>
      </c>
      <c r="M15" s="574" t="str">
        <f t="shared" si="2"/>
        <v>〇</v>
      </c>
      <c r="N15" s="574">
        <f>'③児童数及び職員定数 (2)-(1)'!G14+'③児童数及び職員定数 (2)-(1)'!H14</f>
        <v>0</v>
      </c>
    </row>
    <row r="16" spans="1:23" ht="18.5" hidden="1" customHeight="1">
      <c r="B16" s="575" t="s">
        <v>1232</v>
      </c>
      <c r="C16" s="585" t="str">
        <f t="shared" si="5"/>
        <v>無</v>
      </c>
      <c r="D16" s="592">
        <f t="shared" si="3"/>
        <v>0</v>
      </c>
      <c r="E16" s="593">
        <f t="shared" si="4"/>
        <v>0</v>
      </c>
      <c r="F16" s="587">
        <f t="shared" si="6"/>
        <v>0</v>
      </c>
      <c r="G16" s="583">
        <f>IF(C16="無",0,VLOOKUP($L$8,個別データ!$C$5:$HA$60,G$35))</f>
        <v>0</v>
      </c>
      <c r="H16" s="577">
        <f t="shared" si="0"/>
        <v>0</v>
      </c>
      <c r="I16" s="587">
        <f t="shared" si="7"/>
        <v>0</v>
      </c>
      <c r="J16" s="583">
        <f>IF($C16="無",0,VLOOKUP($L$8,個別データ!$C$5:$HA$60,J$35))</f>
        <v>0</v>
      </c>
      <c r="K16" s="577">
        <f t="shared" si="1"/>
        <v>0</v>
      </c>
      <c r="M16" s="574" t="str">
        <f t="shared" si="2"/>
        <v>〇</v>
      </c>
      <c r="N16" s="574">
        <f>'③児童数及び職員定数 (2)-(1)'!G15+'③児童数及び職員定数 (2)-(1)'!H15</f>
        <v>0</v>
      </c>
    </row>
    <row r="17" spans="2:21" ht="18.5" hidden="1" customHeight="1">
      <c r="B17" s="575" t="s">
        <v>1233</v>
      </c>
      <c r="C17" s="585" t="str">
        <f t="shared" si="5"/>
        <v>無</v>
      </c>
      <c r="D17" s="592">
        <f t="shared" si="3"/>
        <v>0</v>
      </c>
      <c r="E17" s="593">
        <f t="shared" si="4"/>
        <v>0</v>
      </c>
      <c r="F17" s="587">
        <f t="shared" si="6"/>
        <v>0</v>
      </c>
      <c r="G17" s="583">
        <f>IF(C17="無",0,VLOOKUP($L$8,個別データ!$C$5:$HA$60,G$35))</f>
        <v>0</v>
      </c>
      <c r="H17" s="577">
        <f t="shared" si="0"/>
        <v>0</v>
      </c>
      <c r="I17" s="587">
        <f t="shared" si="7"/>
        <v>0</v>
      </c>
      <c r="J17" s="583">
        <f>IF($C17="無",0,VLOOKUP($L$8,個別データ!$C$5:$HA$60,J$35))</f>
        <v>0</v>
      </c>
      <c r="K17" s="577">
        <f t="shared" si="1"/>
        <v>0</v>
      </c>
      <c r="M17" s="574" t="str">
        <f t="shared" si="2"/>
        <v>〇</v>
      </c>
      <c r="N17" s="574">
        <f>'③児童数及び職員定数 (2)-(1)'!G16+'③児童数及び職員定数 (2)-(1)'!H16</f>
        <v>0</v>
      </c>
    </row>
    <row r="18" spans="2:21" ht="18.5" hidden="1" customHeight="1">
      <c r="B18" s="575" t="s">
        <v>1234</v>
      </c>
      <c r="C18" s="585" t="str">
        <f t="shared" si="5"/>
        <v>無</v>
      </c>
      <c r="D18" s="592">
        <f t="shared" si="3"/>
        <v>0</v>
      </c>
      <c r="E18" s="593">
        <f t="shared" si="4"/>
        <v>0</v>
      </c>
      <c r="F18" s="587">
        <f t="shared" si="6"/>
        <v>0</v>
      </c>
      <c r="G18" s="583">
        <f>IF(C18="無",0,VLOOKUP($L$8,個別データ!$C$5:$HA$60,G$35))</f>
        <v>0</v>
      </c>
      <c r="H18" s="577">
        <f t="shared" si="0"/>
        <v>0</v>
      </c>
      <c r="I18" s="587">
        <f t="shared" si="7"/>
        <v>0</v>
      </c>
      <c r="J18" s="583">
        <f>IF($C18="無",0,VLOOKUP($L$8,個別データ!$C$5:$HA$60,J$35))</f>
        <v>0</v>
      </c>
      <c r="K18" s="577">
        <f t="shared" si="1"/>
        <v>0</v>
      </c>
      <c r="M18" s="574" t="str">
        <f t="shared" si="2"/>
        <v>〇</v>
      </c>
      <c r="N18" s="574">
        <f>'③児童数及び職員定数 (2)-(1)'!G17+'③児童数及び職員定数 (2)-(1)'!H17</f>
        <v>0</v>
      </c>
    </row>
    <row r="19" spans="2:21" ht="18.5" hidden="1" customHeight="1">
      <c r="B19" s="575" t="s">
        <v>1235</v>
      </c>
      <c r="C19" s="585" t="str">
        <f t="shared" si="5"/>
        <v>無</v>
      </c>
      <c r="D19" s="592">
        <f t="shared" si="3"/>
        <v>0</v>
      </c>
      <c r="E19" s="593">
        <f t="shared" si="4"/>
        <v>0</v>
      </c>
      <c r="F19" s="587">
        <f t="shared" si="6"/>
        <v>0</v>
      </c>
      <c r="G19" s="583">
        <f>IF(C19="無",0,VLOOKUP($L$8,個別データ!$C$5:$HA$60,G$35))</f>
        <v>0</v>
      </c>
      <c r="H19" s="577">
        <f t="shared" si="0"/>
        <v>0</v>
      </c>
      <c r="I19" s="587">
        <f t="shared" si="7"/>
        <v>0</v>
      </c>
      <c r="J19" s="583">
        <f>IF($C19="無",0,VLOOKUP($L$8,個別データ!$C$5:$HA$60,J$35))</f>
        <v>0</v>
      </c>
      <c r="K19" s="577">
        <f t="shared" si="1"/>
        <v>0</v>
      </c>
      <c r="M19" s="574" t="str">
        <f t="shared" si="2"/>
        <v>〇</v>
      </c>
      <c r="N19" s="574">
        <f>'③児童数及び職員定数 (2)-(1)'!G18+'③児童数及び職員定数 (2)-(1)'!H18</f>
        <v>0</v>
      </c>
    </row>
    <row r="20" spans="2:21" ht="18.5" hidden="1" customHeight="1">
      <c r="B20" s="575" t="s">
        <v>1236</v>
      </c>
      <c r="C20" s="585" t="str">
        <f t="shared" si="5"/>
        <v>無</v>
      </c>
      <c r="D20" s="592">
        <f t="shared" si="3"/>
        <v>0</v>
      </c>
      <c r="E20" s="593">
        <f t="shared" si="4"/>
        <v>0</v>
      </c>
      <c r="F20" s="587">
        <f t="shared" si="6"/>
        <v>0</v>
      </c>
      <c r="G20" s="583">
        <f>IF(C20="無",0,VLOOKUP($L$8,個別データ!$C$5:$HA$60,G$35))</f>
        <v>0</v>
      </c>
      <c r="H20" s="577">
        <f t="shared" si="0"/>
        <v>0</v>
      </c>
      <c r="I20" s="587">
        <f t="shared" si="7"/>
        <v>0</v>
      </c>
      <c r="J20" s="583">
        <f>IF($C20="無",0,VLOOKUP($L$8,個別データ!$C$5:$HA$60,J$35))</f>
        <v>0</v>
      </c>
      <c r="K20" s="577">
        <f t="shared" si="1"/>
        <v>0</v>
      </c>
      <c r="M20" s="574" t="str">
        <f t="shared" si="2"/>
        <v>〇</v>
      </c>
      <c r="N20" s="574">
        <f>'③児童数及び職員定数 (2)-(1)'!G19+'③児童数及び職員定数 (2)-(1)'!H19</f>
        <v>0</v>
      </c>
    </row>
    <row r="21" spans="2:21" ht="18.5" hidden="1" customHeight="1">
      <c r="B21" s="575" t="s">
        <v>1237</v>
      </c>
      <c r="C21" s="585" t="str">
        <f t="shared" si="5"/>
        <v>無</v>
      </c>
      <c r="D21" s="592">
        <f t="shared" si="3"/>
        <v>0</v>
      </c>
      <c r="E21" s="593">
        <f t="shared" si="4"/>
        <v>0</v>
      </c>
      <c r="F21" s="587">
        <f t="shared" si="6"/>
        <v>0</v>
      </c>
      <c r="G21" s="583">
        <f>IF(C21="無",0,VLOOKUP($L$8,個別データ!$C$5:$HA$60,G$35))</f>
        <v>0</v>
      </c>
      <c r="H21" s="577">
        <f t="shared" si="0"/>
        <v>0</v>
      </c>
      <c r="I21" s="587">
        <f t="shared" si="7"/>
        <v>0</v>
      </c>
      <c r="J21" s="583">
        <f>IF($C21="無",0,VLOOKUP($L$8,個別データ!$C$5:$HA$60,J$35))</f>
        <v>0</v>
      </c>
      <c r="K21" s="577">
        <f t="shared" si="1"/>
        <v>0</v>
      </c>
      <c r="M21" s="574" t="str">
        <f t="shared" si="2"/>
        <v>〇</v>
      </c>
      <c r="N21" s="574">
        <f>'③児童数及び職員定数 (2)-(1)'!G20+'③児童数及び職員定数 (2)-(1)'!H20</f>
        <v>0</v>
      </c>
    </row>
    <row r="22" spans="2:21" ht="18.5" hidden="1" customHeight="1">
      <c r="B22" s="579" t="s">
        <v>1238</v>
      </c>
      <c r="C22" s="585" t="str">
        <f t="shared" si="5"/>
        <v>無</v>
      </c>
      <c r="D22" s="592">
        <f t="shared" si="3"/>
        <v>0</v>
      </c>
      <c r="E22" s="593">
        <f t="shared" si="4"/>
        <v>0</v>
      </c>
      <c r="F22" s="587">
        <f t="shared" si="6"/>
        <v>0</v>
      </c>
      <c r="G22" s="583">
        <f>IF(C22="無",0,VLOOKUP($L$8,個別データ!$C$5:$HA$60,G$35))</f>
        <v>0</v>
      </c>
      <c r="H22" s="580">
        <f t="shared" si="0"/>
        <v>0</v>
      </c>
      <c r="I22" s="587">
        <f t="shared" si="7"/>
        <v>0</v>
      </c>
      <c r="J22" s="583">
        <f>IF($C22="無",0,VLOOKUP($L$8,個別データ!$C$5:$HA$60,J$35))</f>
        <v>0</v>
      </c>
      <c r="K22" s="580">
        <f t="shared" si="1"/>
        <v>0</v>
      </c>
      <c r="M22" s="574" t="str">
        <f t="shared" si="2"/>
        <v>〇</v>
      </c>
      <c r="N22" s="574">
        <f>'③児童数及び職員定数 (2)-(1)'!G21+'③児童数及び職員定数 (2)-(1)'!H21</f>
        <v>0</v>
      </c>
    </row>
    <row r="23" spans="2:21" ht="18.5" hidden="1" customHeight="1" thickBot="1">
      <c r="B23" s="575" t="s">
        <v>933</v>
      </c>
      <c r="C23" s="585"/>
      <c r="D23" s="590">
        <f>SUM(D11:D22)</f>
        <v>0</v>
      </c>
      <c r="E23" s="591">
        <f t="shared" ref="E23:F23" si="8">SUM(E11:E22)</f>
        <v>0</v>
      </c>
      <c r="F23" s="584">
        <f t="shared" si="8"/>
        <v>0</v>
      </c>
      <c r="G23" s="577"/>
      <c r="H23" s="577">
        <f t="shared" ref="H23:I23" si="9">SUM(H11:H22)</f>
        <v>0</v>
      </c>
      <c r="I23" s="577">
        <f t="shared" si="9"/>
        <v>0</v>
      </c>
      <c r="J23" s="577"/>
      <c r="K23" s="577">
        <f t="shared" ref="K23" si="10">SUM(K11:K22)</f>
        <v>0</v>
      </c>
    </row>
    <row r="26" spans="2:21" ht="16" customHeight="1">
      <c r="M26" s="581"/>
      <c r="N26" s="581"/>
      <c r="O26" s="581"/>
      <c r="P26" s="581"/>
      <c r="Q26" s="581"/>
      <c r="R26" s="581"/>
      <c r="S26" s="581"/>
      <c r="T26" s="581"/>
      <c r="U26" s="581"/>
    </row>
    <row r="34" spans="5:10" ht="16" hidden="1" customHeight="1"/>
    <row r="35" spans="5:10" ht="16" hidden="1" customHeight="1">
      <c r="E35" s="574">
        <v>4</v>
      </c>
      <c r="F35" s="574">
        <f>個別データ!FI1</f>
        <v>163</v>
      </c>
      <c r="G35" s="574">
        <f>個別データ!EU1</f>
        <v>149</v>
      </c>
      <c r="I35" s="574">
        <f>個別データ!FS1</f>
        <v>173</v>
      </c>
      <c r="J35" s="574">
        <f>個別データ!EV1</f>
        <v>150</v>
      </c>
    </row>
    <row r="36" spans="5:10" ht="16" hidden="1" customHeight="1">
      <c r="E36" s="574">
        <v>5</v>
      </c>
      <c r="F36" s="574">
        <f>F35+1</f>
        <v>164</v>
      </c>
      <c r="I36" s="574">
        <f>I35+1</f>
        <v>174</v>
      </c>
    </row>
    <row r="37" spans="5:10" ht="16" hidden="1" customHeight="1">
      <c r="E37" s="574">
        <v>6</v>
      </c>
      <c r="F37" s="574">
        <f t="shared" ref="F37:F44" si="11">F36+1</f>
        <v>165</v>
      </c>
      <c r="I37" s="574">
        <f t="shared" ref="I37:I44" si="12">I36+1</f>
        <v>175</v>
      </c>
    </row>
    <row r="38" spans="5:10" ht="16" hidden="1" customHeight="1">
      <c r="E38" s="574">
        <v>7</v>
      </c>
      <c r="F38" s="574">
        <f t="shared" si="11"/>
        <v>166</v>
      </c>
      <c r="I38" s="574">
        <f t="shared" si="12"/>
        <v>176</v>
      </c>
    </row>
    <row r="39" spans="5:10" ht="16" hidden="1" customHeight="1">
      <c r="E39" s="574">
        <v>8</v>
      </c>
      <c r="F39" s="574">
        <f t="shared" si="11"/>
        <v>167</v>
      </c>
      <c r="I39" s="574">
        <f t="shared" si="12"/>
        <v>177</v>
      </c>
    </row>
    <row r="40" spans="5:10" ht="16" hidden="1" customHeight="1">
      <c r="E40" s="574">
        <v>9</v>
      </c>
      <c r="F40" s="574">
        <f t="shared" si="11"/>
        <v>168</v>
      </c>
      <c r="I40" s="574">
        <f t="shared" si="12"/>
        <v>178</v>
      </c>
    </row>
    <row r="41" spans="5:10" ht="16" hidden="1" customHeight="1">
      <c r="E41" s="574">
        <v>10</v>
      </c>
      <c r="F41" s="574">
        <f t="shared" si="11"/>
        <v>169</v>
      </c>
      <c r="I41" s="574">
        <f t="shared" si="12"/>
        <v>179</v>
      </c>
    </row>
    <row r="42" spans="5:10" ht="16" hidden="1" customHeight="1">
      <c r="E42" s="574">
        <v>11</v>
      </c>
      <c r="F42" s="574">
        <f t="shared" si="11"/>
        <v>170</v>
      </c>
      <c r="I42" s="574">
        <f t="shared" si="12"/>
        <v>180</v>
      </c>
    </row>
    <row r="43" spans="5:10" ht="16" hidden="1" customHeight="1">
      <c r="E43" s="574">
        <v>12</v>
      </c>
      <c r="F43" s="574">
        <f t="shared" si="11"/>
        <v>171</v>
      </c>
      <c r="I43" s="574">
        <f t="shared" si="12"/>
        <v>181</v>
      </c>
    </row>
    <row r="44" spans="5:10" ht="16" hidden="1" customHeight="1">
      <c r="E44" s="574">
        <v>1</v>
      </c>
      <c r="F44" s="574">
        <f t="shared" si="11"/>
        <v>172</v>
      </c>
      <c r="I44" s="574">
        <f t="shared" si="12"/>
        <v>182</v>
      </c>
    </row>
    <row r="45" spans="5:10" ht="16" hidden="1" customHeight="1">
      <c r="E45" s="574">
        <v>2</v>
      </c>
    </row>
    <row r="46" spans="5:10" ht="16" hidden="1" customHeight="1">
      <c r="E46" s="574">
        <v>3</v>
      </c>
    </row>
    <row r="47" spans="5:10" ht="16" hidden="1" customHeight="1"/>
  </sheetData>
  <sheetProtection algorithmName="SHA-512" hashValue="wQ9KGV9gbUS9ao1wXGl3j1M3gP2F/9TQV//XQKSU7p9VmYfRuupCwXFvfMsG9PdH45Rc6btbdEIkiYMbUnHjTQ==" saltValue="1wzRcBGj4/vY+7z54AFWIw==" spinCount="100000" sheet="1" selectLockedCells="1"/>
  <mergeCells count="6">
    <mergeCell ref="A1:F1"/>
    <mergeCell ref="D9:E9"/>
    <mergeCell ref="F9:H9"/>
    <mergeCell ref="I9:K9"/>
    <mergeCell ref="H2:K2"/>
    <mergeCell ref="A2:F5"/>
  </mergeCells>
  <phoneticPr fontId="1"/>
  <conditionalFormatting sqref="A1:F1">
    <cfRule type="expression" dxfId="12" priority="2">
      <formula>$P$11="無"</formula>
    </cfRule>
  </conditionalFormatting>
  <conditionalFormatting sqref="A2:F5">
    <cfRule type="expression" dxfId="11" priority="4">
      <formula>$P$11="無"</formula>
    </cfRule>
  </conditionalFormatting>
  <conditionalFormatting sqref="A6:K31">
    <cfRule type="expression" dxfId="10" priority="3">
      <formula>$P$11="無"</formula>
    </cfRule>
  </conditionalFormatting>
  <conditionalFormatting sqref="G1:K5">
    <cfRule type="expression" dxfId="9" priority="1">
      <formula>$P$11="無"</formula>
    </cfRule>
  </conditionalFormatting>
  <pageMargins left="0.7" right="0.7" top="0.75" bottom="0.75" header="0.3" footer="0.3"/>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9070-D50D-4048-B9B9-0524341C9BAF}">
  <sheetPr codeName="Sheet2">
    <tabColor theme="1"/>
  </sheetPr>
  <dimension ref="A1:BA59"/>
  <sheetViews>
    <sheetView zoomScale="70" zoomScaleNormal="70" zoomScaleSheetLayoutView="80" workbookViewId="0">
      <pane xSplit="3" ySplit="4" topLeftCell="D34" activePane="bottomRight" state="frozen"/>
      <selection activeCell="A6" sqref="A6:AJ42"/>
      <selection pane="topRight" activeCell="A6" sqref="A6:AJ42"/>
      <selection pane="bottomLeft" activeCell="A6" sqref="A6:AJ42"/>
      <selection pane="bottomRight" activeCell="A42" sqref="A42"/>
    </sheetView>
  </sheetViews>
  <sheetFormatPr defaultColWidth="14.5" defaultRowHeight="18"/>
  <cols>
    <col min="1" max="1" width="14.5" style="330"/>
    <col min="2" max="2" width="5.33203125" style="330" customWidth="1"/>
    <col min="3" max="3" width="35.5" style="348" customWidth="1"/>
    <col min="4" max="4" width="9.08203125" style="347" customWidth="1"/>
    <col min="5" max="5" width="16.83203125" style="330" customWidth="1"/>
    <col min="6" max="7" width="14.5" style="330" customWidth="1"/>
    <col min="8" max="8" width="14.5" style="330" hidden="1" customWidth="1"/>
    <col min="9" max="19" width="14.5" style="330" customWidth="1"/>
    <col min="20" max="22" width="10.58203125" style="330" customWidth="1"/>
    <col min="23" max="24" width="14.5" style="330"/>
    <col min="25" max="25" width="14.5" style="343"/>
    <col min="26" max="26" width="14.5" style="330"/>
    <col min="27" max="27" width="32.5" style="343" customWidth="1"/>
    <col min="28" max="28" width="3.83203125" style="330" bestFit="1" customWidth="1"/>
    <col min="29" max="29" width="3.83203125" style="330" customWidth="1"/>
    <col min="30" max="32" width="4.25" style="330" customWidth="1"/>
    <col min="33" max="36" width="14.5" style="330"/>
    <col min="37" max="53" width="14.5" style="279"/>
    <col min="54" max="185" width="14.5" style="173"/>
    <col min="186" max="186" width="6.58203125" style="173" customWidth="1"/>
    <col min="187" max="195" width="4.08203125" style="173" customWidth="1"/>
    <col min="196" max="209" width="4.58203125" style="173" customWidth="1"/>
    <col min="210" max="218" width="5" style="173" customWidth="1"/>
    <col min="219" max="224" width="5.83203125" style="173" customWidth="1"/>
    <col min="225" max="226" width="6.75" style="173" customWidth="1"/>
    <col min="227" max="229" width="12.08203125" style="173" customWidth="1"/>
    <col min="230" max="235" width="5.5" style="173" customWidth="1"/>
    <col min="236" max="237" width="6.83203125" style="173" customWidth="1"/>
    <col min="238" max="238" width="15" style="173" customWidth="1"/>
    <col min="239" max="239" width="18" style="173" customWidth="1"/>
    <col min="240" max="240" width="9.5" style="173" customWidth="1"/>
    <col min="241" max="241" width="10.5" style="173" customWidth="1"/>
    <col min="242" max="242" width="19.75" style="173" customWidth="1"/>
    <col min="243" max="244" width="11" style="173" customWidth="1"/>
    <col min="245" max="441" width="14.5" style="173"/>
    <col min="442" max="442" width="6.58203125" style="173" customWidth="1"/>
    <col min="443" max="451" width="4.08203125" style="173" customWidth="1"/>
    <col min="452" max="465" width="4.58203125" style="173" customWidth="1"/>
    <col min="466" max="474" width="5" style="173" customWidth="1"/>
    <col min="475" max="480" width="5.83203125" style="173" customWidth="1"/>
    <col min="481" max="482" width="6.75" style="173" customWidth="1"/>
    <col min="483" max="485" width="12.08203125" style="173" customWidth="1"/>
    <col min="486" max="491" width="5.5" style="173" customWidth="1"/>
    <col min="492" max="493" width="6.83203125" style="173" customWidth="1"/>
    <col min="494" max="494" width="15" style="173" customWidth="1"/>
    <col min="495" max="495" width="18" style="173" customWidth="1"/>
    <col min="496" max="496" width="9.5" style="173" customWidth="1"/>
    <col min="497" max="497" width="10.5" style="173" customWidth="1"/>
    <col min="498" max="498" width="19.75" style="173" customWidth="1"/>
    <col min="499" max="500" width="11" style="173" customWidth="1"/>
    <col min="501" max="697" width="14.5" style="173"/>
    <col min="698" max="698" width="6.58203125" style="173" customWidth="1"/>
    <col min="699" max="707" width="4.08203125" style="173" customWidth="1"/>
    <col min="708" max="721" width="4.58203125" style="173" customWidth="1"/>
    <col min="722" max="730" width="5" style="173" customWidth="1"/>
    <col min="731" max="736" width="5.83203125" style="173" customWidth="1"/>
    <col min="737" max="738" width="6.75" style="173" customWidth="1"/>
    <col min="739" max="741" width="12.08203125" style="173" customWidth="1"/>
    <col min="742" max="747" width="5.5" style="173" customWidth="1"/>
    <col min="748" max="749" width="6.83203125" style="173" customWidth="1"/>
    <col min="750" max="750" width="15" style="173" customWidth="1"/>
    <col min="751" max="751" width="18" style="173" customWidth="1"/>
    <col min="752" max="752" width="9.5" style="173" customWidth="1"/>
    <col min="753" max="753" width="10.5" style="173" customWidth="1"/>
    <col min="754" max="754" width="19.75" style="173" customWidth="1"/>
    <col min="755" max="756" width="11" style="173" customWidth="1"/>
    <col min="757" max="953" width="14.5" style="173"/>
    <col min="954" max="954" width="6.58203125" style="173" customWidth="1"/>
    <col min="955" max="963" width="4.08203125" style="173" customWidth="1"/>
    <col min="964" max="977" width="4.58203125" style="173" customWidth="1"/>
    <col min="978" max="986" width="5" style="173" customWidth="1"/>
    <col min="987" max="992" width="5.83203125" style="173" customWidth="1"/>
    <col min="993" max="994" width="6.75" style="173" customWidth="1"/>
    <col min="995" max="997" width="12.08203125" style="173" customWidth="1"/>
    <col min="998" max="1003" width="5.5" style="173" customWidth="1"/>
    <col min="1004" max="1005" width="6.83203125" style="173" customWidth="1"/>
    <col min="1006" max="1006" width="15" style="173" customWidth="1"/>
    <col min="1007" max="1007" width="18" style="173" customWidth="1"/>
    <col min="1008" max="1008" width="9.5" style="173" customWidth="1"/>
    <col min="1009" max="1009" width="10.5" style="173" customWidth="1"/>
    <col min="1010" max="1010" width="19.75" style="173" customWidth="1"/>
    <col min="1011" max="1012" width="11" style="173" customWidth="1"/>
    <col min="1013" max="1209" width="14.5" style="173"/>
    <col min="1210" max="1210" width="6.58203125" style="173" customWidth="1"/>
    <col min="1211" max="1219" width="4.08203125" style="173" customWidth="1"/>
    <col min="1220" max="1233" width="4.58203125" style="173" customWidth="1"/>
    <col min="1234" max="1242" width="5" style="173" customWidth="1"/>
    <col min="1243" max="1248" width="5.83203125" style="173" customWidth="1"/>
    <col min="1249" max="1250" width="6.75" style="173" customWidth="1"/>
    <col min="1251" max="1253" width="12.08203125" style="173" customWidth="1"/>
    <col min="1254" max="1259" width="5.5" style="173" customWidth="1"/>
    <col min="1260" max="1261" width="6.83203125" style="173" customWidth="1"/>
    <col min="1262" max="1262" width="15" style="173" customWidth="1"/>
    <col min="1263" max="1263" width="18" style="173" customWidth="1"/>
    <col min="1264" max="1264" width="9.5" style="173" customWidth="1"/>
    <col min="1265" max="1265" width="10.5" style="173" customWidth="1"/>
    <col min="1266" max="1266" width="19.75" style="173" customWidth="1"/>
    <col min="1267" max="1268" width="11" style="173" customWidth="1"/>
    <col min="1269" max="1465" width="14.5" style="173"/>
    <col min="1466" max="1466" width="6.58203125" style="173" customWidth="1"/>
    <col min="1467" max="1475" width="4.08203125" style="173" customWidth="1"/>
    <col min="1476" max="1489" width="4.58203125" style="173" customWidth="1"/>
    <col min="1490" max="1498" width="5" style="173" customWidth="1"/>
    <col min="1499" max="1504" width="5.83203125" style="173" customWidth="1"/>
    <col min="1505" max="1506" width="6.75" style="173" customWidth="1"/>
    <col min="1507" max="1509" width="12.08203125" style="173" customWidth="1"/>
    <col min="1510" max="1515" width="5.5" style="173" customWidth="1"/>
    <col min="1516" max="1517" width="6.83203125" style="173" customWidth="1"/>
    <col min="1518" max="1518" width="15" style="173" customWidth="1"/>
    <col min="1519" max="1519" width="18" style="173" customWidth="1"/>
    <col min="1520" max="1520" width="9.5" style="173" customWidth="1"/>
    <col min="1521" max="1521" width="10.5" style="173" customWidth="1"/>
    <col min="1522" max="1522" width="19.75" style="173" customWidth="1"/>
    <col min="1523" max="1524" width="11" style="173" customWidth="1"/>
    <col min="1525" max="1721" width="14.5" style="173"/>
    <col min="1722" max="1722" width="6.58203125" style="173" customWidth="1"/>
    <col min="1723" max="1731" width="4.08203125" style="173" customWidth="1"/>
    <col min="1732" max="1745" width="4.58203125" style="173" customWidth="1"/>
    <col min="1746" max="1754" width="5" style="173" customWidth="1"/>
    <col min="1755" max="1760" width="5.83203125" style="173" customWidth="1"/>
    <col min="1761" max="1762" width="6.75" style="173" customWidth="1"/>
    <col min="1763" max="1765" width="12.08203125" style="173" customWidth="1"/>
    <col min="1766" max="1771" width="5.5" style="173" customWidth="1"/>
    <col min="1772" max="1773" width="6.83203125" style="173" customWidth="1"/>
    <col min="1774" max="1774" width="15" style="173" customWidth="1"/>
    <col min="1775" max="1775" width="18" style="173" customWidth="1"/>
    <col min="1776" max="1776" width="9.5" style="173" customWidth="1"/>
    <col min="1777" max="1777" width="10.5" style="173" customWidth="1"/>
    <col min="1778" max="1778" width="19.75" style="173" customWidth="1"/>
    <col min="1779" max="1780" width="11" style="173" customWidth="1"/>
    <col min="1781" max="1977" width="14.5" style="173"/>
    <col min="1978" max="1978" width="6.58203125" style="173" customWidth="1"/>
    <col min="1979" max="1987" width="4.08203125" style="173" customWidth="1"/>
    <col min="1988" max="2001" width="4.58203125" style="173" customWidth="1"/>
    <col min="2002" max="2010" width="5" style="173" customWidth="1"/>
    <col min="2011" max="2016" width="5.83203125" style="173" customWidth="1"/>
    <col min="2017" max="2018" width="6.75" style="173" customWidth="1"/>
    <col min="2019" max="2021" width="12.08203125" style="173" customWidth="1"/>
    <col min="2022" max="2027" width="5.5" style="173" customWidth="1"/>
    <col min="2028" max="2029" width="6.83203125" style="173" customWidth="1"/>
    <col min="2030" max="2030" width="15" style="173" customWidth="1"/>
    <col min="2031" max="2031" width="18" style="173" customWidth="1"/>
    <col min="2032" max="2032" width="9.5" style="173" customWidth="1"/>
    <col min="2033" max="2033" width="10.5" style="173" customWidth="1"/>
    <col min="2034" max="2034" width="19.75" style="173" customWidth="1"/>
    <col min="2035" max="2036" width="11" style="173" customWidth="1"/>
    <col min="2037" max="2233" width="14.5" style="173"/>
    <col min="2234" max="2234" width="6.58203125" style="173" customWidth="1"/>
    <col min="2235" max="2243" width="4.08203125" style="173" customWidth="1"/>
    <col min="2244" max="2257" width="4.58203125" style="173" customWidth="1"/>
    <col min="2258" max="2266" width="5" style="173" customWidth="1"/>
    <col min="2267" max="2272" width="5.83203125" style="173" customWidth="1"/>
    <col min="2273" max="2274" width="6.75" style="173" customWidth="1"/>
    <col min="2275" max="2277" width="12.08203125" style="173" customWidth="1"/>
    <col min="2278" max="2283" width="5.5" style="173" customWidth="1"/>
    <col min="2284" max="2285" width="6.83203125" style="173" customWidth="1"/>
    <col min="2286" max="2286" width="15" style="173" customWidth="1"/>
    <col min="2287" max="2287" width="18" style="173" customWidth="1"/>
    <col min="2288" max="2288" width="9.5" style="173" customWidth="1"/>
    <col min="2289" max="2289" width="10.5" style="173" customWidth="1"/>
    <col min="2290" max="2290" width="19.75" style="173" customWidth="1"/>
    <col min="2291" max="2292" width="11" style="173" customWidth="1"/>
    <col min="2293" max="2489" width="14.5" style="173"/>
    <col min="2490" max="2490" width="6.58203125" style="173" customWidth="1"/>
    <col min="2491" max="2499" width="4.08203125" style="173" customWidth="1"/>
    <col min="2500" max="2513" width="4.58203125" style="173" customWidth="1"/>
    <col min="2514" max="2522" width="5" style="173" customWidth="1"/>
    <col min="2523" max="2528" width="5.83203125" style="173" customWidth="1"/>
    <col min="2529" max="2530" width="6.75" style="173" customWidth="1"/>
    <col min="2531" max="2533" width="12.08203125" style="173" customWidth="1"/>
    <col min="2534" max="2539" width="5.5" style="173" customWidth="1"/>
    <col min="2540" max="2541" width="6.83203125" style="173" customWidth="1"/>
    <col min="2542" max="2542" width="15" style="173" customWidth="1"/>
    <col min="2543" max="2543" width="18" style="173" customWidth="1"/>
    <col min="2544" max="2544" width="9.5" style="173" customWidth="1"/>
    <col min="2545" max="2545" width="10.5" style="173" customWidth="1"/>
    <col min="2546" max="2546" width="19.75" style="173" customWidth="1"/>
    <col min="2547" max="2548" width="11" style="173" customWidth="1"/>
    <col min="2549" max="2745" width="14.5" style="173"/>
    <col min="2746" max="2746" width="6.58203125" style="173" customWidth="1"/>
    <col min="2747" max="2755" width="4.08203125" style="173" customWidth="1"/>
    <col min="2756" max="2769" width="4.58203125" style="173" customWidth="1"/>
    <col min="2770" max="2778" width="5" style="173" customWidth="1"/>
    <col min="2779" max="2784" width="5.83203125" style="173" customWidth="1"/>
    <col min="2785" max="2786" width="6.75" style="173" customWidth="1"/>
    <col min="2787" max="2789" width="12.08203125" style="173" customWidth="1"/>
    <col min="2790" max="2795" width="5.5" style="173" customWidth="1"/>
    <col min="2796" max="2797" width="6.83203125" style="173" customWidth="1"/>
    <col min="2798" max="2798" width="15" style="173" customWidth="1"/>
    <col min="2799" max="2799" width="18" style="173" customWidth="1"/>
    <col min="2800" max="2800" width="9.5" style="173" customWidth="1"/>
    <col min="2801" max="2801" width="10.5" style="173" customWidth="1"/>
    <col min="2802" max="2802" width="19.75" style="173" customWidth="1"/>
    <col min="2803" max="2804" width="11" style="173" customWidth="1"/>
    <col min="2805" max="3001" width="14.5" style="173"/>
    <col min="3002" max="3002" width="6.58203125" style="173" customWidth="1"/>
    <col min="3003" max="3011" width="4.08203125" style="173" customWidth="1"/>
    <col min="3012" max="3025" width="4.58203125" style="173" customWidth="1"/>
    <col min="3026" max="3034" width="5" style="173" customWidth="1"/>
    <col min="3035" max="3040" width="5.83203125" style="173" customWidth="1"/>
    <col min="3041" max="3042" width="6.75" style="173" customWidth="1"/>
    <col min="3043" max="3045" width="12.08203125" style="173" customWidth="1"/>
    <col min="3046" max="3051" width="5.5" style="173" customWidth="1"/>
    <col min="3052" max="3053" width="6.83203125" style="173" customWidth="1"/>
    <col min="3054" max="3054" width="15" style="173" customWidth="1"/>
    <col min="3055" max="3055" width="18" style="173" customWidth="1"/>
    <col min="3056" max="3056" width="9.5" style="173" customWidth="1"/>
    <col min="3057" max="3057" width="10.5" style="173" customWidth="1"/>
    <col min="3058" max="3058" width="19.75" style="173" customWidth="1"/>
    <col min="3059" max="3060" width="11" style="173" customWidth="1"/>
    <col min="3061" max="3257" width="14.5" style="173"/>
    <col min="3258" max="3258" width="6.58203125" style="173" customWidth="1"/>
    <col min="3259" max="3267" width="4.08203125" style="173" customWidth="1"/>
    <col min="3268" max="3281" width="4.58203125" style="173" customWidth="1"/>
    <col min="3282" max="3290" width="5" style="173" customWidth="1"/>
    <col min="3291" max="3296" width="5.83203125" style="173" customWidth="1"/>
    <col min="3297" max="3298" width="6.75" style="173" customWidth="1"/>
    <col min="3299" max="3301" width="12.08203125" style="173" customWidth="1"/>
    <col min="3302" max="3307" width="5.5" style="173" customWidth="1"/>
    <col min="3308" max="3309" width="6.83203125" style="173" customWidth="1"/>
    <col min="3310" max="3310" width="15" style="173" customWidth="1"/>
    <col min="3311" max="3311" width="18" style="173" customWidth="1"/>
    <col min="3312" max="3312" width="9.5" style="173" customWidth="1"/>
    <col min="3313" max="3313" width="10.5" style="173" customWidth="1"/>
    <col min="3314" max="3314" width="19.75" style="173" customWidth="1"/>
    <col min="3315" max="3316" width="11" style="173" customWidth="1"/>
    <col min="3317" max="3513" width="14.5" style="173"/>
    <col min="3514" max="3514" width="6.58203125" style="173" customWidth="1"/>
    <col min="3515" max="3523" width="4.08203125" style="173" customWidth="1"/>
    <col min="3524" max="3537" width="4.58203125" style="173" customWidth="1"/>
    <col min="3538" max="3546" width="5" style="173" customWidth="1"/>
    <col min="3547" max="3552" width="5.83203125" style="173" customWidth="1"/>
    <col min="3553" max="3554" width="6.75" style="173" customWidth="1"/>
    <col min="3555" max="3557" width="12.08203125" style="173" customWidth="1"/>
    <col min="3558" max="3563" width="5.5" style="173" customWidth="1"/>
    <col min="3564" max="3565" width="6.83203125" style="173" customWidth="1"/>
    <col min="3566" max="3566" width="15" style="173" customWidth="1"/>
    <col min="3567" max="3567" width="18" style="173" customWidth="1"/>
    <col min="3568" max="3568" width="9.5" style="173" customWidth="1"/>
    <col min="3569" max="3569" width="10.5" style="173" customWidth="1"/>
    <col min="3570" max="3570" width="19.75" style="173" customWidth="1"/>
    <col min="3571" max="3572" width="11" style="173" customWidth="1"/>
    <col min="3573" max="3769" width="14.5" style="173"/>
    <col min="3770" max="3770" width="6.58203125" style="173" customWidth="1"/>
    <col min="3771" max="3779" width="4.08203125" style="173" customWidth="1"/>
    <col min="3780" max="3793" width="4.58203125" style="173" customWidth="1"/>
    <col min="3794" max="3802" width="5" style="173" customWidth="1"/>
    <col min="3803" max="3808" width="5.83203125" style="173" customWidth="1"/>
    <col min="3809" max="3810" width="6.75" style="173" customWidth="1"/>
    <col min="3811" max="3813" width="12.08203125" style="173" customWidth="1"/>
    <col min="3814" max="3819" width="5.5" style="173" customWidth="1"/>
    <col min="3820" max="3821" width="6.83203125" style="173" customWidth="1"/>
    <col min="3822" max="3822" width="15" style="173" customWidth="1"/>
    <col min="3823" max="3823" width="18" style="173" customWidth="1"/>
    <col min="3824" max="3824" width="9.5" style="173" customWidth="1"/>
    <col min="3825" max="3825" width="10.5" style="173" customWidth="1"/>
    <col min="3826" max="3826" width="19.75" style="173" customWidth="1"/>
    <col min="3827" max="3828" width="11" style="173" customWidth="1"/>
    <col min="3829" max="4025" width="14.5" style="173"/>
    <col min="4026" max="4026" width="6.58203125" style="173" customWidth="1"/>
    <col min="4027" max="4035" width="4.08203125" style="173" customWidth="1"/>
    <col min="4036" max="4049" width="4.58203125" style="173" customWidth="1"/>
    <col min="4050" max="4058" width="5" style="173" customWidth="1"/>
    <col min="4059" max="4064" width="5.83203125" style="173" customWidth="1"/>
    <col min="4065" max="4066" width="6.75" style="173" customWidth="1"/>
    <col min="4067" max="4069" width="12.08203125" style="173" customWidth="1"/>
    <col min="4070" max="4075" width="5.5" style="173" customWidth="1"/>
    <col min="4076" max="4077" width="6.83203125" style="173" customWidth="1"/>
    <col min="4078" max="4078" width="15" style="173" customWidth="1"/>
    <col min="4079" max="4079" width="18" style="173" customWidth="1"/>
    <col min="4080" max="4080" width="9.5" style="173" customWidth="1"/>
    <col min="4081" max="4081" width="10.5" style="173" customWidth="1"/>
    <col min="4082" max="4082" width="19.75" style="173" customWidth="1"/>
    <col min="4083" max="4084" width="11" style="173" customWidth="1"/>
    <col min="4085" max="4281" width="14.5" style="173"/>
    <col min="4282" max="4282" width="6.58203125" style="173" customWidth="1"/>
    <col min="4283" max="4291" width="4.08203125" style="173" customWidth="1"/>
    <col min="4292" max="4305" width="4.58203125" style="173" customWidth="1"/>
    <col min="4306" max="4314" width="5" style="173" customWidth="1"/>
    <col min="4315" max="4320" width="5.83203125" style="173" customWidth="1"/>
    <col min="4321" max="4322" width="6.75" style="173" customWidth="1"/>
    <col min="4323" max="4325" width="12.08203125" style="173" customWidth="1"/>
    <col min="4326" max="4331" width="5.5" style="173" customWidth="1"/>
    <col min="4332" max="4333" width="6.83203125" style="173" customWidth="1"/>
    <col min="4334" max="4334" width="15" style="173" customWidth="1"/>
    <col min="4335" max="4335" width="18" style="173" customWidth="1"/>
    <col min="4336" max="4336" width="9.5" style="173" customWidth="1"/>
    <col min="4337" max="4337" width="10.5" style="173" customWidth="1"/>
    <col min="4338" max="4338" width="19.75" style="173" customWidth="1"/>
    <col min="4339" max="4340" width="11" style="173" customWidth="1"/>
    <col min="4341" max="4537" width="14.5" style="173"/>
    <col min="4538" max="4538" width="6.58203125" style="173" customWidth="1"/>
    <col min="4539" max="4547" width="4.08203125" style="173" customWidth="1"/>
    <col min="4548" max="4561" width="4.58203125" style="173" customWidth="1"/>
    <col min="4562" max="4570" width="5" style="173" customWidth="1"/>
    <col min="4571" max="4576" width="5.83203125" style="173" customWidth="1"/>
    <col min="4577" max="4578" width="6.75" style="173" customWidth="1"/>
    <col min="4579" max="4581" width="12.08203125" style="173" customWidth="1"/>
    <col min="4582" max="4587" width="5.5" style="173" customWidth="1"/>
    <col min="4588" max="4589" width="6.83203125" style="173" customWidth="1"/>
    <col min="4590" max="4590" width="15" style="173" customWidth="1"/>
    <col min="4591" max="4591" width="18" style="173" customWidth="1"/>
    <col min="4592" max="4592" width="9.5" style="173" customWidth="1"/>
    <col min="4593" max="4593" width="10.5" style="173" customWidth="1"/>
    <col min="4594" max="4594" width="19.75" style="173" customWidth="1"/>
    <col min="4595" max="4596" width="11" style="173" customWidth="1"/>
    <col min="4597" max="4793" width="14.5" style="173"/>
    <col min="4794" max="4794" width="6.58203125" style="173" customWidth="1"/>
    <col min="4795" max="4803" width="4.08203125" style="173" customWidth="1"/>
    <col min="4804" max="4817" width="4.58203125" style="173" customWidth="1"/>
    <col min="4818" max="4826" width="5" style="173" customWidth="1"/>
    <col min="4827" max="4832" width="5.83203125" style="173" customWidth="1"/>
    <col min="4833" max="4834" width="6.75" style="173" customWidth="1"/>
    <col min="4835" max="4837" width="12.08203125" style="173" customWidth="1"/>
    <col min="4838" max="4843" width="5.5" style="173" customWidth="1"/>
    <col min="4844" max="4845" width="6.83203125" style="173" customWidth="1"/>
    <col min="4846" max="4846" width="15" style="173" customWidth="1"/>
    <col min="4847" max="4847" width="18" style="173" customWidth="1"/>
    <col min="4848" max="4848" width="9.5" style="173" customWidth="1"/>
    <col min="4849" max="4849" width="10.5" style="173" customWidth="1"/>
    <col min="4850" max="4850" width="19.75" style="173" customWidth="1"/>
    <col min="4851" max="4852" width="11" style="173" customWidth="1"/>
    <col min="4853" max="5049" width="14.5" style="173"/>
    <col min="5050" max="5050" width="6.58203125" style="173" customWidth="1"/>
    <col min="5051" max="5059" width="4.08203125" style="173" customWidth="1"/>
    <col min="5060" max="5073" width="4.58203125" style="173" customWidth="1"/>
    <col min="5074" max="5082" width="5" style="173" customWidth="1"/>
    <col min="5083" max="5088" width="5.83203125" style="173" customWidth="1"/>
    <col min="5089" max="5090" width="6.75" style="173" customWidth="1"/>
    <col min="5091" max="5093" width="12.08203125" style="173" customWidth="1"/>
    <col min="5094" max="5099" width="5.5" style="173" customWidth="1"/>
    <col min="5100" max="5101" width="6.83203125" style="173" customWidth="1"/>
    <col min="5102" max="5102" width="15" style="173" customWidth="1"/>
    <col min="5103" max="5103" width="18" style="173" customWidth="1"/>
    <col min="5104" max="5104" width="9.5" style="173" customWidth="1"/>
    <col min="5105" max="5105" width="10.5" style="173" customWidth="1"/>
    <col min="5106" max="5106" width="19.75" style="173" customWidth="1"/>
    <col min="5107" max="5108" width="11" style="173" customWidth="1"/>
    <col min="5109" max="5305" width="14.5" style="173"/>
    <col min="5306" max="5306" width="6.58203125" style="173" customWidth="1"/>
    <col min="5307" max="5315" width="4.08203125" style="173" customWidth="1"/>
    <col min="5316" max="5329" width="4.58203125" style="173" customWidth="1"/>
    <col min="5330" max="5338" width="5" style="173" customWidth="1"/>
    <col min="5339" max="5344" width="5.83203125" style="173" customWidth="1"/>
    <col min="5345" max="5346" width="6.75" style="173" customWidth="1"/>
    <col min="5347" max="5349" width="12.08203125" style="173" customWidth="1"/>
    <col min="5350" max="5355" width="5.5" style="173" customWidth="1"/>
    <col min="5356" max="5357" width="6.83203125" style="173" customWidth="1"/>
    <col min="5358" max="5358" width="15" style="173" customWidth="1"/>
    <col min="5359" max="5359" width="18" style="173" customWidth="1"/>
    <col min="5360" max="5360" width="9.5" style="173" customWidth="1"/>
    <col min="5361" max="5361" width="10.5" style="173" customWidth="1"/>
    <col min="5362" max="5362" width="19.75" style="173" customWidth="1"/>
    <col min="5363" max="5364" width="11" style="173" customWidth="1"/>
    <col min="5365" max="5561" width="14.5" style="173"/>
    <col min="5562" max="5562" width="6.58203125" style="173" customWidth="1"/>
    <col min="5563" max="5571" width="4.08203125" style="173" customWidth="1"/>
    <col min="5572" max="5585" width="4.58203125" style="173" customWidth="1"/>
    <col min="5586" max="5594" width="5" style="173" customWidth="1"/>
    <col min="5595" max="5600" width="5.83203125" style="173" customWidth="1"/>
    <col min="5601" max="5602" width="6.75" style="173" customWidth="1"/>
    <col min="5603" max="5605" width="12.08203125" style="173" customWidth="1"/>
    <col min="5606" max="5611" width="5.5" style="173" customWidth="1"/>
    <col min="5612" max="5613" width="6.83203125" style="173" customWidth="1"/>
    <col min="5614" max="5614" width="15" style="173" customWidth="1"/>
    <col min="5615" max="5615" width="18" style="173" customWidth="1"/>
    <col min="5616" max="5616" width="9.5" style="173" customWidth="1"/>
    <col min="5617" max="5617" width="10.5" style="173" customWidth="1"/>
    <col min="5618" max="5618" width="19.75" style="173" customWidth="1"/>
    <col min="5619" max="5620" width="11" style="173" customWidth="1"/>
    <col min="5621" max="5817" width="14.5" style="173"/>
    <col min="5818" max="5818" width="6.58203125" style="173" customWidth="1"/>
    <col min="5819" max="5827" width="4.08203125" style="173" customWidth="1"/>
    <col min="5828" max="5841" width="4.58203125" style="173" customWidth="1"/>
    <col min="5842" max="5850" width="5" style="173" customWidth="1"/>
    <col min="5851" max="5856" width="5.83203125" style="173" customWidth="1"/>
    <col min="5857" max="5858" width="6.75" style="173" customWidth="1"/>
    <col min="5859" max="5861" width="12.08203125" style="173" customWidth="1"/>
    <col min="5862" max="5867" width="5.5" style="173" customWidth="1"/>
    <col min="5868" max="5869" width="6.83203125" style="173" customWidth="1"/>
    <col min="5870" max="5870" width="15" style="173" customWidth="1"/>
    <col min="5871" max="5871" width="18" style="173" customWidth="1"/>
    <col min="5872" max="5872" width="9.5" style="173" customWidth="1"/>
    <col min="5873" max="5873" width="10.5" style="173" customWidth="1"/>
    <col min="5874" max="5874" width="19.75" style="173" customWidth="1"/>
    <col min="5875" max="5876" width="11" style="173" customWidth="1"/>
    <col min="5877" max="6073" width="14.5" style="173"/>
    <col min="6074" max="6074" width="6.58203125" style="173" customWidth="1"/>
    <col min="6075" max="6083" width="4.08203125" style="173" customWidth="1"/>
    <col min="6084" max="6097" width="4.58203125" style="173" customWidth="1"/>
    <col min="6098" max="6106" width="5" style="173" customWidth="1"/>
    <col min="6107" max="6112" width="5.83203125" style="173" customWidth="1"/>
    <col min="6113" max="6114" width="6.75" style="173" customWidth="1"/>
    <col min="6115" max="6117" width="12.08203125" style="173" customWidth="1"/>
    <col min="6118" max="6123" width="5.5" style="173" customWidth="1"/>
    <col min="6124" max="6125" width="6.83203125" style="173" customWidth="1"/>
    <col min="6126" max="6126" width="15" style="173" customWidth="1"/>
    <col min="6127" max="6127" width="18" style="173" customWidth="1"/>
    <col min="6128" max="6128" width="9.5" style="173" customWidth="1"/>
    <col min="6129" max="6129" width="10.5" style="173" customWidth="1"/>
    <col min="6130" max="6130" width="19.75" style="173" customWidth="1"/>
    <col min="6131" max="6132" width="11" style="173" customWidth="1"/>
    <col min="6133" max="6329" width="14.5" style="173"/>
    <col min="6330" max="6330" width="6.58203125" style="173" customWidth="1"/>
    <col min="6331" max="6339" width="4.08203125" style="173" customWidth="1"/>
    <col min="6340" max="6353" width="4.58203125" style="173" customWidth="1"/>
    <col min="6354" max="6362" width="5" style="173" customWidth="1"/>
    <col min="6363" max="6368" width="5.83203125" style="173" customWidth="1"/>
    <col min="6369" max="6370" width="6.75" style="173" customWidth="1"/>
    <col min="6371" max="6373" width="12.08203125" style="173" customWidth="1"/>
    <col min="6374" max="6379" width="5.5" style="173" customWidth="1"/>
    <col min="6380" max="6381" width="6.83203125" style="173" customWidth="1"/>
    <col min="6382" max="6382" width="15" style="173" customWidth="1"/>
    <col min="6383" max="6383" width="18" style="173" customWidth="1"/>
    <col min="6384" max="6384" width="9.5" style="173" customWidth="1"/>
    <col min="6385" max="6385" width="10.5" style="173" customWidth="1"/>
    <col min="6386" max="6386" width="19.75" style="173" customWidth="1"/>
    <col min="6387" max="6388" width="11" style="173" customWidth="1"/>
    <col min="6389" max="6585" width="14.5" style="173"/>
    <col min="6586" max="6586" width="6.58203125" style="173" customWidth="1"/>
    <col min="6587" max="6595" width="4.08203125" style="173" customWidth="1"/>
    <col min="6596" max="6609" width="4.58203125" style="173" customWidth="1"/>
    <col min="6610" max="6618" width="5" style="173" customWidth="1"/>
    <col min="6619" max="6624" width="5.83203125" style="173" customWidth="1"/>
    <col min="6625" max="6626" width="6.75" style="173" customWidth="1"/>
    <col min="6627" max="6629" width="12.08203125" style="173" customWidth="1"/>
    <col min="6630" max="6635" width="5.5" style="173" customWidth="1"/>
    <col min="6636" max="6637" width="6.83203125" style="173" customWidth="1"/>
    <col min="6638" max="6638" width="15" style="173" customWidth="1"/>
    <col min="6639" max="6639" width="18" style="173" customWidth="1"/>
    <col min="6640" max="6640" width="9.5" style="173" customWidth="1"/>
    <col min="6641" max="6641" width="10.5" style="173" customWidth="1"/>
    <col min="6642" max="6642" width="19.75" style="173" customWidth="1"/>
    <col min="6643" max="6644" width="11" style="173" customWidth="1"/>
    <col min="6645" max="6841" width="14.5" style="173"/>
    <col min="6842" max="6842" width="6.58203125" style="173" customWidth="1"/>
    <col min="6843" max="6851" width="4.08203125" style="173" customWidth="1"/>
    <col min="6852" max="6865" width="4.58203125" style="173" customWidth="1"/>
    <col min="6866" max="6874" width="5" style="173" customWidth="1"/>
    <col min="6875" max="6880" width="5.83203125" style="173" customWidth="1"/>
    <col min="6881" max="6882" width="6.75" style="173" customWidth="1"/>
    <col min="6883" max="6885" width="12.08203125" style="173" customWidth="1"/>
    <col min="6886" max="6891" width="5.5" style="173" customWidth="1"/>
    <col min="6892" max="6893" width="6.83203125" style="173" customWidth="1"/>
    <col min="6894" max="6894" width="15" style="173" customWidth="1"/>
    <col min="6895" max="6895" width="18" style="173" customWidth="1"/>
    <col min="6896" max="6896" width="9.5" style="173" customWidth="1"/>
    <col min="6897" max="6897" width="10.5" style="173" customWidth="1"/>
    <col min="6898" max="6898" width="19.75" style="173" customWidth="1"/>
    <col min="6899" max="6900" width="11" style="173" customWidth="1"/>
    <col min="6901" max="7097" width="14.5" style="173"/>
    <col min="7098" max="7098" width="6.58203125" style="173" customWidth="1"/>
    <col min="7099" max="7107" width="4.08203125" style="173" customWidth="1"/>
    <col min="7108" max="7121" width="4.58203125" style="173" customWidth="1"/>
    <col min="7122" max="7130" width="5" style="173" customWidth="1"/>
    <col min="7131" max="7136" width="5.83203125" style="173" customWidth="1"/>
    <col min="7137" max="7138" width="6.75" style="173" customWidth="1"/>
    <col min="7139" max="7141" width="12.08203125" style="173" customWidth="1"/>
    <col min="7142" max="7147" width="5.5" style="173" customWidth="1"/>
    <col min="7148" max="7149" width="6.83203125" style="173" customWidth="1"/>
    <col min="7150" max="7150" width="15" style="173" customWidth="1"/>
    <col min="7151" max="7151" width="18" style="173" customWidth="1"/>
    <col min="7152" max="7152" width="9.5" style="173" customWidth="1"/>
    <col min="7153" max="7153" width="10.5" style="173" customWidth="1"/>
    <col min="7154" max="7154" width="19.75" style="173" customWidth="1"/>
    <col min="7155" max="7156" width="11" style="173" customWidth="1"/>
    <col min="7157" max="7353" width="14.5" style="173"/>
    <col min="7354" max="7354" width="6.58203125" style="173" customWidth="1"/>
    <col min="7355" max="7363" width="4.08203125" style="173" customWidth="1"/>
    <col min="7364" max="7377" width="4.58203125" style="173" customWidth="1"/>
    <col min="7378" max="7386" width="5" style="173" customWidth="1"/>
    <col min="7387" max="7392" width="5.83203125" style="173" customWidth="1"/>
    <col min="7393" max="7394" width="6.75" style="173" customWidth="1"/>
    <col min="7395" max="7397" width="12.08203125" style="173" customWidth="1"/>
    <col min="7398" max="7403" width="5.5" style="173" customWidth="1"/>
    <col min="7404" max="7405" width="6.83203125" style="173" customWidth="1"/>
    <col min="7406" max="7406" width="15" style="173" customWidth="1"/>
    <col min="7407" max="7407" width="18" style="173" customWidth="1"/>
    <col min="7408" max="7408" width="9.5" style="173" customWidth="1"/>
    <col min="7409" max="7409" width="10.5" style="173" customWidth="1"/>
    <col min="7410" max="7410" width="19.75" style="173" customWidth="1"/>
    <col min="7411" max="7412" width="11" style="173" customWidth="1"/>
    <col min="7413" max="7609" width="14.5" style="173"/>
    <col min="7610" max="7610" width="6.58203125" style="173" customWidth="1"/>
    <col min="7611" max="7619" width="4.08203125" style="173" customWidth="1"/>
    <col min="7620" max="7633" width="4.58203125" style="173" customWidth="1"/>
    <col min="7634" max="7642" width="5" style="173" customWidth="1"/>
    <col min="7643" max="7648" width="5.83203125" style="173" customWidth="1"/>
    <col min="7649" max="7650" width="6.75" style="173" customWidth="1"/>
    <col min="7651" max="7653" width="12.08203125" style="173" customWidth="1"/>
    <col min="7654" max="7659" width="5.5" style="173" customWidth="1"/>
    <col min="7660" max="7661" width="6.83203125" style="173" customWidth="1"/>
    <col min="7662" max="7662" width="15" style="173" customWidth="1"/>
    <col min="7663" max="7663" width="18" style="173" customWidth="1"/>
    <col min="7664" max="7664" width="9.5" style="173" customWidth="1"/>
    <col min="7665" max="7665" width="10.5" style="173" customWidth="1"/>
    <col min="7666" max="7666" width="19.75" style="173" customWidth="1"/>
    <col min="7667" max="7668" width="11" style="173" customWidth="1"/>
    <col min="7669" max="7865" width="14.5" style="173"/>
    <col min="7866" max="7866" width="6.58203125" style="173" customWidth="1"/>
    <col min="7867" max="7875" width="4.08203125" style="173" customWidth="1"/>
    <col min="7876" max="7889" width="4.58203125" style="173" customWidth="1"/>
    <col min="7890" max="7898" width="5" style="173" customWidth="1"/>
    <col min="7899" max="7904" width="5.83203125" style="173" customWidth="1"/>
    <col min="7905" max="7906" width="6.75" style="173" customWidth="1"/>
    <col min="7907" max="7909" width="12.08203125" style="173" customWidth="1"/>
    <col min="7910" max="7915" width="5.5" style="173" customWidth="1"/>
    <col min="7916" max="7917" width="6.83203125" style="173" customWidth="1"/>
    <col min="7918" max="7918" width="15" style="173" customWidth="1"/>
    <col min="7919" max="7919" width="18" style="173" customWidth="1"/>
    <col min="7920" max="7920" width="9.5" style="173" customWidth="1"/>
    <col min="7921" max="7921" width="10.5" style="173" customWidth="1"/>
    <col min="7922" max="7922" width="19.75" style="173" customWidth="1"/>
    <col min="7923" max="7924" width="11" style="173" customWidth="1"/>
    <col min="7925" max="8121" width="14.5" style="173"/>
    <col min="8122" max="8122" width="6.58203125" style="173" customWidth="1"/>
    <col min="8123" max="8131" width="4.08203125" style="173" customWidth="1"/>
    <col min="8132" max="8145" width="4.58203125" style="173" customWidth="1"/>
    <col min="8146" max="8154" width="5" style="173" customWidth="1"/>
    <col min="8155" max="8160" width="5.83203125" style="173" customWidth="1"/>
    <col min="8161" max="8162" width="6.75" style="173" customWidth="1"/>
    <col min="8163" max="8165" width="12.08203125" style="173" customWidth="1"/>
    <col min="8166" max="8171" width="5.5" style="173" customWidth="1"/>
    <col min="8172" max="8173" width="6.83203125" style="173" customWidth="1"/>
    <col min="8174" max="8174" width="15" style="173" customWidth="1"/>
    <col min="8175" max="8175" width="18" style="173" customWidth="1"/>
    <col min="8176" max="8176" width="9.5" style="173" customWidth="1"/>
    <col min="8177" max="8177" width="10.5" style="173" customWidth="1"/>
    <col min="8178" max="8178" width="19.75" style="173" customWidth="1"/>
    <col min="8179" max="8180" width="11" style="173" customWidth="1"/>
    <col min="8181" max="8377" width="14.5" style="173"/>
    <col min="8378" max="8378" width="6.58203125" style="173" customWidth="1"/>
    <col min="8379" max="8387" width="4.08203125" style="173" customWidth="1"/>
    <col min="8388" max="8401" width="4.58203125" style="173" customWidth="1"/>
    <col min="8402" max="8410" width="5" style="173" customWidth="1"/>
    <col min="8411" max="8416" width="5.83203125" style="173" customWidth="1"/>
    <col min="8417" max="8418" width="6.75" style="173" customWidth="1"/>
    <col min="8419" max="8421" width="12.08203125" style="173" customWidth="1"/>
    <col min="8422" max="8427" width="5.5" style="173" customWidth="1"/>
    <col min="8428" max="8429" width="6.83203125" style="173" customWidth="1"/>
    <col min="8430" max="8430" width="15" style="173" customWidth="1"/>
    <col min="8431" max="8431" width="18" style="173" customWidth="1"/>
    <col min="8432" max="8432" width="9.5" style="173" customWidth="1"/>
    <col min="8433" max="8433" width="10.5" style="173" customWidth="1"/>
    <col min="8434" max="8434" width="19.75" style="173" customWidth="1"/>
    <col min="8435" max="8436" width="11" style="173" customWidth="1"/>
    <col min="8437" max="8633" width="14.5" style="173"/>
    <col min="8634" max="8634" width="6.58203125" style="173" customWidth="1"/>
    <col min="8635" max="8643" width="4.08203125" style="173" customWidth="1"/>
    <col min="8644" max="8657" width="4.58203125" style="173" customWidth="1"/>
    <col min="8658" max="8666" width="5" style="173" customWidth="1"/>
    <col min="8667" max="8672" width="5.83203125" style="173" customWidth="1"/>
    <col min="8673" max="8674" width="6.75" style="173" customWidth="1"/>
    <col min="8675" max="8677" width="12.08203125" style="173" customWidth="1"/>
    <col min="8678" max="8683" width="5.5" style="173" customWidth="1"/>
    <col min="8684" max="8685" width="6.83203125" style="173" customWidth="1"/>
    <col min="8686" max="8686" width="15" style="173" customWidth="1"/>
    <col min="8687" max="8687" width="18" style="173" customWidth="1"/>
    <col min="8688" max="8688" width="9.5" style="173" customWidth="1"/>
    <col min="8689" max="8689" width="10.5" style="173" customWidth="1"/>
    <col min="8690" max="8690" width="19.75" style="173" customWidth="1"/>
    <col min="8691" max="8692" width="11" style="173" customWidth="1"/>
    <col min="8693" max="8889" width="14.5" style="173"/>
    <col min="8890" max="8890" width="6.58203125" style="173" customWidth="1"/>
    <col min="8891" max="8899" width="4.08203125" style="173" customWidth="1"/>
    <col min="8900" max="8913" width="4.58203125" style="173" customWidth="1"/>
    <col min="8914" max="8922" width="5" style="173" customWidth="1"/>
    <col min="8923" max="8928" width="5.83203125" style="173" customWidth="1"/>
    <col min="8929" max="8930" width="6.75" style="173" customWidth="1"/>
    <col min="8931" max="8933" width="12.08203125" style="173" customWidth="1"/>
    <col min="8934" max="8939" width="5.5" style="173" customWidth="1"/>
    <col min="8940" max="8941" width="6.83203125" style="173" customWidth="1"/>
    <col min="8942" max="8942" width="15" style="173" customWidth="1"/>
    <col min="8943" max="8943" width="18" style="173" customWidth="1"/>
    <col min="8944" max="8944" width="9.5" style="173" customWidth="1"/>
    <col min="8945" max="8945" width="10.5" style="173" customWidth="1"/>
    <col min="8946" max="8946" width="19.75" style="173" customWidth="1"/>
    <col min="8947" max="8948" width="11" style="173" customWidth="1"/>
    <col min="8949" max="9145" width="14.5" style="173"/>
    <col min="9146" max="9146" width="6.58203125" style="173" customWidth="1"/>
    <col min="9147" max="9155" width="4.08203125" style="173" customWidth="1"/>
    <col min="9156" max="9169" width="4.58203125" style="173" customWidth="1"/>
    <col min="9170" max="9178" width="5" style="173" customWidth="1"/>
    <col min="9179" max="9184" width="5.83203125" style="173" customWidth="1"/>
    <col min="9185" max="9186" width="6.75" style="173" customWidth="1"/>
    <col min="9187" max="9189" width="12.08203125" style="173" customWidth="1"/>
    <col min="9190" max="9195" width="5.5" style="173" customWidth="1"/>
    <col min="9196" max="9197" width="6.83203125" style="173" customWidth="1"/>
    <col min="9198" max="9198" width="15" style="173" customWidth="1"/>
    <col min="9199" max="9199" width="18" style="173" customWidth="1"/>
    <col min="9200" max="9200" width="9.5" style="173" customWidth="1"/>
    <col min="9201" max="9201" width="10.5" style="173" customWidth="1"/>
    <col min="9202" max="9202" width="19.75" style="173" customWidth="1"/>
    <col min="9203" max="9204" width="11" style="173" customWidth="1"/>
    <col min="9205" max="9401" width="14.5" style="173"/>
    <col min="9402" max="9402" width="6.58203125" style="173" customWidth="1"/>
    <col min="9403" max="9411" width="4.08203125" style="173" customWidth="1"/>
    <col min="9412" max="9425" width="4.58203125" style="173" customWidth="1"/>
    <col min="9426" max="9434" width="5" style="173" customWidth="1"/>
    <col min="9435" max="9440" width="5.83203125" style="173" customWidth="1"/>
    <col min="9441" max="9442" width="6.75" style="173" customWidth="1"/>
    <col min="9443" max="9445" width="12.08203125" style="173" customWidth="1"/>
    <col min="9446" max="9451" width="5.5" style="173" customWidth="1"/>
    <col min="9452" max="9453" width="6.83203125" style="173" customWidth="1"/>
    <col min="9454" max="9454" width="15" style="173" customWidth="1"/>
    <col min="9455" max="9455" width="18" style="173" customWidth="1"/>
    <col min="9456" max="9456" width="9.5" style="173" customWidth="1"/>
    <col min="9457" max="9457" width="10.5" style="173" customWidth="1"/>
    <col min="9458" max="9458" width="19.75" style="173" customWidth="1"/>
    <col min="9459" max="9460" width="11" style="173" customWidth="1"/>
    <col min="9461" max="9657" width="14.5" style="173"/>
    <col min="9658" max="9658" width="6.58203125" style="173" customWidth="1"/>
    <col min="9659" max="9667" width="4.08203125" style="173" customWidth="1"/>
    <col min="9668" max="9681" width="4.58203125" style="173" customWidth="1"/>
    <col min="9682" max="9690" width="5" style="173" customWidth="1"/>
    <col min="9691" max="9696" width="5.83203125" style="173" customWidth="1"/>
    <col min="9697" max="9698" width="6.75" style="173" customWidth="1"/>
    <col min="9699" max="9701" width="12.08203125" style="173" customWidth="1"/>
    <col min="9702" max="9707" width="5.5" style="173" customWidth="1"/>
    <col min="9708" max="9709" width="6.83203125" style="173" customWidth="1"/>
    <col min="9710" max="9710" width="15" style="173" customWidth="1"/>
    <col min="9711" max="9711" width="18" style="173" customWidth="1"/>
    <col min="9712" max="9712" width="9.5" style="173" customWidth="1"/>
    <col min="9713" max="9713" width="10.5" style="173" customWidth="1"/>
    <col min="9714" max="9714" width="19.75" style="173" customWidth="1"/>
    <col min="9715" max="9716" width="11" style="173" customWidth="1"/>
    <col min="9717" max="9913" width="14.5" style="173"/>
    <col min="9914" max="9914" width="6.58203125" style="173" customWidth="1"/>
    <col min="9915" max="9923" width="4.08203125" style="173" customWidth="1"/>
    <col min="9924" max="9937" width="4.58203125" style="173" customWidth="1"/>
    <col min="9938" max="9946" width="5" style="173" customWidth="1"/>
    <col min="9947" max="9952" width="5.83203125" style="173" customWidth="1"/>
    <col min="9953" max="9954" width="6.75" style="173" customWidth="1"/>
    <col min="9955" max="9957" width="12.08203125" style="173" customWidth="1"/>
    <col min="9958" max="9963" width="5.5" style="173" customWidth="1"/>
    <col min="9964" max="9965" width="6.83203125" style="173" customWidth="1"/>
    <col min="9966" max="9966" width="15" style="173" customWidth="1"/>
    <col min="9967" max="9967" width="18" style="173" customWidth="1"/>
    <col min="9968" max="9968" width="9.5" style="173" customWidth="1"/>
    <col min="9969" max="9969" width="10.5" style="173" customWidth="1"/>
    <col min="9970" max="9970" width="19.75" style="173" customWidth="1"/>
    <col min="9971" max="9972" width="11" style="173" customWidth="1"/>
    <col min="9973" max="10169" width="14.5" style="173"/>
    <col min="10170" max="10170" width="6.58203125" style="173" customWidth="1"/>
    <col min="10171" max="10179" width="4.08203125" style="173" customWidth="1"/>
    <col min="10180" max="10193" width="4.58203125" style="173" customWidth="1"/>
    <col min="10194" max="10202" width="5" style="173" customWidth="1"/>
    <col min="10203" max="10208" width="5.83203125" style="173" customWidth="1"/>
    <col min="10209" max="10210" width="6.75" style="173" customWidth="1"/>
    <col min="10211" max="10213" width="12.08203125" style="173" customWidth="1"/>
    <col min="10214" max="10219" width="5.5" style="173" customWidth="1"/>
    <col min="10220" max="10221" width="6.83203125" style="173" customWidth="1"/>
    <col min="10222" max="10222" width="15" style="173" customWidth="1"/>
    <col min="10223" max="10223" width="18" style="173" customWidth="1"/>
    <col min="10224" max="10224" width="9.5" style="173" customWidth="1"/>
    <col min="10225" max="10225" width="10.5" style="173" customWidth="1"/>
    <col min="10226" max="10226" width="19.75" style="173" customWidth="1"/>
    <col min="10227" max="10228" width="11" style="173" customWidth="1"/>
    <col min="10229" max="10425" width="14.5" style="173"/>
    <col min="10426" max="10426" width="6.58203125" style="173" customWidth="1"/>
    <col min="10427" max="10435" width="4.08203125" style="173" customWidth="1"/>
    <col min="10436" max="10449" width="4.58203125" style="173" customWidth="1"/>
    <col min="10450" max="10458" width="5" style="173" customWidth="1"/>
    <col min="10459" max="10464" width="5.83203125" style="173" customWidth="1"/>
    <col min="10465" max="10466" width="6.75" style="173" customWidth="1"/>
    <col min="10467" max="10469" width="12.08203125" style="173" customWidth="1"/>
    <col min="10470" max="10475" width="5.5" style="173" customWidth="1"/>
    <col min="10476" max="10477" width="6.83203125" style="173" customWidth="1"/>
    <col min="10478" max="10478" width="15" style="173" customWidth="1"/>
    <col min="10479" max="10479" width="18" style="173" customWidth="1"/>
    <col min="10480" max="10480" width="9.5" style="173" customWidth="1"/>
    <col min="10481" max="10481" width="10.5" style="173" customWidth="1"/>
    <col min="10482" max="10482" width="19.75" style="173" customWidth="1"/>
    <col min="10483" max="10484" width="11" style="173" customWidth="1"/>
    <col min="10485" max="10681" width="14.5" style="173"/>
    <col min="10682" max="10682" width="6.58203125" style="173" customWidth="1"/>
    <col min="10683" max="10691" width="4.08203125" style="173" customWidth="1"/>
    <col min="10692" max="10705" width="4.58203125" style="173" customWidth="1"/>
    <col min="10706" max="10714" width="5" style="173" customWidth="1"/>
    <col min="10715" max="10720" width="5.83203125" style="173" customWidth="1"/>
    <col min="10721" max="10722" width="6.75" style="173" customWidth="1"/>
    <col min="10723" max="10725" width="12.08203125" style="173" customWidth="1"/>
    <col min="10726" max="10731" width="5.5" style="173" customWidth="1"/>
    <col min="10732" max="10733" width="6.83203125" style="173" customWidth="1"/>
    <col min="10734" max="10734" width="15" style="173" customWidth="1"/>
    <col min="10735" max="10735" width="18" style="173" customWidth="1"/>
    <col min="10736" max="10736" width="9.5" style="173" customWidth="1"/>
    <col min="10737" max="10737" width="10.5" style="173" customWidth="1"/>
    <col min="10738" max="10738" width="19.75" style="173" customWidth="1"/>
    <col min="10739" max="10740" width="11" style="173" customWidth="1"/>
    <col min="10741" max="10937" width="14.5" style="173"/>
    <col min="10938" max="10938" width="6.58203125" style="173" customWidth="1"/>
    <col min="10939" max="10947" width="4.08203125" style="173" customWidth="1"/>
    <col min="10948" max="10961" width="4.58203125" style="173" customWidth="1"/>
    <col min="10962" max="10970" width="5" style="173" customWidth="1"/>
    <col min="10971" max="10976" width="5.83203125" style="173" customWidth="1"/>
    <col min="10977" max="10978" width="6.75" style="173" customWidth="1"/>
    <col min="10979" max="10981" width="12.08203125" style="173" customWidth="1"/>
    <col min="10982" max="10987" width="5.5" style="173" customWidth="1"/>
    <col min="10988" max="10989" width="6.83203125" style="173" customWidth="1"/>
    <col min="10990" max="10990" width="15" style="173" customWidth="1"/>
    <col min="10991" max="10991" width="18" style="173" customWidth="1"/>
    <col min="10992" max="10992" width="9.5" style="173" customWidth="1"/>
    <col min="10993" max="10993" width="10.5" style="173" customWidth="1"/>
    <col min="10994" max="10994" width="19.75" style="173" customWidth="1"/>
    <col min="10995" max="10996" width="11" style="173" customWidth="1"/>
    <col min="10997" max="11193" width="14.5" style="173"/>
    <col min="11194" max="11194" width="6.58203125" style="173" customWidth="1"/>
    <col min="11195" max="11203" width="4.08203125" style="173" customWidth="1"/>
    <col min="11204" max="11217" width="4.58203125" style="173" customWidth="1"/>
    <col min="11218" max="11226" width="5" style="173" customWidth="1"/>
    <col min="11227" max="11232" width="5.83203125" style="173" customWidth="1"/>
    <col min="11233" max="11234" width="6.75" style="173" customWidth="1"/>
    <col min="11235" max="11237" width="12.08203125" style="173" customWidth="1"/>
    <col min="11238" max="11243" width="5.5" style="173" customWidth="1"/>
    <col min="11244" max="11245" width="6.83203125" style="173" customWidth="1"/>
    <col min="11246" max="11246" width="15" style="173" customWidth="1"/>
    <col min="11247" max="11247" width="18" style="173" customWidth="1"/>
    <col min="11248" max="11248" width="9.5" style="173" customWidth="1"/>
    <col min="11249" max="11249" width="10.5" style="173" customWidth="1"/>
    <col min="11250" max="11250" width="19.75" style="173" customWidth="1"/>
    <col min="11251" max="11252" width="11" style="173" customWidth="1"/>
    <col min="11253" max="11449" width="14.5" style="173"/>
    <col min="11450" max="11450" width="6.58203125" style="173" customWidth="1"/>
    <col min="11451" max="11459" width="4.08203125" style="173" customWidth="1"/>
    <col min="11460" max="11473" width="4.58203125" style="173" customWidth="1"/>
    <col min="11474" max="11482" width="5" style="173" customWidth="1"/>
    <col min="11483" max="11488" width="5.83203125" style="173" customWidth="1"/>
    <col min="11489" max="11490" width="6.75" style="173" customWidth="1"/>
    <col min="11491" max="11493" width="12.08203125" style="173" customWidth="1"/>
    <col min="11494" max="11499" width="5.5" style="173" customWidth="1"/>
    <col min="11500" max="11501" width="6.83203125" style="173" customWidth="1"/>
    <col min="11502" max="11502" width="15" style="173" customWidth="1"/>
    <col min="11503" max="11503" width="18" style="173" customWidth="1"/>
    <col min="11504" max="11504" width="9.5" style="173" customWidth="1"/>
    <col min="11505" max="11505" width="10.5" style="173" customWidth="1"/>
    <col min="11506" max="11506" width="19.75" style="173" customWidth="1"/>
    <col min="11507" max="11508" width="11" style="173" customWidth="1"/>
    <col min="11509" max="11705" width="14.5" style="173"/>
    <col min="11706" max="11706" width="6.58203125" style="173" customWidth="1"/>
    <col min="11707" max="11715" width="4.08203125" style="173" customWidth="1"/>
    <col min="11716" max="11729" width="4.58203125" style="173" customWidth="1"/>
    <col min="11730" max="11738" width="5" style="173" customWidth="1"/>
    <col min="11739" max="11744" width="5.83203125" style="173" customWidth="1"/>
    <col min="11745" max="11746" width="6.75" style="173" customWidth="1"/>
    <col min="11747" max="11749" width="12.08203125" style="173" customWidth="1"/>
    <col min="11750" max="11755" width="5.5" style="173" customWidth="1"/>
    <col min="11756" max="11757" width="6.83203125" style="173" customWidth="1"/>
    <col min="11758" max="11758" width="15" style="173" customWidth="1"/>
    <col min="11759" max="11759" width="18" style="173" customWidth="1"/>
    <col min="11760" max="11760" width="9.5" style="173" customWidth="1"/>
    <col min="11761" max="11761" width="10.5" style="173" customWidth="1"/>
    <col min="11762" max="11762" width="19.75" style="173" customWidth="1"/>
    <col min="11763" max="11764" width="11" style="173" customWidth="1"/>
    <col min="11765" max="11961" width="14.5" style="173"/>
    <col min="11962" max="11962" width="6.58203125" style="173" customWidth="1"/>
    <col min="11963" max="11971" width="4.08203125" style="173" customWidth="1"/>
    <col min="11972" max="11985" width="4.58203125" style="173" customWidth="1"/>
    <col min="11986" max="11994" width="5" style="173" customWidth="1"/>
    <col min="11995" max="12000" width="5.83203125" style="173" customWidth="1"/>
    <col min="12001" max="12002" width="6.75" style="173" customWidth="1"/>
    <col min="12003" max="12005" width="12.08203125" style="173" customWidth="1"/>
    <col min="12006" max="12011" width="5.5" style="173" customWidth="1"/>
    <col min="12012" max="12013" width="6.83203125" style="173" customWidth="1"/>
    <col min="12014" max="12014" width="15" style="173" customWidth="1"/>
    <col min="12015" max="12015" width="18" style="173" customWidth="1"/>
    <col min="12016" max="12016" width="9.5" style="173" customWidth="1"/>
    <col min="12017" max="12017" width="10.5" style="173" customWidth="1"/>
    <col min="12018" max="12018" width="19.75" style="173" customWidth="1"/>
    <col min="12019" max="12020" width="11" style="173" customWidth="1"/>
    <col min="12021" max="12217" width="14.5" style="173"/>
    <col min="12218" max="12218" width="6.58203125" style="173" customWidth="1"/>
    <col min="12219" max="12227" width="4.08203125" style="173" customWidth="1"/>
    <col min="12228" max="12241" width="4.58203125" style="173" customWidth="1"/>
    <col min="12242" max="12250" width="5" style="173" customWidth="1"/>
    <col min="12251" max="12256" width="5.83203125" style="173" customWidth="1"/>
    <col min="12257" max="12258" width="6.75" style="173" customWidth="1"/>
    <col min="12259" max="12261" width="12.08203125" style="173" customWidth="1"/>
    <col min="12262" max="12267" width="5.5" style="173" customWidth="1"/>
    <col min="12268" max="12269" width="6.83203125" style="173" customWidth="1"/>
    <col min="12270" max="12270" width="15" style="173" customWidth="1"/>
    <col min="12271" max="12271" width="18" style="173" customWidth="1"/>
    <col min="12272" max="12272" width="9.5" style="173" customWidth="1"/>
    <col min="12273" max="12273" width="10.5" style="173" customWidth="1"/>
    <col min="12274" max="12274" width="19.75" style="173" customWidth="1"/>
    <col min="12275" max="12276" width="11" style="173" customWidth="1"/>
    <col min="12277" max="12473" width="14.5" style="173"/>
    <col min="12474" max="12474" width="6.58203125" style="173" customWidth="1"/>
    <col min="12475" max="12483" width="4.08203125" style="173" customWidth="1"/>
    <col min="12484" max="12497" width="4.58203125" style="173" customWidth="1"/>
    <col min="12498" max="12506" width="5" style="173" customWidth="1"/>
    <col min="12507" max="12512" width="5.83203125" style="173" customWidth="1"/>
    <col min="12513" max="12514" width="6.75" style="173" customWidth="1"/>
    <col min="12515" max="12517" width="12.08203125" style="173" customWidth="1"/>
    <col min="12518" max="12523" width="5.5" style="173" customWidth="1"/>
    <col min="12524" max="12525" width="6.83203125" style="173" customWidth="1"/>
    <col min="12526" max="12526" width="15" style="173" customWidth="1"/>
    <col min="12527" max="12527" width="18" style="173" customWidth="1"/>
    <col min="12528" max="12528" width="9.5" style="173" customWidth="1"/>
    <col min="12529" max="12529" width="10.5" style="173" customWidth="1"/>
    <col min="12530" max="12530" width="19.75" style="173" customWidth="1"/>
    <col min="12531" max="12532" width="11" style="173" customWidth="1"/>
    <col min="12533" max="12729" width="14.5" style="173"/>
    <col min="12730" max="12730" width="6.58203125" style="173" customWidth="1"/>
    <col min="12731" max="12739" width="4.08203125" style="173" customWidth="1"/>
    <col min="12740" max="12753" width="4.58203125" style="173" customWidth="1"/>
    <col min="12754" max="12762" width="5" style="173" customWidth="1"/>
    <col min="12763" max="12768" width="5.83203125" style="173" customWidth="1"/>
    <col min="12769" max="12770" width="6.75" style="173" customWidth="1"/>
    <col min="12771" max="12773" width="12.08203125" style="173" customWidth="1"/>
    <col min="12774" max="12779" width="5.5" style="173" customWidth="1"/>
    <col min="12780" max="12781" width="6.83203125" style="173" customWidth="1"/>
    <col min="12782" max="12782" width="15" style="173" customWidth="1"/>
    <col min="12783" max="12783" width="18" style="173" customWidth="1"/>
    <col min="12784" max="12784" width="9.5" style="173" customWidth="1"/>
    <col min="12785" max="12785" width="10.5" style="173" customWidth="1"/>
    <col min="12786" max="12786" width="19.75" style="173" customWidth="1"/>
    <col min="12787" max="12788" width="11" style="173" customWidth="1"/>
    <col min="12789" max="12985" width="14.5" style="173"/>
    <col min="12986" max="12986" width="6.58203125" style="173" customWidth="1"/>
    <col min="12987" max="12995" width="4.08203125" style="173" customWidth="1"/>
    <col min="12996" max="13009" width="4.58203125" style="173" customWidth="1"/>
    <col min="13010" max="13018" width="5" style="173" customWidth="1"/>
    <col min="13019" max="13024" width="5.83203125" style="173" customWidth="1"/>
    <col min="13025" max="13026" width="6.75" style="173" customWidth="1"/>
    <col min="13027" max="13029" width="12.08203125" style="173" customWidth="1"/>
    <col min="13030" max="13035" width="5.5" style="173" customWidth="1"/>
    <col min="13036" max="13037" width="6.83203125" style="173" customWidth="1"/>
    <col min="13038" max="13038" width="15" style="173" customWidth="1"/>
    <col min="13039" max="13039" width="18" style="173" customWidth="1"/>
    <col min="13040" max="13040" width="9.5" style="173" customWidth="1"/>
    <col min="13041" max="13041" width="10.5" style="173" customWidth="1"/>
    <col min="13042" max="13042" width="19.75" style="173" customWidth="1"/>
    <col min="13043" max="13044" width="11" style="173" customWidth="1"/>
    <col min="13045" max="13241" width="14.5" style="173"/>
    <col min="13242" max="13242" width="6.58203125" style="173" customWidth="1"/>
    <col min="13243" max="13251" width="4.08203125" style="173" customWidth="1"/>
    <col min="13252" max="13265" width="4.58203125" style="173" customWidth="1"/>
    <col min="13266" max="13274" width="5" style="173" customWidth="1"/>
    <col min="13275" max="13280" width="5.83203125" style="173" customWidth="1"/>
    <col min="13281" max="13282" width="6.75" style="173" customWidth="1"/>
    <col min="13283" max="13285" width="12.08203125" style="173" customWidth="1"/>
    <col min="13286" max="13291" width="5.5" style="173" customWidth="1"/>
    <col min="13292" max="13293" width="6.83203125" style="173" customWidth="1"/>
    <col min="13294" max="13294" width="15" style="173" customWidth="1"/>
    <col min="13295" max="13295" width="18" style="173" customWidth="1"/>
    <col min="13296" max="13296" width="9.5" style="173" customWidth="1"/>
    <col min="13297" max="13297" width="10.5" style="173" customWidth="1"/>
    <col min="13298" max="13298" width="19.75" style="173" customWidth="1"/>
    <col min="13299" max="13300" width="11" style="173" customWidth="1"/>
    <col min="13301" max="13497" width="14.5" style="173"/>
    <col min="13498" max="13498" width="6.58203125" style="173" customWidth="1"/>
    <col min="13499" max="13507" width="4.08203125" style="173" customWidth="1"/>
    <col min="13508" max="13521" width="4.58203125" style="173" customWidth="1"/>
    <col min="13522" max="13530" width="5" style="173" customWidth="1"/>
    <col min="13531" max="13536" width="5.83203125" style="173" customWidth="1"/>
    <col min="13537" max="13538" width="6.75" style="173" customWidth="1"/>
    <col min="13539" max="13541" width="12.08203125" style="173" customWidth="1"/>
    <col min="13542" max="13547" width="5.5" style="173" customWidth="1"/>
    <col min="13548" max="13549" width="6.83203125" style="173" customWidth="1"/>
    <col min="13550" max="13550" width="15" style="173" customWidth="1"/>
    <col min="13551" max="13551" width="18" style="173" customWidth="1"/>
    <col min="13552" max="13552" width="9.5" style="173" customWidth="1"/>
    <col min="13553" max="13553" width="10.5" style="173" customWidth="1"/>
    <col min="13554" max="13554" width="19.75" style="173" customWidth="1"/>
    <col min="13555" max="13556" width="11" style="173" customWidth="1"/>
    <col min="13557" max="13753" width="14.5" style="173"/>
    <col min="13754" max="13754" width="6.58203125" style="173" customWidth="1"/>
    <col min="13755" max="13763" width="4.08203125" style="173" customWidth="1"/>
    <col min="13764" max="13777" width="4.58203125" style="173" customWidth="1"/>
    <col min="13778" max="13786" width="5" style="173" customWidth="1"/>
    <col min="13787" max="13792" width="5.83203125" style="173" customWidth="1"/>
    <col min="13793" max="13794" width="6.75" style="173" customWidth="1"/>
    <col min="13795" max="13797" width="12.08203125" style="173" customWidth="1"/>
    <col min="13798" max="13803" width="5.5" style="173" customWidth="1"/>
    <col min="13804" max="13805" width="6.83203125" style="173" customWidth="1"/>
    <col min="13806" max="13806" width="15" style="173" customWidth="1"/>
    <col min="13807" max="13807" width="18" style="173" customWidth="1"/>
    <col min="13808" max="13808" width="9.5" style="173" customWidth="1"/>
    <col min="13809" max="13809" width="10.5" style="173" customWidth="1"/>
    <col min="13810" max="13810" width="19.75" style="173" customWidth="1"/>
    <col min="13811" max="13812" width="11" style="173" customWidth="1"/>
    <col min="13813" max="14009" width="14.5" style="173"/>
    <col min="14010" max="14010" width="6.58203125" style="173" customWidth="1"/>
    <col min="14011" max="14019" width="4.08203125" style="173" customWidth="1"/>
    <col min="14020" max="14033" width="4.58203125" style="173" customWidth="1"/>
    <col min="14034" max="14042" width="5" style="173" customWidth="1"/>
    <col min="14043" max="14048" width="5.83203125" style="173" customWidth="1"/>
    <col min="14049" max="14050" width="6.75" style="173" customWidth="1"/>
    <col min="14051" max="14053" width="12.08203125" style="173" customWidth="1"/>
    <col min="14054" max="14059" width="5.5" style="173" customWidth="1"/>
    <col min="14060" max="14061" width="6.83203125" style="173" customWidth="1"/>
    <col min="14062" max="14062" width="15" style="173" customWidth="1"/>
    <col min="14063" max="14063" width="18" style="173" customWidth="1"/>
    <col min="14064" max="14064" width="9.5" style="173" customWidth="1"/>
    <col min="14065" max="14065" width="10.5" style="173" customWidth="1"/>
    <col min="14066" max="14066" width="19.75" style="173" customWidth="1"/>
    <col min="14067" max="14068" width="11" style="173" customWidth="1"/>
    <col min="14069" max="14265" width="14.5" style="173"/>
    <col min="14266" max="14266" width="6.58203125" style="173" customWidth="1"/>
    <col min="14267" max="14275" width="4.08203125" style="173" customWidth="1"/>
    <col min="14276" max="14289" width="4.58203125" style="173" customWidth="1"/>
    <col min="14290" max="14298" width="5" style="173" customWidth="1"/>
    <col min="14299" max="14304" width="5.83203125" style="173" customWidth="1"/>
    <col min="14305" max="14306" width="6.75" style="173" customWidth="1"/>
    <col min="14307" max="14309" width="12.08203125" style="173" customWidth="1"/>
    <col min="14310" max="14315" width="5.5" style="173" customWidth="1"/>
    <col min="14316" max="14317" width="6.83203125" style="173" customWidth="1"/>
    <col min="14318" max="14318" width="15" style="173" customWidth="1"/>
    <col min="14319" max="14319" width="18" style="173" customWidth="1"/>
    <col min="14320" max="14320" width="9.5" style="173" customWidth="1"/>
    <col min="14321" max="14321" width="10.5" style="173" customWidth="1"/>
    <col min="14322" max="14322" width="19.75" style="173" customWidth="1"/>
    <col min="14323" max="14324" width="11" style="173" customWidth="1"/>
    <col min="14325" max="14521" width="14.5" style="173"/>
    <col min="14522" max="14522" width="6.58203125" style="173" customWidth="1"/>
    <col min="14523" max="14531" width="4.08203125" style="173" customWidth="1"/>
    <col min="14532" max="14545" width="4.58203125" style="173" customWidth="1"/>
    <col min="14546" max="14554" width="5" style="173" customWidth="1"/>
    <col min="14555" max="14560" width="5.83203125" style="173" customWidth="1"/>
    <col min="14561" max="14562" width="6.75" style="173" customWidth="1"/>
    <col min="14563" max="14565" width="12.08203125" style="173" customWidth="1"/>
    <col min="14566" max="14571" width="5.5" style="173" customWidth="1"/>
    <col min="14572" max="14573" width="6.83203125" style="173" customWidth="1"/>
    <col min="14574" max="14574" width="15" style="173" customWidth="1"/>
    <col min="14575" max="14575" width="18" style="173" customWidth="1"/>
    <col min="14576" max="14576" width="9.5" style="173" customWidth="1"/>
    <col min="14577" max="14577" width="10.5" style="173" customWidth="1"/>
    <col min="14578" max="14578" width="19.75" style="173" customWidth="1"/>
    <col min="14579" max="14580" width="11" style="173" customWidth="1"/>
    <col min="14581" max="14777" width="14.5" style="173"/>
    <col min="14778" max="14778" width="6.58203125" style="173" customWidth="1"/>
    <col min="14779" max="14787" width="4.08203125" style="173" customWidth="1"/>
    <col min="14788" max="14801" width="4.58203125" style="173" customWidth="1"/>
    <col min="14802" max="14810" width="5" style="173" customWidth="1"/>
    <col min="14811" max="14816" width="5.83203125" style="173" customWidth="1"/>
    <col min="14817" max="14818" width="6.75" style="173" customWidth="1"/>
    <col min="14819" max="14821" width="12.08203125" style="173" customWidth="1"/>
    <col min="14822" max="14827" width="5.5" style="173" customWidth="1"/>
    <col min="14828" max="14829" width="6.83203125" style="173" customWidth="1"/>
    <col min="14830" max="14830" width="15" style="173" customWidth="1"/>
    <col min="14831" max="14831" width="18" style="173" customWidth="1"/>
    <col min="14832" max="14832" width="9.5" style="173" customWidth="1"/>
    <col min="14833" max="14833" width="10.5" style="173" customWidth="1"/>
    <col min="14834" max="14834" width="19.75" style="173" customWidth="1"/>
    <col min="14835" max="14836" width="11" style="173" customWidth="1"/>
    <col min="14837" max="15033" width="14.5" style="173"/>
    <col min="15034" max="15034" width="6.58203125" style="173" customWidth="1"/>
    <col min="15035" max="15043" width="4.08203125" style="173" customWidth="1"/>
    <col min="15044" max="15057" width="4.58203125" style="173" customWidth="1"/>
    <col min="15058" max="15066" width="5" style="173" customWidth="1"/>
    <col min="15067" max="15072" width="5.83203125" style="173" customWidth="1"/>
    <col min="15073" max="15074" width="6.75" style="173" customWidth="1"/>
    <col min="15075" max="15077" width="12.08203125" style="173" customWidth="1"/>
    <col min="15078" max="15083" width="5.5" style="173" customWidth="1"/>
    <col min="15084" max="15085" width="6.83203125" style="173" customWidth="1"/>
    <col min="15086" max="15086" width="15" style="173" customWidth="1"/>
    <col min="15087" max="15087" width="18" style="173" customWidth="1"/>
    <col min="15088" max="15088" width="9.5" style="173" customWidth="1"/>
    <col min="15089" max="15089" width="10.5" style="173" customWidth="1"/>
    <col min="15090" max="15090" width="19.75" style="173" customWidth="1"/>
    <col min="15091" max="15092" width="11" style="173" customWidth="1"/>
    <col min="15093" max="15289" width="14.5" style="173"/>
    <col min="15290" max="15290" width="6.58203125" style="173" customWidth="1"/>
    <col min="15291" max="15299" width="4.08203125" style="173" customWidth="1"/>
    <col min="15300" max="15313" width="4.58203125" style="173" customWidth="1"/>
    <col min="15314" max="15322" width="5" style="173" customWidth="1"/>
    <col min="15323" max="15328" width="5.83203125" style="173" customWidth="1"/>
    <col min="15329" max="15330" width="6.75" style="173" customWidth="1"/>
    <col min="15331" max="15333" width="12.08203125" style="173" customWidth="1"/>
    <col min="15334" max="15339" width="5.5" style="173" customWidth="1"/>
    <col min="15340" max="15341" width="6.83203125" style="173" customWidth="1"/>
    <col min="15342" max="15342" width="15" style="173" customWidth="1"/>
    <col min="15343" max="15343" width="18" style="173" customWidth="1"/>
    <col min="15344" max="15344" width="9.5" style="173" customWidth="1"/>
    <col min="15345" max="15345" width="10.5" style="173" customWidth="1"/>
    <col min="15346" max="15346" width="19.75" style="173" customWidth="1"/>
    <col min="15347" max="15348" width="11" style="173" customWidth="1"/>
    <col min="15349" max="15545" width="14.5" style="173"/>
    <col min="15546" max="15546" width="6.58203125" style="173" customWidth="1"/>
    <col min="15547" max="15555" width="4.08203125" style="173" customWidth="1"/>
    <col min="15556" max="15569" width="4.58203125" style="173" customWidth="1"/>
    <col min="15570" max="15578" width="5" style="173" customWidth="1"/>
    <col min="15579" max="15584" width="5.83203125" style="173" customWidth="1"/>
    <col min="15585" max="15586" width="6.75" style="173" customWidth="1"/>
    <col min="15587" max="15589" width="12.08203125" style="173" customWidth="1"/>
    <col min="15590" max="15595" width="5.5" style="173" customWidth="1"/>
    <col min="15596" max="15597" width="6.83203125" style="173" customWidth="1"/>
    <col min="15598" max="15598" width="15" style="173" customWidth="1"/>
    <col min="15599" max="15599" width="18" style="173" customWidth="1"/>
    <col min="15600" max="15600" width="9.5" style="173" customWidth="1"/>
    <col min="15601" max="15601" width="10.5" style="173" customWidth="1"/>
    <col min="15602" max="15602" width="19.75" style="173" customWidth="1"/>
    <col min="15603" max="15604" width="11" style="173" customWidth="1"/>
    <col min="15605" max="15801" width="14.5" style="173"/>
    <col min="15802" max="15802" width="6.58203125" style="173" customWidth="1"/>
    <col min="15803" max="15811" width="4.08203125" style="173" customWidth="1"/>
    <col min="15812" max="15825" width="4.58203125" style="173" customWidth="1"/>
    <col min="15826" max="15834" width="5" style="173" customWidth="1"/>
    <col min="15835" max="15840" width="5.83203125" style="173" customWidth="1"/>
    <col min="15841" max="15842" width="6.75" style="173" customWidth="1"/>
    <col min="15843" max="15845" width="12.08203125" style="173" customWidth="1"/>
    <col min="15846" max="15851" width="5.5" style="173" customWidth="1"/>
    <col min="15852" max="15853" width="6.83203125" style="173" customWidth="1"/>
    <col min="15854" max="15854" width="15" style="173" customWidth="1"/>
    <col min="15855" max="15855" width="18" style="173" customWidth="1"/>
    <col min="15856" max="15856" width="9.5" style="173" customWidth="1"/>
    <col min="15857" max="15857" width="10.5" style="173" customWidth="1"/>
    <col min="15858" max="15858" width="19.75" style="173" customWidth="1"/>
    <col min="15859" max="15860" width="11" style="173" customWidth="1"/>
    <col min="15861" max="16057" width="14.5" style="173"/>
    <col min="16058" max="16058" width="6.58203125" style="173" customWidth="1"/>
    <col min="16059" max="16067" width="4.08203125" style="173" customWidth="1"/>
    <col min="16068" max="16081" width="4.58203125" style="173" customWidth="1"/>
    <col min="16082" max="16090" width="5" style="173" customWidth="1"/>
    <col min="16091" max="16096" width="5.83203125" style="173" customWidth="1"/>
    <col min="16097" max="16098" width="6.75" style="173" customWidth="1"/>
    <col min="16099" max="16101" width="12.08203125" style="173" customWidth="1"/>
    <col min="16102" max="16107" width="5.5" style="173" customWidth="1"/>
    <col min="16108" max="16109" width="6.83203125" style="173" customWidth="1"/>
    <col min="16110" max="16110" width="15" style="173" customWidth="1"/>
    <col min="16111" max="16111" width="18" style="173" customWidth="1"/>
    <col min="16112" max="16112" width="9.5" style="173" customWidth="1"/>
    <col min="16113" max="16113" width="10.5" style="173" customWidth="1"/>
    <col min="16114" max="16114" width="19.75" style="173" customWidth="1"/>
    <col min="16115" max="16116" width="11" style="173" customWidth="1"/>
    <col min="16117" max="16384" width="14.5" style="173"/>
  </cols>
  <sheetData>
    <row r="1" spans="1:32" ht="115.5" customHeight="1">
      <c r="A1" s="327"/>
      <c r="B1" s="328" t="s">
        <v>995</v>
      </c>
      <c r="C1" s="329">
        <v>45354</v>
      </c>
      <c r="D1" s="328">
        <v>1</v>
      </c>
      <c r="E1" s="328">
        <v>2</v>
      </c>
      <c r="F1" s="328">
        <v>3</v>
      </c>
      <c r="G1" s="328">
        <v>4</v>
      </c>
      <c r="H1" s="328">
        <v>5</v>
      </c>
      <c r="I1" s="328">
        <v>6</v>
      </c>
      <c r="J1" s="328">
        <v>7</v>
      </c>
      <c r="K1" s="328">
        <v>8</v>
      </c>
      <c r="L1" s="328">
        <v>9</v>
      </c>
      <c r="M1" s="328">
        <v>10</v>
      </c>
      <c r="N1" s="328">
        <v>11</v>
      </c>
      <c r="O1" s="328">
        <v>12</v>
      </c>
      <c r="P1" s="328">
        <v>13</v>
      </c>
      <c r="Q1" s="328">
        <v>14</v>
      </c>
      <c r="R1" s="328">
        <v>15</v>
      </c>
      <c r="S1" s="328">
        <v>16</v>
      </c>
      <c r="Y1" s="330"/>
      <c r="AA1" s="330"/>
    </row>
    <row r="2" spans="1:32" ht="27" customHeight="1">
      <c r="A2" s="331"/>
      <c r="B2" s="332" t="s">
        <v>996</v>
      </c>
      <c r="C2" s="332"/>
      <c r="D2" s="331"/>
      <c r="E2" s="331"/>
      <c r="F2" s="331"/>
      <c r="G2" s="331"/>
      <c r="H2" s="331"/>
      <c r="I2" s="331"/>
      <c r="J2" s="331"/>
      <c r="K2" s="331"/>
      <c r="L2" s="331"/>
      <c r="M2" s="331"/>
      <c r="N2" s="331"/>
      <c r="O2" s="331"/>
      <c r="P2" s="331"/>
      <c r="Q2" s="327" t="s">
        <v>997</v>
      </c>
      <c r="R2" s="331"/>
      <c r="S2" s="331"/>
      <c r="Y2" s="330"/>
      <c r="AA2" s="330"/>
    </row>
    <row r="3" spans="1:32" ht="24" customHeight="1">
      <c r="A3" s="327"/>
      <c r="B3" s="327"/>
      <c r="C3" s="333"/>
      <c r="D3" s="328"/>
      <c r="E3" s="327"/>
      <c r="F3" s="327"/>
      <c r="G3" s="334" t="s">
        <v>1085</v>
      </c>
      <c r="H3" s="334" t="s">
        <v>1085</v>
      </c>
      <c r="I3" s="334" t="b">
        <v>0</v>
      </c>
      <c r="J3" s="328" t="s">
        <v>998</v>
      </c>
      <c r="K3" s="328"/>
      <c r="L3" s="335" t="s">
        <v>628</v>
      </c>
      <c r="M3" s="336"/>
      <c r="N3" s="336"/>
      <c r="O3" s="336"/>
      <c r="P3" s="337"/>
      <c r="Q3" s="335" t="s">
        <v>629</v>
      </c>
      <c r="R3" s="336"/>
      <c r="S3" s="337"/>
      <c r="Y3" s="330"/>
      <c r="AA3" s="330"/>
    </row>
    <row r="4" spans="1:32" ht="42.75" customHeight="1">
      <c r="A4" s="338"/>
      <c r="B4" s="334" t="s">
        <v>999</v>
      </c>
      <c r="C4" s="334" t="s">
        <v>1000</v>
      </c>
      <c r="D4" s="339" t="s">
        <v>1001</v>
      </c>
      <c r="E4" s="340" t="s">
        <v>1002</v>
      </c>
      <c r="F4" s="340" t="s">
        <v>1002</v>
      </c>
      <c r="G4" s="334" t="s">
        <v>1003</v>
      </c>
      <c r="H4" s="340" t="s">
        <v>664</v>
      </c>
      <c r="I4" s="334" t="s">
        <v>1004</v>
      </c>
      <c r="J4" s="341" t="s">
        <v>1005</v>
      </c>
      <c r="K4" s="342"/>
      <c r="L4" s="337" t="s">
        <v>630</v>
      </c>
      <c r="M4" s="334" t="s">
        <v>631</v>
      </c>
      <c r="N4" s="334" t="s">
        <v>632</v>
      </c>
      <c r="O4" s="340" t="s">
        <v>633</v>
      </c>
      <c r="P4" s="334" t="s">
        <v>634</v>
      </c>
      <c r="Q4" s="334" t="s">
        <v>632</v>
      </c>
      <c r="R4" s="340" t="s">
        <v>633</v>
      </c>
      <c r="S4" s="334" t="s">
        <v>634</v>
      </c>
    </row>
    <row r="5" spans="1:32" ht="21.75" customHeight="1" thickBot="1">
      <c r="A5" s="345" t="s">
        <v>1007</v>
      </c>
      <c r="B5" s="505">
        <v>201</v>
      </c>
      <c r="C5" s="504" t="s">
        <v>1008</v>
      </c>
      <c r="D5" s="505">
        <v>201</v>
      </c>
      <c r="E5" s="506" t="s">
        <v>575</v>
      </c>
      <c r="F5" s="506">
        <v>3013</v>
      </c>
      <c r="G5" s="506" t="s">
        <v>728</v>
      </c>
      <c r="H5" s="506" t="s">
        <v>728</v>
      </c>
      <c r="I5" s="505" t="s">
        <v>1006</v>
      </c>
      <c r="J5" s="505" t="s">
        <v>1006</v>
      </c>
      <c r="K5" s="507"/>
      <c r="L5" s="508">
        <v>1004363</v>
      </c>
      <c r="M5" s="525" t="s">
        <v>1482</v>
      </c>
      <c r="N5" s="525" t="s">
        <v>1102</v>
      </c>
      <c r="O5" s="525" t="s">
        <v>614</v>
      </c>
      <c r="P5" s="525" t="s">
        <v>622</v>
      </c>
      <c r="Q5" s="525" t="s">
        <v>1102</v>
      </c>
      <c r="R5" s="525" t="s">
        <v>614</v>
      </c>
      <c r="S5" s="525" t="s">
        <v>622</v>
      </c>
      <c r="W5" s="330" t="s">
        <v>1533</v>
      </c>
      <c r="X5" s="330" t="s">
        <v>1482</v>
      </c>
      <c r="Y5" s="343" t="s">
        <v>614</v>
      </c>
      <c r="Z5" s="330" t="s">
        <v>622</v>
      </c>
      <c r="AA5" s="343" t="s">
        <v>1102</v>
      </c>
      <c r="AB5" s="330" t="str">
        <f t="shared" ref="AB5:AB35" si="0">IF(W5=C5,"●","✕")</f>
        <v>●</v>
      </c>
      <c r="AC5" s="330" t="str">
        <f>IF(X5=M5,"●","✕")</f>
        <v>●</v>
      </c>
      <c r="AD5" s="330" t="str">
        <f>IF(Y5=O5,"●","✕")</f>
        <v>●</v>
      </c>
      <c r="AE5" s="330" t="str">
        <f>IF(Z5=P5,"●","✕")</f>
        <v>●</v>
      </c>
      <c r="AF5" s="330" t="str">
        <f>IF(AA5=N5,"●","✕")</f>
        <v>●</v>
      </c>
    </row>
    <row r="6" spans="1:32" ht="21.75" customHeight="1">
      <c r="A6" s="327"/>
      <c r="B6" s="505">
        <v>202</v>
      </c>
      <c r="C6" s="504" t="s">
        <v>441</v>
      </c>
      <c r="D6" s="505">
        <v>202</v>
      </c>
      <c r="E6" s="506" t="s">
        <v>576</v>
      </c>
      <c r="F6" s="506">
        <v>3026</v>
      </c>
      <c r="G6" s="506" t="s">
        <v>729</v>
      </c>
      <c r="H6" s="506" t="s">
        <v>729</v>
      </c>
      <c r="I6" s="505" t="s">
        <v>1006</v>
      </c>
      <c r="J6" s="505" t="s">
        <v>1006</v>
      </c>
      <c r="K6" s="507"/>
      <c r="L6" s="508">
        <v>1030451</v>
      </c>
      <c r="M6" s="525" t="s">
        <v>1483</v>
      </c>
      <c r="N6" s="525" t="s">
        <v>1009</v>
      </c>
      <c r="O6" s="525" t="s">
        <v>614</v>
      </c>
      <c r="P6" s="525" t="s">
        <v>648</v>
      </c>
      <c r="Q6" s="525" t="s">
        <v>1009</v>
      </c>
      <c r="R6" s="525" t="s">
        <v>614</v>
      </c>
      <c r="S6" s="525" t="s">
        <v>648</v>
      </c>
      <c r="W6" s="330" t="s">
        <v>1534</v>
      </c>
      <c r="X6" s="330" t="s">
        <v>1483</v>
      </c>
      <c r="Y6" s="343" t="s">
        <v>614</v>
      </c>
      <c r="Z6" s="330" t="s">
        <v>648</v>
      </c>
      <c r="AA6" s="343" t="s">
        <v>1009</v>
      </c>
      <c r="AB6" s="330" t="str">
        <f t="shared" si="0"/>
        <v>●</v>
      </c>
      <c r="AC6" s="330" t="str">
        <f t="shared" ref="AC6:AC8" si="1">IF(X6=M6,"●","✕")</f>
        <v>●</v>
      </c>
      <c r="AD6" s="330" t="str">
        <f t="shared" ref="AD6:AD8" si="2">IF(Y6=O6,"●","✕")</f>
        <v>●</v>
      </c>
      <c r="AE6" s="330" t="str">
        <f t="shared" ref="AE6:AE8" si="3">IF(Z6=P6,"●","✕")</f>
        <v>●</v>
      </c>
      <c r="AF6" s="330" t="str">
        <f t="shared" ref="AF6:AF8" si="4">IF(AA6=N6,"●","✕")</f>
        <v>●</v>
      </c>
    </row>
    <row r="7" spans="1:32" ht="21.75" customHeight="1">
      <c r="A7" s="327"/>
      <c r="B7" s="505">
        <v>203</v>
      </c>
      <c r="C7" s="504" t="s">
        <v>453</v>
      </c>
      <c r="D7" s="505">
        <v>203</v>
      </c>
      <c r="E7" s="506" t="s">
        <v>577</v>
      </c>
      <c r="F7" s="506">
        <v>3057</v>
      </c>
      <c r="G7" s="506" t="s">
        <v>730</v>
      </c>
      <c r="H7" s="506" t="s">
        <v>730</v>
      </c>
      <c r="I7" s="505" t="s">
        <v>1006</v>
      </c>
      <c r="J7" s="505" t="s">
        <v>1006</v>
      </c>
      <c r="K7" s="507"/>
      <c r="L7" s="508">
        <v>1060169</v>
      </c>
      <c r="M7" s="525" t="s">
        <v>1484</v>
      </c>
      <c r="N7" s="525" t="s">
        <v>1010</v>
      </c>
      <c r="O7" s="525" t="s">
        <v>614</v>
      </c>
      <c r="P7" s="525" t="s">
        <v>649</v>
      </c>
      <c r="Q7" s="525" t="s">
        <v>1010</v>
      </c>
      <c r="R7" s="525" t="s">
        <v>614</v>
      </c>
      <c r="S7" s="525" t="s">
        <v>649</v>
      </c>
      <c r="W7" s="330" t="s">
        <v>1535</v>
      </c>
      <c r="X7" s="330" t="s">
        <v>1484</v>
      </c>
      <c r="Y7" s="343" t="s">
        <v>614</v>
      </c>
      <c r="Z7" s="330" t="s">
        <v>649</v>
      </c>
      <c r="AA7" s="343" t="s">
        <v>1010</v>
      </c>
      <c r="AB7" s="330" t="str">
        <f t="shared" si="0"/>
        <v>●</v>
      </c>
      <c r="AC7" s="330" t="str">
        <f t="shared" si="1"/>
        <v>●</v>
      </c>
      <c r="AD7" s="330" t="str">
        <f t="shared" si="2"/>
        <v>●</v>
      </c>
      <c r="AE7" s="330" t="str">
        <f t="shared" si="3"/>
        <v>●</v>
      </c>
      <c r="AF7" s="330" t="str">
        <f t="shared" si="4"/>
        <v>●</v>
      </c>
    </row>
    <row r="8" spans="1:32" ht="21.75" customHeight="1">
      <c r="A8" s="327"/>
      <c r="B8" s="505">
        <v>204</v>
      </c>
      <c r="C8" s="504" t="s">
        <v>419</v>
      </c>
      <c r="D8" s="505">
        <v>204</v>
      </c>
      <c r="E8" s="506" t="s">
        <v>578</v>
      </c>
      <c r="F8" s="506">
        <v>3072</v>
      </c>
      <c r="G8" s="506" t="s">
        <v>731</v>
      </c>
      <c r="H8" s="506" t="s">
        <v>731</v>
      </c>
      <c r="I8" s="505" t="s">
        <v>1006</v>
      </c>
      <c r="J8" s="505" t="s">
        <v>1006</v>
      </c>
      <c r="K8" s="507"/>
      <c r="L8" s="508">
        <v>1056056</v>
      </c>
      <c r="M8" s="525" t="s">
        <v>1485</v>
      </c>
      <c r="N8" s="525" t="s">
        <v>1011</v>
      </c>
      <c r="O8" s="525" t="s">
        <v>614</v>
      </c>
      <c r="P8" s="525" t="s">
        <v>1012</v>
      </c>
      <c r="Q8" s="525" t="s">
        <v>1011</v>
      </c>
      <c r="R8" s="525" t="s">
        <v>614</v>
      </c>
      <c r="S8" s="525" t="s">
        <v>1012</v>
      </c>
      <c r="W8" s="330" t="s">
        <v>1536</v>
      </c>
      <c r="X8" s="330" t="s">
        <v>1485</v>
      </c>
      <c r="Y8" s="343" t="s">
        <v>614</v>
      </c>
      <c r="Z8" s="330" t="s">
        <v>1012</v>
      </c>
      <c r="AA8" s="343" t="s">
        <v>1011</v>
      </c>
      <c r="AB8" s="330" t="str">
        <f t="shared" si="0"/>
        <v>●</v>
      </c>
      <c r="AC8" s="330" t="str">
        <f t="shared" si="1"/>
        <v>●</v>
      </c>
      <c r="AD8" s="330" t="str">
        <f t="shared" si="2"/>
        <v>●</v>
      </c>
      <c r="AE8" s="330" t="str">
        <f t="shared" si="3"/>
        <v>●</v>
      </c>
      <c r="AF8" s="330" t="str">
        <f t="shared" si="4"/>
        <v>●</v>
      </c>
    </row>
    <row r="9" spans="1:32" ht="21.75" customHeight="1">
      <c r="A9" s="327"/>
      <c r="B9" s="505">
        <v>205</v>
      </c>
      <c r="C9" s="504" t="s">
        <v>1537</v>
      </c>
      <c r="D9" s="505">
        <v>205</v>
      </c>
      <c r="E9" s="506" t="s">
        <v>579</v>
      </c>
      <c r="F9" s="506">
        <v>3210006</v>
      </c>
      <c r="G9" s="506" t="s">
        <v>732</v>
      </c>
      <c r="H9" s="506" t="s">
        <v>732</v>
      </c>
      <c r="I9" s="505" t="s">
        <v>1006</v>
      </c>
      <c r="J9" s="505" t="s">
        <v>1006</v>
      </c>
      <c r="K9" s="507"/>
      <c r="L9" s="508">
        <v>1053305</v>
      </c>
      <c r="M9" s="525" t="s">
        <v>1486</v>
      </c>
      <c r="N9" s="525" t="s">
        <v>635</v>
      </c>
      <c r="O9" s="525" t="s">
        <v>618</v>
      </c>
      <c r="P9" s="525" t="s">
        <v>1550</v>
      </c>
      <c r="Q9" s="525" t="s">
        <v>635</v>
      </c>
      <c r="R9" s="525" t="s">
        <v>618</v>
      </c>
      <c r="S9" s="525" t="s">
        <v>1550</v>
      </c>
      <c r="W9" s="330" t="s">
        <v>1537</v>
      </c>
      <c r="X9" s="330" t="s">
        <v>1486</v>
      </c>
      <c r="Y9" s="343" t="s">
        <v>618</v>
      </c>
      <c r="Z9" s="330" t="s">
        <v>1550</v>
      </c>
      <c r="AA9" s="343" t="s">
        <v>635</v>
      </c>
      <c r="AB9" s="330" t="str">
        <f>IF(W9=C9,"●","✕")</f>
        <v>●</v>
      </c>
      <c r="AC9" s="330" t="str">
        <f>IF(X9=M9,"●","✕")</f>
        <v>●</v>
      </c>
      <c r="AD9" s="330" t="str">
        <f>IF(Y9=O9,"●","✕")</f>
        <v>●</v>
      </c>
      <c r="AE9" s="330" t="str">
        <f>IF(Z9=P9,"●","✕")</f>
        <v>●</v>
      </c>
      <c r="AF9" s="330" t="str">
        <f>IF(AA9=N9,"●","✕")</f>
        <v>●</v>
      </c>
    </row>
    <row r="10" spans="1:32" ht="21.75" customHeight="1">
      <c r="A10" s="327"/>
      <c r="B10" s="505">
        <v>206</v>
      </c>
      <c r="C10" s="504" t="s">
        <v>418</v>
      </c>
      <c r="D10" s="505">
        <v>206</v>
      </c>
      <c r="E10" s="506" t="s">
        <v>580</v>
      </c>
      <c r="F10" s="506">
        <v>3210118</v>
      </c>
      <c r="G10" s="506" t="s">
        <v>733</v>
      </c>
      <c r="H10" s="506" t="s">
        <v>733</v>
      </c>
      <c r="I10" s="505" t="s">
        <v>1006</v>
      </c>
      <c r="J10" s="505" t="s">
        <v>1006</v>
      </c>
      <c r="K10" s="507"/>
      <c r="L10" s="508">
        <v>1061824</v>
      </c>
      <c r="M10" s="525" t="s">
        <v>1487</v>
      </c>
      <c r="N10" s="525" t="s">
        <v>1013</v>
      </c>
      <c r="O10" s="525" t="s">
        <v>614</v>
      </c>
      <c r="P10" s="525" t="s">
        <v>617</v>
      </c>
      <c r="Q10" s="525" t="s">
        <v>1013</v>
      </c>
      <c r="R10" s="525" t="s">
        <v>614</v>
      </c>
      <c r="S10" s="525" t="s">
        <v>617</v>
      </c>
      <c r="W10" s="330" t="s">
        <v>1538</v>
      </c>
      <c r="X10" s="330" t="s">
        <v>1487</v>
      </c>
      <c r="Y10" s="343" t="s">
        <v>614</v>
      </c>
      <c r="Z10" s="330" t="s">
        <v>617</v>
      </c>
      <c r="AA10" s="343" t="s">
        <v>1013</v>
      </c>
      <c r="AB10" s="330" t="str">
        <f t="shared" si="0"/>
        <v>●</v>
      </c>
      <c r="AC10" s="330" t="str">
        <f t="shared" ref="AC10:AC58" si="5">IF(X10=M10,"●","✕")</f>
        <v>●</v>
      </c>
      <c r="AD10" s="330" t="str">
        <f t="shared" ref="AD10:AD58" si="6">IF(Y10=O10,"●","✕")</f>
        <v>●</v>
      </c>
      <c r="AE10" s="330" t="str">
        <f t="shared" ref="AE10:AE58" si="7">IF(Z10=P10,"●","✕")</f>
        <v>●</v>
      </c>
      <c r="AF10" s="330" t="str">
        <f t="shared" ref="AF10:AF58" si="8">IF(AA10=N10,"●","✕")</f>
        <v>●</v>
      </c>
    </row>
    <row r="11" spans="1:32" ht="21.75" customHeight="1">
      <c r="A11" s="327"/>
      <c r="B11" s="505">
        <v>207</v>
      </c>
      <c r="C11" s="504" t="s">
        <v>424</v>
      </c>
      <c r="D11" s="505">
        <v>207</v>
      </c>
      <c r="E11" s="506" t="s">
        <v>581</v>
      </c>
      <c r="F11" s="506">
        <v>3210134</v>
      </c>
      <c r="G11" s="506" t="s">
        <v>734</v>
      </c>
      <c r="H11" s="506" t="s">
        <v>734</v>
      </c>
      <c r="I11" s="505" t="s">
        <v>1006</v>
      </c>
      <c r="J11" s="505" t="s">
        <v>1006</v>
      </c>
      <c r="K11" s="507"/>
      <c r="L11" s="508">
        <v>1061863</v>
      </c>
      <c r="M11" s="525" t="s">
        <v>1488</v>
      </c>
      <c r="N11" s="525" t="s">
        <v>1014</v>
      </c>
      <c r="O11" s="525" t="s">
        <v>614</v>
      </c>
      <c r="P11" s="525" t="s">
        <v>650</v>
      </c>
      <c r="Q11" s="525" t="s">
        <v>1014</v>
      </c>
      <c r="R11" s="525" t="s">
        <v>614</v>
      </c>
      <c r="S11" s="525" t="s">
        <v>650</v>
      </c>
      <c r="W11" s="330" t="s">
        <v>1539</v>
      </c>
      <c r="X11" s="330" t="s">
        <v>1488</v>
      </c>
      <c r="Y11" s="343" t="s">
        <v>614</v>
      </c>
      <c r="Z11" s="330" t="s">
        <v>650</v>
      </c>
      <c r="AA11" s="343" t="s">
        <v>1014</v>
      </c>
      <c r="AB11" s="330" t="str">
        <f t="shared" si="0"/>
        <v>●</v>
      </c>
      <c r="AC11" s="330" t="str">
        <f t="shared" si="5"/>
        <v>●</v>
      </c>
      <c r="AD11" s="330" t="str">
        <f t="shared" si="6"/>
        <v>●</v>
      </c>
      <c r="AE11" s="330" t="str">
        <f t="shared" si="7"/>
        <v>●</v>
      </c>
      <c r="AF11" s="330" t="str">
        <f t="shared" si="8"/>
        <v>●</v>
      </c>
    </row>
    <row r="12" spans="1:32" ht="21.75" customHeight="1">
      <c r="A12" s="327"/>
      <c r="B12" s="505">
        <v>208</v>
      </c>
      <c r="C12" s="504" t="s">
        <v>414</v>
      </c>
      <c r="D12" s="505">
        <v>208</v>
      </c>
      <c r="E12" s="506" t="s">
        <v>582</v>
      </c>
      <c r="F12" s="506">
        <v>3210135</v>
      </c>
      <c r="G12" s="506" t="s">
        <v>1740</v>
      </c>
      <c r="H12" s="506" t="s">
        <v>735</v>
      </c>
      <c r="I12" s="505" t="s">
        <v>1006</v>
      </c>
      <c r="J12" s="505" t="s">
        <v>1006</v>
      </c>
      <c r="K12" s="507"/>
      <c r="L12" s="508">
        <v>1061841</v>
      </c>
      <c r="M12" s="525" t="s">
        <v>623</v>
      </c>
      <c r="N12" s="525" t="s">
        <v>1015</v>
      </c>
      <c r="O12" s="525" t="s">
        <v>614</v>
      </c>
      <c r="P12" s="525" t="s">
        <v>624</v>
      </c>
      <c r="Q12" s="525" t="s">
        <v>1015</v>
      </c>
      <c r="R12" s="525" t="s">
        <v>614</v>
      </c>
      <c r="S12" s="525" t="s">
        <v>624</v>
      </c>
      <c r="W12" s="330" t="s">
        <v>1540</v>
      </c>
      <c r="X12" s="330" t="s">
        <v>623</v>
      </c>
      <c r="Y12" s="343" t="s">
        <v>614</v>
      </c>
      <c r="Z12" s="330" t="s">
        <v>624</v>
      </c>
      <c r="AA12" s="343" t="s">
        <v>1015</v>
      </c>
      <c r="AB12" s="330" t="str">
        <f t="shared" si="0"/>
        <v>●</v>
      </c>
      <c r="AC12" s="330" t="str">
        <f t="shared" si="5"/>
        <v>●</v>
      </c>
      <c r="AD12" s="330" t="str">
        <f t="shared" si="6"/>
        <v>●</v>
      </c>
      <c r="AE12" s="330" t="str">
        <f t="shared" si="7"/>
        <v>●</v>
      </c>
      <c r="AF12" s="330" t="str">
        <f t="shared" si="8"/>
        <v>●</v>
      </c>
    </row>
    <row r="13" spans="1:32" ht="21.75" customHeight="1">
      <c r="A13" s="327"/>
      <c r="B13" s="505">
        <v>209</v>
      </c>
      <c r="C13" s="504" t="s">
        <v>413</v>
      </c>
      <c r="D13" s="505">
        <v>209</v>
      </c>
      <c r="E13" s="506" t="s">
        <v>583</v>
      </c>
      <c r="F13" s="506">
        <v>3210202</v>
      </c>
      <c r="G13" s="506" t="s">
        <v>736</v>
      </c>
      <c r="H13" s="506" t="s">
        <v>736</v>
      </c>
      <c r="I13" s="505" t="s">
        <v>1006</v>
      </c>
      <c r="J13" s="505" t="s">
        <v>1006</v>
      </c>
      <c r="K13" s="507"/>
      <c r="L13" s="508">
        <v>1045871</v>
      </c>
      <c r="M13" s="525" t="s">
        <v>1489</v>
      </c>
      <c r="N13" s="525" t="s">
        <v>1016</v>
      </c>
      <c r="O13" s="525" t="s">
        <v>614</v>
      </c>
      <c r="P13" s="525" t="s">
        <v>651</v>
      </c>
      <c r="Q13" s="525" t="s">
        <v>1016</v>
      </c>
      <c r="R13" s="525" t="s">
        <v>614</v>
      </c>
      <c r="S13" s="525" t="s">
        <v>651</v>
      </c>
      <c r="W13" s="330" t="s">
        <v>413</v>
      </c>
      <c r="X13" s="330" t="s">
        <v>1489</v>
      </c>
      <c r="Y13" s="343" t="s">
        <v>614</v>
      </c>
      <c r="Z13" s="330" t="s">
        <v>651</v>
      </c>
      <c r="AA13" s="343" t="s">
        <v>1016</v>
      </c>
      <c r="AB13" s="330" t="str">
        <f t="shared" si="0"/>
        <v>●</v>
      </c>
      <c r="AC13" s="330" t="str">
        <f t="shared" si="5"/>
        <v>●</v>
      </c>
      <c r="AD13" s="330" t="str">
        <f t="shared" si="6"/>
        <v>●</v>
      </c>
      <c r="AE13" s="330" t="str">
        <f t="shared" si="7"/>
        <v>●</v>
      </c>
      <c r="AF13" s="330" t="str">
        <f t="shared" si="8"/>
        <v>●</v>
      </c>
    </row>
    <row r="14" spans="1:32" ht="21.75" customHeight="1">
      <c r="A14" s="327"/>
      <c r="B14" s="505">
        <v>210</v>
      </c>
      <c r="C14" s="504" t="s">
        <v>430</v>
      </c>
      <c r="D14" s="505">
        <v>210</v>
      </c>
      <c r="E14" s="506" t="s">
        <v>584</v>
      </c>
      <c r="F14" s="506">
        <v>3210204</v>
      </c>
      <c r="G14" s="506" t="s">
        <v>737</v>
      </c>
      <c r="H14" s="506" t="s">
        <v>737</v>
      </c>
      <c r="I14" s="505" t="s">
        <v>1006</v>
      </c>
      <c r="J14" s="505" t="s">
        <v>1006</v>
      </c>
      <c r="K14" s="507"/>
      <c r="L14" s="508">
        <v>1064003</v>
      </c>
      <c r="M14" s="525" t="s">
        <v>1490</v>
      </c>
      <c r="N14" s="525" t="s">
        <v>1017</v>
      </c>
      <c r="O14" s="525" t="s">
        <v>614</v>
      </c>
      <c r="P14" s="525" t="s">
        <v>652</v>
      </c>
      <c r="Q14" s="525" t="s">
        <v>1017</v>
      </c>
      <c r="R14" s="525" t="s">
        <v>614</v>
      </c>
      <c r="S14" s="525" t="s">
        <v>652</v>
      </c>
      <c r="W14" s="330" t="s">
        <v>430</v>
      </c>
      <c r="X14" s="330" t="s">
        <v>1490</v>
      </c>
      <c r="Y14" s="343" t="s">
        <v>614</v>
      </c>
      <c r="Z14" s="330" t="s">
        <v>652</v>
      </c>
      <c r="AA14" s="343" t="s">
        <v>1017</v>
      </c>
      <c r="AB14" s="330" t="str">
        <f t="shared" si="0"/>
        <v>●</v>
      </c>
      <c r="AC14" s="330" t="str">
        <f t="shared" si="5"/>
        <v>●</v>
      </c>
      <c r="AD14" s="330" t="str">
        <f t="shared" si="6"/>
        <v>●</v>
      </c>
      <c r="AE14" s="330" t="str">
        <f t="shared" si="7"/>
        <v>●</v>
      </c>
      <c r="AF14" s="330" t="str">
        <f t="shared" si="8"/>
        <v>●</v>
      </c>
    </row>
    <row r="15" spans="1:32" ht="21.75" customHeight="1">
      <c r="A15" s="327"/>
      <c r="B15" s="505">
        <v>211</v>
      </c>
      <c r="C15" s="504" t="s">
        <v>431</v>
      </c>
      <c r="D15" s="505">
        <v>211</v>
      </c>
      <c r="E15" s="506" t="s">
        <v>585</v>
      </c>
      <c r="F15" s="506">
        <v>3210206</v>
      </c>
      <c r="G15" s="506" t="s">
        <v>738</v>
      </c>
      <c r="H15" s="506" t="s">
        <v>738</v>
      </c>
      <c r="I15" s="505" t="s">
        <v>1006</v>
      </c>
      <c r="J15" s="505" t="s">
        <v>1006</v>
      </c>
      <c r="K15" s="507"/>
      <c r="L15" s="508">
        <v>1053378</v>
      </c>
      <c r="M15" s="525" t="s">
        <v>1488</v>
      </c>
      <c r="N15" s="525" t="s">
        <v>1014</v>
      </c>
      <c r="O15" s="525" t="s">
        <v>614</v>
      </c>
      <c r="P15" s="525" t="s">
        <v>650</v>
      </c>
      <c r="Q15" s="525" t="s">
        <v>1014</v>
      </c>
      <c r="R15" s="525" t="s">
        <v>614</v>
      </c>
      <c r="S15" s="525" t="s">
        <v>650</v>
      </c>
      <c r="W15" s="330" t="s">
        <v>431</v>
      </c>
      <c r="X15" s="330" t="s">
        <v>1488</v>
      </c>
      <c r="Y15" s="343" t="s">
        <v>614</v>
      </c>
      <c r="Z15" s="330" t="s">
        <v>650</v>
      </c>
      <c r="AA15" s="343" t="s">
        <v>1014</v>
      </c>
      <c r="AB15" s="330" t="str">
        <f t="shared" si="0"/>
        <v>●</v>
      </c>
      <c r="AC15" s="330" t="str">
        <f t="shared" si="5"/>
        <v>●</v>
      </c>
      <c r="AD15" s="330" t="str">
        <f t="shared" si="6"/>
        <v>●</v>
      </c>
      <c r="AE15" s="330" t="str">
        <f t="shared" si="7"/>
        <v>●</v>
      </c>
      <c r="AF15" s="330" t="str">
        <f t="shared" si="8"/>
        <v>●</v>
      </c>
    </row>
    <row r="16" spans="1:32" ht="21.75" customHeight="1">
      <c r="A16" s="327"/>
      <c r="B16" s="505">
        <v>212</v>
      </c>
      <c r="C16" s="504" t="s">
        <v>443</v>
      </c>
      <c r="D16" s="505">
        <v>212</v>
      </c>
      <c r="E16" s="506" t="s">
        <v>586</v>
      </c>
      <c r="F16" s="506">
        <v>3210207</v>
      </c>
      <c r="G16" s="506" t="s">
        <v>739</v>
      </c>
      <c r="H16" s="506" t="s">
        <v>739</v>
      </c>
      <c r="I16" s="505" t="s">
        <v>1006</v>
      </c>
      <c r="J16" s="505" t="s">
        <v>1006</v>
      </c>
      <c r="K16" s="507"/>
      <c r="L16" s="508">
        <v>1064066</v>
      </c>
      <c r="M16" s="525" t="s">
        <v>1491</v>
      </c>
      <c r="N16" s="525" t="s">
        <v>1018</v>
      </c>
      <c r="O16" s="525" t="s">
        <v>614</v>
      </c>
      <c r="P16" s="525" t="s">
        <v>1019</v>
      </c>
      <c r="Q16" s="525" t="s">
        <v>1018</v>
      </c>
      <c r="R16" s="525" t="s">
        <v>614</v>
      </c>
      <c r="S16" s="525" t="s">
        <v>1019</v>
      </c>
      <c r="W16" s="330" t="s">
        <v>443</v>
      </c>
      <c r="X16" s="330" t="s">
        <v>1491</v>
      </c>
      <c r="Y16" s="343" t="s">
        <v>614</v>
      </c>
      <c r="Z16" s="330" t="s">
        <v>1019</v>
      </c>
      <c r="AA16" s="343" t="s">
        <v>1018</v>
      </c>
      <c r="AB16" s="330" t="str">
        <f t="shared" si="0"/>
        <v>●</v>
      </c>
      <c r="AC16" s="330" t="str">
        <f t="shared" si="5"/>
        <v>●</v>
      </c>
      <c r="AD16" s="330" t="str">
        <f t="shared" si="6"/>
        <v>●</v>
      </c>
      <c r="AE16" s="330" t="str">
        <f t="shared" si="7"/>
        <v>●</v>
      </c>
      <c r="AF16" s="330" t="str">
        <f t="shared" si="8"/>
        <v>●</v>
      </c>
    </row>
    <row r="17" spans="1:53" ht="21.75" customHeight="1">
      <c r="A17" s="327"/>
      <c r="B17" s="505">
        <v>213</v>
      </c>
      <c r="C17" s="504" t="s">
        <v>421</v>
      </c>
      <c r="D17" s="505">
        <v>213</v>
      </c>
      <c r="E17" s="506" t="s">
        <v>587</v>
      </c>
      <c r="F17" s="506">
        <v>3210208</v>
      </c>
      <c r="G17" s="506" t="s">
        <v>740</v>
      </c>
      <c r="H17" s="506" t="s">
        <v>740</v>
      </c>
      <c r="I17" s="505" t="s">
        <v>1006</v>
      </c>
      <c r="J17" s="505" t="s">
        <v>1006</v>
      </c>
      <c r="K17" s="507"/>
      <c r="L17" s="508">
        <v>1063856</v>
      </c>
      <c r="M17" s="525" t="s">
        <v>1492</v>
      </c>
      <c r="N17" s="525" t="s">
        <v>1020</v>
      </c>
      <c r="O17" s="525" t="s">
        <v>614</v>
      </c>
      <c r="P17" s="525" t="s">
        <v>1021</v>
      </c>
      <c r="Q17" s="525" t="s">
        <v>1020</v>
      </c>
      <c r="R17" s="525" t="s">
        <v>614</v>
      </c>
      <c r="S17" s="525" t="s">
        <v>1021</v>
      </c>
      <c r="W17" s="330" t="s">
        <v>421</v>
      </c>
      <c r="X17" s="330" t="s">
        <v>1492</v>
      </c>
      <c r="Y17" s="343" t="s">
        <v>614</v>
      </c>
      <c r="Z17" s="330" t="s">
        <v>1021</v>
      </c>
      <c r="AA17" s="343" t="s">
        <v>1020</v>
      </c>
      <c r="AB17" s="330" t="str">
        <f t="shared" si="0"/>
        <v>●</v>
      </c>
      <c r="AC17" s="330" t="str">
        <f t="shared" si="5"/>
        <v>●</v>
      </c>
      <c r="AD17" s="330" t="str">
        <f t="shared" si="6"/>
        <v>●</v>
      </c>
      <c r="AE17" s="330" t="str">
        <f t="shared" si="7"/>
        <v>●</v>
      </c>
      <c r="AF17" s="330" t="str">
        <f t="shared" si="8"/>
        <v>●</v>
      </c>
    </row>
    <row r="18" spans="1:53" ht="21.75" customHeight="1">
      <c r="A18" s="327"/>
      <c r="B18" s="505">
        <v>214</v>
      </c>
      <c r="C18" s="504" t="s">
        <v>439</v>
      </c>
      <c r="D18" s="505">
        <v>214</v>
      </c>
      <c r="E18" s="506" t="s">
        <v>588</v>
      </c>
      <c r="F18" s="506">
        <v>3210210</v>
      </c>
      <c r="G18" s="506" t="s">
        <v>741</v>
      </c>
      <c r="H18" s="506" t="s">
        <v>741</v>
      </c>
      <c r="I18" s="505" t="s">
        <v>1006</v>
      </c>
      <c r="J18" s="505" t="s">
        <v>1006</v>
      </c>
      <c r="K18" s="507"/>
      <c r="L18" s="508">
        <v>1050199</v>
      </c>
      <c r="M18" s="525" t="s">
        <v>1493</v>
      </c>
      <c r="N18" s="525" t="s">
        <v>1127</v>
      </c>
      <c r="O18" s="525" t="s">
        <v>614</v>
      </c>
      <c r="P18" s="525" t="s">
        <v>636</v>
      </c>
      <c r="Q18" s="525" t="s">
        <v>1127</v>
      </c>
      <c r="R18" s="525" t="s">
        <v>614</v>
      </c>
      <c r="S18" s="525" t="s">
        <v>636</v>
      </c>
      <c r="W18" s="330" t="s">
        <v>439</v>
      </c>
      <c r="X18" s="330" t="s">
        <v>1493</v>
      </c>
      <c r="Y18" s="343" t="s">
        <v>614</v>
      </c>
      <c r="Z18" s="330" t="s">
        <v>636</v>
      </c>
      <c r="AA18" s="343" t="s">
        <v>1127</v>
      </c>
      <c r="AB18" s="330" t="str">
        <f t="shared" si="0"/>
        <v>●</v>
      </c>
      <c r="AC18" s="330" t="str">
        <f t="shared" si="5"/>
        <v>●</v>
      </c>
      <c r="AD18" s="330" t="str">
        <f t="shared" si="6"/>
        <v>●</v>
      </c>
      <c r="AE18" s="330" t="str">
        <f t="shared" si="7"/>
        <v>●</v>
      </c>
      <c r="AF18" s="330" t="str">
        <f t="shared" si="8"/>
        <v>●</v>
      </c>
    </row>
    <row r="19" spans="1:53" ht="21.75" customHeight="1">
      <c r="A19" s="327"/>
      <c r="B19" s="505">
        <v>215</v>
      </c>
      <c r="C19" s="504" t="s">
        <v>423</v>
      </c>
      <c r="D19" s="505">
        <v>215</v>
      </c>
      <c r="E19" s="506" t="s">
        <v>589</v>
      </c>
      <c r="F19" s="506">
        <v>3210211</v>
      </c>
      <c r="G19" s="506" t="s">
        <v>742</v>
      </c>
      <c r="H19" s="506" t="s">
        <v>742</v>
      </c>
      <c r="I19" s="505" t="s">
        <v>1006</v>
      </c>
      <c r="J19" s="505" t="s">
        <v>1006</v>
      </c>
      <c r="K19" s="507"/>
      <c r="L19" s="508">
        <v>1064068</v>
      </c>
      <c r="M19" s="525" t="s">
        <v>1494</v>
      </c>
      <c r="N19" s="525" t="s">
        <v>1022</v>
      </c>
      <c r="O19" s="525" t="s">
        <v>614</v>
      </c>
      <c r="P19" s="525" t="s">
        <v>1023</v>
      </c>
      <c r="Q19" s="525" t="s">
        <v>1022</v>
      </c>
      <c r="R19" s="525" t="s">
        <v>614</v>
      </c>
      <c r="S19" s="525" t="s">
        <v>1023</v>
      </c>
      <c r="W19" s="330" t="s">
        <v>423</v>
      </c>
      <c r="X19" s="330" t="s">
        <v>1494</v>
      </c>
      <c r="Y19" s="343" t="s">
        <v>614</v>
      </c>
      <c r="Z19" s="330" t="s">
        <v>1023</v>
      </c>
      <c r="AA19" s="343" t="s">
        <v>1022</v>
      </c>
      <c r="AB19" s="330" t="str">
        <f t="shared" si="0"/>
        <v>●</v>
      </c>
      <c r="AC19" s="330" t="str">
        <f t="shared" si="5"/>
        <v>●</v>
      </c>
      <c r="AD19" s="330" t="str">
        <f t="shared" si="6"/>
        <v>●</v>
      </c>
      <c r="AE19" s="330" t="str">
        <f t="shared" si="7"/>
        <v>●</v>
      </c>
      <c r="AF19" s="330" t="str">
        <f t="shared" si="8"/>
        <v>●</v>
      </c>
    </row>
    <row r="20" spans="1:53" ht="21.75" customHeight="1">
      <c r="A20" s="327"/>
      <c r="B20" s="505">
        <v>216</v>
      </c>
      <c r="C20" s="504" t="s">
        <v>427</v>
      </c>
      <c r="D20" s="505">
        <v>216</v>
      </c>
      <c r="E20" s="506" t="s">
        <v>590</v>
      </c>
      <c r="F20" s="506">
        <v>3210212</v>
      </c>
      <c r="G20" s="506" t="s">
        <v>743</v>
      </c>
      <c r="H20" s="506" t="s">
        <v>743</v>
      </c>
      <c r="I20" s="505" t="s">
        <v>1006</v>
      </c>
      <c r="J20" s="505" t="s">
        <v>1006</v>
      </c>
      <c r="K20" s="507"/>
      <c r="L20" s="508">
        <v>1061390</v>
      </c>
      <c r="M20" s="525" t="s">
        <v>1495</v>
      </c>
      <c r="N20" s="525" t="s">
        <v>1024</v>
      </c>
      <c r="O20" s="525" t="s">
        <v>614</v>
      </c>
      <c r="P20" s="525" t="s">
        <v>653</v>
      </c>
      <c r="Q20" s="525" t="s">
        <v>1024</v>
      </c>
      <c r="R20" s="525" t="s">
        <v>614</v>
      </c>
      <c r="S20" s="525" t="s">
        <v>653</v>
      </c>
      <c r="W20" s="330" t="s">
        <v>427</v>
      </c>
      <c r="X20" s="330" t="s">
        <v>1495</v>
      </c>
      <c r="Y20" s="343" t="s">
        <v>614</v>
      </c>
      <c r="Z20" s="330" t="s">
        <v>653</v>
      </c>
      <c r="AA20" s="343" t="s">
        <v>1024</v>
      </c>
      <c r="AB20" s="330" t="str">
        <f t="shared" si="0"/>
        <v>●</v>
      </c>
      <c r="AC20" s="330" t="str">
        <f t="shared" si="5"/>
        <v>●</v>
      </c>
      <c r="AD20" s="330" t="str">
        <f t="shared" si="6"/>
        <v>●</v>
      </c>
      <c r="AE20" s="330" t="str">
        <f t="shared" si="7"/>
        <v>●</v>
      </c>
      <c r="AF20" s="330" t="str">
        <f t="shared" si="8"/>
        <v>●</v>
      </c>
    </row>
    <row r="21" spans="1:53" ht="21.75" customHeight="1">
      <c r="A21" s="327"/>
      <c r="B21" s="505">
        <v>217</v>
      </c>
      <c r="C21" s="504" t="s">
        <v>440</v>
      </c>
      <c r="D21" s="505">
        <v>217</v>
      </c>
      <c r="E21" s="506" t="s">
        <v>591</v>
      </c>
      <c r="F21" s="506">
        <v>3210213</v>
      </c>
      <c r="G21" s="506" t="s">
        <v>744</v>
      </c>
      <c r="H21" s="506" t="s">
        <v>744</v>
      </c>
      <c r="I21" s="505" t="s">
        <v>1006</v>
      </c>
      <c r="J21" s="505" t="s">
        <v>1006</v>
      </c>
      <c r="K21" s="507"/>
      <c r="L21" s="508">
        <v>1050202</v>
      </c>
      <c r="M21" s="525" t="s">
        <v>1496</v>
      </c>
      <c r="N21" s="525" t="s">
        <v>1025</v>
      </c>
      <c r="O21" s="525" t="s">
        <v>614</v>
      </c>
      <c r="P21" s="525" t="s">
        <v>654</v>
      </c>
      <c r="Q21" s="525" t="s">
        <v>1025</v>
      </c>
      <c r="R21" s="525" t="s">
        <v>614</v>
      </c>
      <c r="S21" s="525" t="s">
        <v>654</v>
      </c>
      <c r="W21" s="330" t="s">
        <v>440</v>
      </c>
      <c r="X21" s="330" t="s">
        <v>1496</v>
      </c>
      <c r="Y21" s="343" t="s">
        <v>614</v>
      </c>
      <c r="Z21" s="330" t="s">
        <v>654</v>
      </c>
      <c r="AA21" s="343" t="s">
        <v>1025</v>
      </c>
      <c r="AB21" s="330" t="str">
        <f t="shared" si="0"/>
        <v>●</v>
      </c>
      <c r="AC21" s="330" t="str">
        <f t="shared" si="5"/>
        <v>●</v>
      </c>
      <c r="AD21" s="330" t="str">
        <f t="shared" si="6"/>
        <v>●</v>
      </c>
      <c r="AE21" s="330" t="str">
        <f t="shared" si="7"/>
        <v>●</v>
      </c>
      <c r="AF21" s="330" t="str">
        <f t="shared" si="8"/>
        <v>●</v>
      </c>
    </row>
    <row r="22" spans="1:53" ht="21.75" customHeight="1">
      <c r="A22" s="327"/>
      <c r="B22" s="505">
        <v>218</v>
      </c>
      <c r="C22" s="504" t="s">
        <v>452</v>
      </c>
      <c r="D22" s="505">
        <v>218</v>
      </c>
      <c r="E22" s="506" t="s">
        <v>592</v>
      </c>
      <c r="F22" s="506">
        <v>3210214</v>
      </c>
      <c r="G22" s="506" t="s">
        <v>745</v>
      </c>
      <c r="H22" s="506" t="s">
        <v>745</v>
      </c>
      <c r="I22" s="505" t="s">
        <v>1006</v>
      </c>
      <c r="J22" s="505" t="s">
        <v>1006</v>
      </c>
      <c r="K22" s="507"/>
      <c r="L22" s="508">
        <v>1064001</v>
      </c>
      <c r="M22" s="525" t="s">
        <v>1497</v>
      </c>
      <c r="N22" s="525" t="s">
        <v>1026</v>
      </c>
      <c r="O22" s="525" t="s">
        <v>614</v>
      </c>
      <c r="P22" s="525" t="s">
        <v>655</v>
      </c>
      <c r="Q22" s="525" t="s">
        <v>1026</v>
      </c>
      <c r="R22" s="525" t="s">
        <v>614</v>
      </c>
      <c r="S22" s="525" t="s">
        <v>655</v>
      </c>
      <c r="W22" s="330" t="s">
        <v>452</v>
      </c>
      <c r="X22" s="330" t="s">
        <v>1497</v>
      </c>
      <c r="Y22" s="343" t="s">
        <v>614</v>
      </c>
      <c r="Z22" s="330" t="s">
        <v>655</v>
      </c>
      <c r="AA22" s="343" t="s">
        <v>1026</v>
      </c>
      <c r="AB22" s="330" t="str">
        <f t="shared" si="0"/>
        <v>●</v>
      </c>
      <c r="AC22" s="330" t="str">
        <f t="shared" si="5"/>
        <v>●</v>
      </c>
      <c r="AD22" s="330" t="str">
        <f t="shared" si="6"/>
        <v>●</v>
      </c>
      <c r="AE22" s="330" t="str">
        <f t="shared" si="7"/>
        <v>●</v>
      </c>
      <c r="AF22" s="330" t="str">
        <f t="shared" si="8"/>
        <v>●</v>
      </c>
    </row>
    <row r="23" spans="1:53" ht="21.75" customHeight="1">
      <c r="A23" s="327"/>
      <c r="B23" s="505">
        <v>219</v>
      </c>
      <c r="C23" s="504" t="s">
        <v>462</v>
      </c>
      <c r="D23" s="505">
        <v>219</v>
      </c>
      <c r="E23" s="506" t="s">
        <v>593</v>
      </c>
      <c r="F23" s="506">
        <v>3210215</v>
      </c>
      <c r="G23" s="506" t="s">
        <v>746</v>
      </c>
      <c r="H23" s="506" t="s">
        <v>746</v>
      </c>
      <c r="I23" s="505" t="s">
        <v>1006</v>
      </c>
      <c r="J23" s="505" t="s">
        <v>1006</v>
      </c>
      <c r="K23" s="507"/>
      <c r="L23" s="508">
        <v>1064064</v>
      </c>
      <c r="M23" s="525" t="s">
        <v>1498</v>
      </c>
      <c r="N23" s="525" t="s">
        <v>1027</v>
      </c>
      <c r="O23" s="525" t="s">
        <v>614</v>
      </c>
      <c r="P23" s="525" t="s">
        <v>637</v>
      </c>
      <c r="Q23" s="525" t="s">
        <v>1027</v>
      </c>
      <c r="R23" s="525" t="s">
        <v>614</v>
      </c>
      <c r="S23" s="525" t="s">
        <v>637</v>
      </c>
      <c r="W23" s="330" t="s">
        <v>462</v>
      </c>
      <c r="X23" s="330" t="s">
        <v>1498</v>
      </c>
      <c r="Y23" s="343" t="s">
        <v>614</v>
      </c>
      <c r="Z23" s="330" t="s">
        <v>637</v>
      </c>
      <c r="AA23" s="343" t="s">
        <v>1027</v>
      </c>
      <c r="AB23" s="330" t="str">
        <f t="shared" si="0"/>
        <v>●</v>
      </c>
      <c r="AC23" s="330" t="str">
        <f t="shared" si="5"/>
        <v>●</v>
      </c>
      <c r="AD23" s="330" t="str">
        <f t="shared" si="6"/>
        <v>●</v>
      </c>
      <c r="AE23" s="330" t="str">
        <f t="shared" si="7"/>
        <v>●</v>
      </c>
      <c r="AF23" s="330" t="str">
        <f t="shared" si="8"/>
        <v>●</v>
      </c>
    </row>
    <row r="24" spans="1:53" ht="21.75" customHeight="1">
      <c r="A24" s="327"/>
      <c r="B24" s="505">
        <v>220</v>
      </c>
      <c r="C24" s="504" t="s">
        <v>470</v>
      </c>
      <c r="D24" s="505">
        <v>220</v>
      </c>
      <c r="E24" s="506" t="s">
        <v>594</v>
      </c>
      <c r="F24" s="506">
        <v>3210216</v>
      </c>
      <c r="G24" s="506" t="s">
        <v>747</v>
      </c>
      <c r="H24" s="506" t="s">
        <v>747</v>
      </c>
      <c r="I24" s="505" t="s">
        <v>1006</v>
      </c>
      <c r="J24" s="505" t="s">
        <v>1006</v>
      </c>
      <c r="K24" s="507"/>
      <c r="L24" s="508">
        <v>1063857</v>
      </c>
      <c r="M24" s="525" t="s">
        <v>1499</v>
      </c>
      <c r="N24" s="525" t="s">
        <v>1028</v>
      </c>
      <c r="O24" s="525" t="s">
        <v>614</v>
      </c>
      <c r="P24" s="525" t="s">
        <v>656</v>
      </c>
      <c r="Q24" s="525" t="s">
        <v>1028</v>
      </c>
      <c r="R24" s="525" t="s">
        <v>614</v>
      </c>
      <c r="S24" s="525" t="s">
        <v>656</v>
      </c>
      <c r="W24" s="330" t="s">
        <v>470</v>
      </c>
      <c r="X24" s="330" t="s">
        <v>1499</v>
      </c>
      <c r="Y24" s="343" t="s">
        <v>614</v>
      </c>
      <c r="Z24" s="330" t="s">
        <v>656</v>
      </c>
      <c r="AA24" s="343" t="s">
        <v>1028</v>
      </c>
      <c r="AB24" s="330" t="str">
        <f t="shared" si="0"/>
        <v>●</v>
      </c>
      <c r="AC24" s="330" t="str">
        <f t="shared" si="5"/>
        <v>●</v>
      </c>
      <c r="AD24" s="330" t="str">
        <f t="shared" si="6"/>
        <v>●</v>
      </c>
      <c r="AE24" s="330" t="str">
        <f t="shared" si="7"/>
        <v>●</v>
      </c>
      <c r="AF24" s="330" t="str">
        <f t="shared" si="8"/>
        <v>●</v>
      </c>
    </row>
    <row r="25" spans="1:53" ht="21.75" customHeight="1">
      <c r="A25" s="327"/>
      <c r="B25" s="505">
        <v>221</v>
      </c>
      <c r="C25" s="509" t="s">
        <v>1029</v>
      </c>
      <c r="D25" s="505">
        <v>221</v>
      </c>
      <c r="E25" s="506" t="s">
        <v>595</v>
      </c>
      <c r="F25" s="506">
        <v>3210322</v>
      </c>
      <c r="G25" s="506" t="s">
        <v>748</v>
      </c>
      <c r="H25" s="506" t="s">
        <v>748</v>
      </c>
      <c r="I25" s="505" t="s">
        <v>1006</v>
      </c>
      <c r="J25" s="505" t="s">
        <v>1006</v>
      </c>
      <c r="K25" s="507"/>
      <c r="L25" s="508">
        <v>1007838</v>
      </c>
      <c r="M25" s="525" t="s">
        <v>619</v>
      </c>
      <c r="N25" s="525" t="s">
        <v>621</v>
      </c>
      <c r="O25" s="525" t="s">
        <v>614</v>
      </c>
      <c r="P25" s="525" t="s">
        <v>620</v>
      </c>
      <c r="Q25" s="525" t="s">
        <v>621</v>
      </c>
      <c r="R25" s="525" t="s">
        <v>614</v>
      </c>
      <c r="S25" s="525" t="s">
        <v>620</v>
      </c>
      <c r="W25" s="330" t="s">
        <v>1541</v>
      </c>
      <c r="X25" s="330" t="s">
        <v>619</v>
      </c>
      <c r="Y25" s="343" t="s">
        <v>614</v>
      </c>
      <c r="Z25" s="330" t="s">
        <v>620</v>
      </c>
      <c r="AA25" s="343" t="s">
        <v>621</v>
      </c>
      <c r="AB25" s="330" t="str">
        <f t="shared" si="0"/>
        <v>●</v>
      </c>
      <c r="AC25" s="330" t="str">
        <f t="shared" si="5"/>
        <v>●</v>
      </c>
      <c r="AD25" s="330" t="str">
        <f t="shared" si="6"/>
        <v>●</v>
      </c>
      <c r="AE25" s="330" t="str">
        <f t="shared" si="7"/>
        <v>●</v>
      </c>
      <c r="AF25" s="330" t="str">
        <f t="shared" si="8"/>
        <v>●</v>
      </c>
    </row>
    <row r="26" spans="1:53" ht="21.75" customHeight="1">
      <c r="A26" s="327"/>
      <c r="B26" s="505">
        <v>222</v>
      </c>
      <c r="C26" s="509" t="s">
        <v>1030</v>
      </c>
      <c r="D26" s="505">
        <v>222</v>
      </c>
      <c r="E26" s="506" t="s">
        <v>596</v>
      </c>
      <c r="F26" s="506">
        <v>3210323</v>
      </c>
      <c r="G26" s="506" t="s">
        <v>749</v>
      </c>
      <c r="H26" s="506" t="s">
        <v>749</v>
      </c>
      <c r="I26" s="505" t="s">
        <v>1006</v>
      </c>
      <c r="J26" s="505" t="s">
        <v>1006</v>
      </c>
      <c r="K26" s="507"/>
      <c r="L26" s="508">
        <v>1066405</v>
      </c>
      <c r="M26" s="525" t="s">
        <v>1500</v>
      </c>
      <c r="N26" s="525" t="s">
        <v>638</v>
      </c>
      <c r="O26" s="525" t="s">
        <v>614</v>
      </c>
      <c r="P26" s="525" t="s">
        <v>639</v>
      </c>
      <c r="Q26" s="525" t="s">
        <v>638</v>
      </c>
      <c r="R26" s="525" t="s">
        <v>614</v>
      </c>
      <c r="S26" s="525" t="s">
        <v>639</v>
      </c>
      <c r="W26" s="330" t="s">
        <v>1542</v>
      </c>
      <c r="X26" s="330" t="s">
        <v>1500</v>
      </c>
      <c r="Y26" s="343" t="s">
        <v>614</v>
      </c>
      <c r="Z26" s="330" t="s">
        <v>639</v>
      </c>
      <c r="AA26" s="343" t="s">
        <v>638</v>
      </c>
      <c r="AB26" s="330" t="str">
        <f t="shared" si="0"/>
        <v>●</v>
      </c>
      <c r="AC26" s="330" t="str">
        <f t="shared" si="5"/>
        <v>●</v>
      </c>
      <c r="AD26" s="330" t="str">
        <f t="shared" si="6"/>
        <v>●</v>
      </c>
      <c r="AE26" s="330" t="str">
        <f t="shared" si="7"/>
        <v>●</v>
      </c>
      <c r="AF26" s="330" t="str">
        <f t="shared" si="8"/>
        <v>●</v>
      </c>
    </row>
    <row r="27" spans="1:53" ht="21.75" customHeight="1">
      <c r="A27" s="327"/>
      <c r="B27" s="505">
        <v>223</v>
      </c>
      <c r="C27" s="509" t="s">
        <v>1031</v>
      </c>
      <c r="D27" s="505">
        <v>223</v>
      </c>
      <c r="E27" s="506" t="s">
        <v>597</v>
      </c>
      <c r="F27" s="506">
        <v>3210324</v>
      </c>
      <c r="G27" s="506" t="s">
        <v>1479</v>
      </c>
      <c r="H27" s="506" t="s">
        <v>1479</v>
      </c>
      <c r="I27" s="505" t="s">
        <v>1006</v>
      </c>
      <c r="J27" s="505" t="s">
        <v>1006</v>
      </c>
      <c r="K27" s="507"/>
      <c r="L27" s="508">
        <v>1066784</v>
      </c>
      <c r="M27" s="525" t="s">
        <v>1501</v>
      </c>
      <c r="N27" s="525" t="s">
        <v>657</v>
      </c>
      <c r="O27" s="525" t="s">
        <v>614</v>
      </c>
      <c r="P27" s="525" t="s">
        <v>1032</v>
      </c>
      <c r="Q27" s="525" t="s">
        <v>657</v>
      </c>
      <c r="R27" s="525" t="s">
        <v>614</v>
      </c>
      <c r="S27" s="525" t="s">
        <v>1032</v>
      </c>
      <c r="W27" s="330" t="s">
        <v>1543</v>
      </c>
      <c r="X27" s="330" t="s">
        <v>1501</v>
      </c>
      <c r="Y27" s="343" t="s">
        <v>614</v>
      </c>
      <c r="Z27" s="330" t="s">
        <v>1032</v>
      </c>
      <c r="AA27" s="343" t="s">
        <v>657</v>
      </c>
      <c r="AB27" s="330" t="str">
        <f t="shared" si="0"/>
        <v>●</v>
      </c>
      <c r="AC27" s="330" t="str">
        <f t="shared" si="5"/>
        <v>●</v>
      </c>
      <c r="AD27" s="330" t="str">
        <f t="shared" si="6"/>
        <v>●</v>
      </c>
      <c r="AE27" s="330" t="str">
        <f t="shared" si="7"/>
        <v>●</v>
      </c>
      <c r="AF27" s="330" t="str">
        <f t="shared" si="8"/>
        <v>●</v>
      </c>
    </row>
    <row r="28" spans="1:53" ht="21.75" customHeight="1">
      <c r="A28" s="327"/>
      <c r="B28" s="505">
        <v>224</v>
      </c>
      <c r="C28" s="509" t="s">
        <v>1033</v>
      </c>
      <c r="D28" s="505">
        <v>224</v>
      </c>
      <c r="E28" s="506" t="s">
        <v>598</v>
      </c>
      <c r="F28" s="506">
        <v>3210325</v>
      </c>
      <c r="G28" s="506" t="s">
        <v>750</v>
      </c>
      <c r="H28" s="506" t="s">
        <v>750</v>
      </c>
      <c r="I28" s="505" t="s">
        <v>1006</v>
      </c>
      <c r="J28" s="505" t="s">
        <v>1006</v>
      </c>
      <c r="K28" s="507"/>
      <c r="L28" s="508">
        <v>1039860</v>
      </c>
      <c r="M28" s="525" t="s">
        <v>1502</v>
      </c>
      <c r="N28" s="525" t="s">
        <v>1034</v>
      </c>
      <c r="O28" s="525" t="s">
        <v>614</v>
      </c>
      <c r="P28" s="525" t="s">
        <v>642</v>
      </c>
      <c r="Q28" s="525" t="s">
        <v>1034</v>
      </c>
      <c r="R28" s="525" t="s">
        <v>614</v>
      </c>
      <c r="S28" s="525" t="s">
        <v>642</v>
      </c>
      <c r="W28" s="330" t="s">
        <v>1544</v>
      </c>
      <c r="X28" s="330" t="s">
        <v>1502</v>
      </c>
      <c r="Y28" s="343" t="s">
        <v>614</v>
      </c>
      <c r="Z28" s="330" t="s">
        <v>642</v>
      </c>
      <c r="AA28" s="343" t="s">
        <v>1034</v>
      </c>
      <c r="AB28" s="330" t="str">
        <f t="shared" si="0"/>
        <v>●</v>
      </c>
      <c r="AC28" s="330" t="str">
        <f t="shared" si="5"/>
        <v>●</v>
      </c>
      <c r="AD28" s="330" t="str">
        <f t="shared" si="6"/>
        <v>●</v>
      </c>
      <c r="AE28" s="330" t="str">
        <f t="shared" si="7"/>
        <v>●</v>
      </c>
      <c r="AF28" s="330" t="str">
        <f t="shared" si="8"/>
        <v>●</v>
      </c>
    </row>
    <row r="29" spans="1:53" ht="21.75" customHeight="1">
      <c r="A29" s="327"/>
      <c r="B29" s="505">
        <v>225</v>
      </c>
      <c r="C29" s="509" t="s">
        <v>1035</v>
      </c>
      <c r="D29" s="505">
        <v>225</v>
      </c>
      <c r="E29" s="506" t="s">
        <v>599</v>
      </c>
      <c r="F29" s="506">
        <v>3210326</v>
      </c>
      <c r="G29" s="506" t="s">
        <v>751</v>
      </c>
      <c r="H29" s="506" t="s">
        <v>751</v>
      </c>
      <c r="I29" s="505" t="s">
        <v>1006</v>
      </c>
      <c r="J29" s="505" t="s">
        <v>1006</v>
      </c>
      <c r="K29" s="507"/>
      <c r="L29" s="508">
        <v>1066994</v>
      </c>
      <c r="M29" s="525" t="s">
        <v>1503</v>
      </c>
      <c r="N29" s="525" t="s">
        <v>640</v>
      </c>
      <c r="O29" s="525" t="s">
        <v>614</v>
      </c>
      <c r="P29" s="525" t="s">
        <v>658</v>
      </c>
      <c r="Q29" s="525" t="s">
        <v>640</v>
      </c>
      <c r="R29" s="525" t="s">
        <v>614</v>
      </c>
      <c r="S29" s="525" t="s">
        <v>658</v>
      </c>
      <c r="W29" s="330" t="s">
        <v>1545</v>
      </c>
      <c r="X29" s="330" t="s">
        <v>1503</v>
      </c>
      <c r="Y29" s="343" t="s">
        <v>614</v>
      </c>
      <c r="Z29" s="330" t="s">
        <v>658</v>
      </c>
      <c r="AA29" s="343" t="s">
        <v>640</v>
      </c>
      <c r="AB29" s="330" t="str">
        <f t="shared" si="0"/>
        <v>●</v>
      </c>
      <c r="AC29" s="330" t="str">
        <f t="shared" si="5"/>
        <v>●</v>
      </c>
      <c r="AD29" s="330" t="str">
        <f t="shared" si="6"/>
        <v>●</v>
      </c>
      <c r="AE29" s="330" t="str">
        <f t="shared" si="7"/>
        <v>●</v>
      </c>
      <c r="AF29" s="330" t="str">
        <f t="shared" si="8"/>
        <v>●</v>
      </c>
    </row>
    <row r="30" spans="1:53" ht="21.75" customHeight="1">
      <c r="A30" s="327"/>
      <c r="B30" s="505">
        <v>226</v>
      </c>
      <c r="C30" s="509" t="s">
        <v>1036</v>
      </c>
      <c r="D30" s="505">
        <v>226</v>
      </c>
      <c r="E30" s="506" t="s">
        <v>600</v>
      </c>
      <c r="F30" s="506">
        <v>3210327</v>
      </c>
      <c r="G30" s="506" t="s">
        <v>752</v>
      </c>
      <c r="H30" s="506" t="s">
        <v>752</v>
      </c>
      <c r="I30" s="505" t="s">
        <v>1006</v>
      </c>
      <c r="J30" s="505" t="s">
        <v>1006</v>
      </c>
      <c r="K30" s="507"/>
      <c r="L30" s="508">
        <v>1053305</v>
      </c>
      <c r="M30" s="525" t="s">
        <v>1486</v>
      </c>
      <c r="N30" s="525" t="s">
        <v>635</v>
      </c>
      <c r="O30" s="525" t="s">
        <v>618</v>
      </c>
      <c r="P30" s="525" t="s">
        <v>1550</v>
      </c>
      <c r="Q30" s="525" t="s">
        <v>635</v>
      </c>
      <c r="R30" s="525" t="s">
        <v>618</v>
      </c>
      <c r="S30" s="525" t="s">
        <v>1550</v>
      </c>
      <c r="W30" s="330" t="s">
        <v>1546</v>
      </c>
      <c r="X30" s="330" t="s">
        <v>1486</v>
      </c>
      <c r="Y30" s="343" t="s">
        <v>618</v>
      </c>
      <c r="Z30" s="330" t="s">
        <v>1550</v>
      </c>
      <c r="AA30" s="343" t="s">
        <v>635</v>
      </c>
      <c r="AB30" s="330" t="str">
        <f t="shared" si="0"/>
        <v>●</v>
      </c>
      <c r="AC30" s="330" t="str">
        <f t="shared" si="5"/>
        <v>●</v>
      </c>
      <c r="AD30" s="330" t="str">
        <f t="shared" si="6"/>
        <v>●</v>
      </c>
      <c r="AE30" s="330" t="str">
        <f t="shared" si="7"/>
        <v>●</v>
      </c>
      <c r="AF30" s="330" t="str">
        <f t="shared" si="8"/>
        <v>●</v>
      </c>
    </row>
    <row r="31" spans="1:53" s="171" customFormat="1" ht="21.75" customHeight="1">
      <c r="A31" s="327"/>
      <c r="B31" s="505">
        <v>227</v>
      </c>
      <c r="C31" s="509" t="s">
        <v>1037</v>
      </c>
      <c r="D31" s="505">
        <v>227</v>
      </c>
      <c r="E31" s="506" t="s">
        <v>601</v>
      </c>
      <c r="F31" s="506">
        <v>3210476</v>
      </c>
      <c r="G31" s="506" t="s">
        <v>753</v>
      </c>
      <c r="H31" s="506" t="s">
        <v>753</v>
      </c>
      <c r="I31" s="505" t="s">
        <v>1006</v>
      </c>
      <c r="J31" s="505" t="s">
        <v>1006</v>
      </c>
      <c r="K31" s="507"/>
      <c r="L31" s="508">
        <v>1050202</v>
      </c>
      <c r="M31" s="525" t="s">
        <v>1496</v>
      </c>
      <c r="N31" s="525" t="s">
        <v>1025</v>
      </c>
      <c r="O31" s="525" t="s">
        <v>614</v>
      </c>
      <c r="P31" s="525" t="s">
        <v>654</v>
      </c>
      <c r="Q31" s="525" t="s">
        <v>1025</v>
      </c>
      <c r="R31" s="525" t="s">
        <v>614</v>
      </c>
      <c r="S31" s="525" t="s">
        <v>654</v>
      </c>
      <c r="T31" s="343"/>
      <c r="U31" s="343"/>
      <c r="V31" s="343"/>
      <c r="W31" s="343" t="s">
        <v>1037</v>
      </c>
      <c r="X31" s="343" t="s">
        <v>1496</v>
      </c>
      <c r="Y31" s="343" t="s">
        <v>614</v>
      </c>
      <c r="Z31" s="343" t="s">
        <v>654</v>
      </c>
      <c r="AA31" s="343" t="s">
        <v>1025</v>
      </c>
      <c r="AB31" s="330" t="str">
        <f t="shared" si="0"/>
        <v>●</v>
      </c>
      <c r="AC31" s="330" t="str">
        <f t="shared" si="5"/>
        <v>●</v>
      </c>
      <c r="AD31" s="330" t="str">
        <f t="shared" si="6"/>
        <v>●</v>
      </c>
      <c r="AE31" s="330" t="str">
        <f t="shared" si="7"/>
        <v>●</v>
      </c>
      <c r="AF31" s="330" t="str">
        <f t="shared" si="8"/>
        <v>●</v>
      </c>
      <c r="AG31" s="343"/>
      <c r="AH31" s="343"/>
      <c r="AI31" s="343"/>
      <c r="AJ31" s="343"/>
      <c r="AK31" s="280"/>
      <c r="AL31" s="280"/>
      <c r="AM31" s="280"/>
      <c r="AN31" s="280"/>
      <c r="AO31" s="280"/>
      <c r="AP31" s="280"/>
      <c r="AQ31" s="280"/>
      <c r="AR31" s="280"/>
      <c r="AS31" s="280"/>
      <c r="AT31" s="280"/>
      <c r="AU31" s="280"/>
      <c r="AV31" s="280"/>
      <c r="AW31" s="280"/>
      <c r="AX31" s="280"/>
      <c r="AY31" s="280"/>
      <c r="AZ31" s="280"/>
      <c r="BA31" s="280"/>
    </row>
    <row r="32" spans="1:53" s="171" customFormat="1" ht="21.75" customHeight="1">
      <c r="A32" s="327"/>
      <c r="B32" s="505">
        <v>228</v>
      </c>
      <c r="C32" s="509" t="s">
        <v>478</v>
      </c>
      <c r="D32" s="505">
        <v>228</v>
      </c>
      <c r="E32" s="506" t="s">
        <v>602</v>
      </c>
      <c r="F32" s="506">
        <v>3210477</v>
      </c>
      <c r="G32" s="506" t="s">
        <v>754</v>
      </c>
      <c r="H32" s="506" t="s">
        <v>754</v>
      </c>
      <c r="I32" s="505" t="s">
        <v>1006</v>
      </c>
      <c r="J32" s="505" t="s">
        <v>1006</v>
      </c>
      <c r="K32" s="507"/>
      <c r="L32" s="508">
        <v>1065785</v>
      </c>
      <c r="M32" s="525" t="s">
        <v>1504</v>
      </c>
      <c r="N32" s="525" t="s">
        <v>1038</v>
      </c>
      <c r="O32" s="525" t="s">
        <v>614</v>
      </c>
      <c r="P32" s="525" t="s">
        <v>659</v>
      </c>
      <c r="Q32" s="525" t="s">
        <v>1038</v>
      </c>
      <c r="R32" s="525" t="s">
        <v>614</v>
      </c>
      <c r="S32" s="525" t="s">
        <v>659</v>
      </c>
      <c r="T32" s="343"/>
      <c r="U32" s="343"/>
      <c r="V32" s="343"/>
      <c r="W32" s="343" t="s">
        <v>478</v>
      </c>
      <c r="X32" s="343" t="s">
        <v>1504</v>
      </c>
      <c r="Y32" s="343" t="s">
        <v>614</v>
      </c>
      <c r="Z32" s="343" t="s">
        <v>659</v>
      </c>
      <c r="AA32" s="343" t="s">
        <v>1038</v>
      </c>
      <c r="AB32" s="330" t="str">
        <f t="shared" si="0"/>
        <v>●</v>
      </c>
      <c r="AC32" s="330" t="str">
        <f t="shared" si="5"/>
        <v>●</v>
      </c>
      <c r="AD32" s="330" t="str">
        <f t="shared" si="6"/>
        <v>●</v>
      </c>
      <c r="AE32" s="330" t="str">
        <f t="shared" si="7"/>
        <v>●</v>
      </c>
      <c r="AF32" s="330" t="str">
        <f t="shared" si="8"/>
        <v>●</v>
      </c>
      <c r="AG32" s="343"/>
      <c r="AH32" s="343"/>
      <c r="AI32" s="343"/>
      <c r="AJ32" s="343"/>
      <c r="AK32" s="280"/>
      <c r="AL32" s="280"/>
      <c r="AM32" s="280"/>
      <c r="AN32" s="280"/>
      <c r="AO32" s="280"/>
      <c r="AP32" s="280"/>
      <c r="AQ32" s="280"/>
      <c r="AR32" s="280"/>
      <c r="AS32" s="280"/>
      <c r="AT32" s="280"/>
      <c r="AU32" s="280"/>
      <c r="AV32" s="280"/>
      <c r="AW32" s="280"/>
      <c r="AX32" s="280"/>
      <c r="AY32" s="280"/>
      <c r="AZ32" s="280"/>
      <c r="BA32" s="280"/>
    </row>
    <row r="33" spans="1:32" ht="21.75" customHeight="1">
      <c r="A33" s="327"/>
      <c r="B33" s="505">
        <v>229</v>
      </c>
      <c r="C33" s="509" t="s">
        <v>1039</v>
      </c>
      <c r="D33" s="505">
        <v>229</v>
      </c>
      <c r="E33" s="506" t="s">
        <v>603</v>
      </c>
      <c r="F33" s="506">
        <v>3210478</v>
      </c>
      <c r="G33" s="506" t="s">
        <v>755</v>
      </c>
      <c r="H33" s="506" t="s">
        <v>755</v>
      </c>
      <c r="I33" s="505" t="s">
        <v>1006</v>
      </c>
      <c r="J33" s="505" t="s">
        <v>1006</v>
      </c>
      <c r="K33" s="507"/>
      <c r="L33" s="508">
        <v>1054263</v>
      </c>
      <c r="M33" s="525" t="s">
        <v>1505</v>
      </c>
      <c r="N33" s="525" t="s">
        <v>1040</v>
      </c>
      <c r="O33" s="525" t="s">
        <v>614</v>
      </c>
      <c r="P33" s="525" t="s">
        <v>660</v>
      </c>
      <c r="Q33" s="525" t="s">
        <v>1040</v>
      </c>
      <c r="R33" s="525" t="s">
        <v>614</v>
      </c>
      <c r="S33" s="525" t="s">
        <v>660</v>
      </c>
      <c r="W33" s="330" t="s">
        <v>1039</v>
      </c>
      <c r="X33" s="330" t="s">
        <v>1505</v>
      </c>
      <c r="Y33" s="330" t="s">
        <v>614</v>
      </c>
      <c r="Z33" s="330" t="s">
        <v>660</v>
      </c>
      <c r="AA33" s="330" t="s">
        <v>1040</v>
      </c>
      <c r="AB33" s="330" t="str">
        <f t="shared" si="0"/>
        <v>●</v>
      </c>
      <c r="AC33" s="330" t="str">
        <f t="shared" si="5"/>
        <v>●</v>
      </c>
      <c r="AD33" s="330" t="str">
        <f t="shared" si="6"/>
        <v>●</v>
      </c>
      <c r="AE33" s="330" t="str">
        <f t="shared" si="7"/>
        <v>●</v>
      </c>
      <c r="AF33" s="330" t="str">
        <f t="shared" si="8"/>
        <v>●</v>
      </c>
    </row>
    <row r="34" spans="1:32" ht="21.75" customHeight="1">
      <c r="A34" s="327"/>
      <c r="B34" s="505">
        <v>230</v>
      </c>
      <c r="C34" s="509" t="s">
        <v>1041</v>
      </c>
      <c r="D34" s="505">
        <v>230</v>
      </c>
      <c r="E34" s="506" t="s">
        <v>604</v>
      </c>
      <c r="F34" s="506">
        <v>3210479</v>
      </c>
      <c r="G34" s="506" t="s">
        <v>756</v>
      </c>
      <c r="H34" s="506" t="s">
        <v>756</v>
      </c>
      <c r="I34" s="505" t="s">
        <v>1006</v>
      </c>
      <c r="J34" s="505" t="s">
        <v>1006</v>
      </c>
      <c r="K34" s="507"/>
      <c r="L34" s="508">
        <v>1007849</v>
      </c>
      <c r="M34" s="525" t="s">
        <v>1506</v>
      </c>
      <c r="N34" s="525" t="s">
        <v>1042</v>
      </c>
      <c r="O34" s="525" t="s">
        <v>614</v>
      </c>
      <c r="P34" s="525" t="s">
        <v>661</v>
      </c>
      <c r="Q34" s="525" t="s">
        <v>1042</v>
      </c>
      <c r="R34" s="525" t="s">
        <v>614</v>
      </c>
      <c r="S34" s="525" t="s">
        <v>661</v>
      </c>
      <c r="W34" s="330" t="s">
        <v>1041</v>
      </c>
      <c r="X34" s="330" t="s">
        <v>1506</v>
      </c>
      <c r="Y34" s="330" t="s">
        <v>614</v>
      </c>
      <c r="Z34" s="330" t="s">
        <v>661</v>
      </c>
      <c r="AA34" s="330" t="s">
        <v>1042</v>
      </c>
      <c r="AB34" s="330" t="str">
        <f t="shared" si="0"/>
        <v>●</v>
      </c>
      <c r="AC34" s="330" t="str">
        <f t="shared" si="5"/>
        <v>●</v>
      </c>
      <c r="AD34" s="330" t="str">
        <f t="shared" si="6"/>
        <v>●</v>
      </c>
      <c r="AE34" s="330" t="str">
        <f t="shared" si="7"/>
        <v>●</v>
      </c>
      <c r="AF34" s="330" t="str">
        <f t="shared" si="8"/>
        <v>●</v>
      </c>
    </row>
    <row r="35" spans="1:32" ht="21.75" customHeight="1">
      <c r="A35" s="327"/>
      <c r="B35" s="505">
        <v>231</v>
      </c>
      <c r="C35" s="509" t="s">
        <v>1043</v>
      </c>
      <c r="D35" s="505">
        <v>231</v>
      </c>
      <c r="E35" s="506" t="s">
        <v>605</v>
      </c>
      <c r="F35" s="506">
        <v>3210480</v>
      </c>
      <c r="G35" s="506" t="s">
        <v>757</v>
      </c>
      <c r="H35" s="506" t="s">
        <v>757</v>
      </c>
      <c r="I35" s="505" t="s">
        <v>1006</v>
      </c>
      <c r="J35" s="505" t="s">
        <v>1006</v>
      </c>
      <c r="K35" s="507"/>
      <c r="L35" s="508">
        <v>1851380</v>
      </c>
      <c r="M35" s="525" t="s">
        <v>1507</v>
      </c>
      <c r="N35" s="525" t="s">
        <v>1044</v>
      </c>
      <c r="O35" s="525" t="s">
        <v>614</v>
      </c>
      <c r="P35" s="525" t="s">
        <v>662</v>
      </c>
      <c r="Q35" s="525" t="s">
        <v>1044</v>
      </c>
      <c r="R35" s="525" t="s">
        <v>614</v>
      </c>
      <c r="S35" s="525" t="s">
        <v>662</v>
      </c>
      <c r="W35" s="330" t="s">
        <v>1043</v>
      </c>
      <c r="X35" s="330" t="s">
        <v>1507</v>
      </c>
      <c r="Y35" s="343" t="s">
        <v>614</v>
      </c>
      <c r="Z35" s="330" t="s">
        <v>662</v>
      </c>
      <c r="AA35" s="343" t="s">
        <v>1044</v>
      </c>
      <c r="AB35" s="330" t="str">
        <f t="shared" si="0"/>
        <v>●</v>
      </c>
      <c r="AC35" s="330" t="str">
        <f t="shared" si="5"/>
        <v>●</v>
      </c>
      <c r="AD35" s="330" t="str">
        <f t="shared" si="6"/>
        <v>●</v>
      </c>
      <c r="AE35" s="330" t="str">
        <f t="shared" si="7"/>
        <v>●</v>
      </c>
      <c r="AF35" s="330" t="str">
        <f t="shared" si="8"/>
        <v>●</v>
      </c>
    </row>
    <row r="36" spans="1:32" ht="21.75" customHeight="1">
      <c r="A36" s="327"/>
      <c r="B36" s="505">
        <v>232</v>
      </c>
      <c r="C36" s="509" t="s">
        <v>1517</v>
      </c>
      <c r="D36" s="505">
        <v>232</v>
      </c>
      <c r="E36" s="506" t="s">
        <v>606</v>
      </c>
      <c r="F36" s="506">
        <v>3210493</v>
      </c>
      <c r="G36" s="506" t="s">
        <v>758</v>
      </c>
      <c r="H36" s="506" t="s">
        <v>758</v>
      </c>
      <c r="I36" s="505" t="s">
        <v>1006</v>
      </c>
      <c r="J36" s="505" t="s">
        <v>1006</v>
      </c>
      <c r="K36" s="507"/>
      <c r="L36" s="508">
        <v>1007837</v>
      </c>
      <c r="M36" s="525" t="s">
        <v>1508</v>
      </c>
      <c r="N36" s="525" t="s">
        <v>1045</v>
      </c>
      <c r="O36" s="525" t="s">
        <v>614</v>
      </c>
      <c r="P36" s="525" t="s">
        <v>663</v>
      </c>
      <c r="Q36" s="525" t="s">
        <v>1045</v>
      </c>
      <c r="R36" s="525" t="s">
        <v>614</v>
      </c>
      <c r="S36" s="525" t="s">
        <v>663</v>
      </c>
      <c r="W36" s="330" t="s">
        <v>1517</v>
      </c>
      <c r="X36" s="330" t="s">
        <v>1508</v>
      </c>
      <c r="Y36" s="343" t="s">
        <v>614</v>
      </c>
      <c r="Z36" s="330" t="s">
        <v>663</v>
      </c>
      <c r="AA36" s="343" t="s">
        <v>1045</v>
      </c>
      <c r="AB36" s="330" t="str">
        <f t="shared" ref="AB36:AB58" si="9">IF(W36=C36,"●","✕")</f>
        <v>●</v>
      </c>
      <c r="AC36" s="330" t="str">
        <f t="shared" si="5"/>
        <v>●</v>
      </c>
      <c r="AD36" s="330" t="str">
        <f t="shared" si="6"/>
        <v>●</v>
      </c>
      <c r="AE36" s="330" t="str">
        <f t="shared" si="7"/>
        <v>●</v>
      </c>
      <c r="AF36" s="330" t="str">
        <f t="shared" si="8"/>
        <v>●</v>
      </c>
    </row>
    <row r="37" spans="1:32" ht="21.75" customHeight="1">
      <c r="A37" s="327"/>
      <c r="B37" s="505">
        <v>233</v>
      </c>
      <c r="C37" s="504" t="s">
        <v>1046</v>
      </c>
      <c r="D37" s="505">
        <v>233</v>
      </c>
      <c r="E37" s="506" t="s">
        <v>607</v>
      </c>
      <c r="F37" s="506">
        <v>3210592</v>
      </c>
      <c r="G37" s="506" t="s">
        <v>759</v>
      </c>
      <c r="H37" s="506" t="s">
        <v>759</v>
      </c>
      <c r="I37" s="505" t="s">
        <v>1006</v>
      </c>
      <c r="J37" s="505" t="s">
        <v>1006</v>
      </c>
      <c r="K37" s="507"/>
      <c r="L37" s="508">
        <v>1039860</v>
      </c>
      <c r="M37" s="525" t="s">
        <v>1502</v>
      </c>
      <c r="N37" s="525" t="s">
        <v>641</v>
      </c>
      <c r="O37" s="525" t="s">
        <v>614</v>
      </c>
      <c r="P37" s="525" t="s">
        <v>642</v>
      </c>
      <c r="Q37" s="525" t="s">
        <v>641</v>
      </c>
      <c r="R37" s="525" t="s">
        <v>614</v>
      </c>
      <c r="S37" s="525" t="s">
        <v>642</v>
      </c>
      <c r="W37" s="330" t="s">
        <v>1046</v>
      </c>
      <c r="X37" s="330" t="s">
        <v>1502</v>
      </c>
      <c r="Y37" s="343" t="s">
        <v>614</v>
      </c>
      <c r="Z37" s="330" t="s">
        <v>642</v>
      </c>
      <c r="AA37" s="343" t="s">
        <v>641</v>
      </c>
      <c r="AB37" s="330" t="str">
        <f t="shared" si="9"/>
        <v>●</v>
      </c>
      <c r="AC37" s="330" t="str">
        <f t="shared" si="5"/>
        <v>●</v>
      </c>
      <c r="AD37" s="330" t="str">
        <f t="shared" si="6"/>
        <v>●</v>
      </c>
      <c r="AE37" s="330" t="str">
        <f t="shared" si="7"/>
        <v>●</v>
      </c>
      <c r="AF37" s="330" t="str">
        <f t="shared" si="8"/>
        <v>●</v>
      </c>
    </row>
    <row r="38" spans="1:32" ht="21.75" customHeight="1">
      <c r="A38" s="327"/>
      <c r="B38" s="505">
        <v>234</v>
      </c>
      <c r="C38" s="509" t="s">
        <v>1047</v>
      </c>
      <c r="D38" s="505">
        <v>234</v>
      </c>
      <c r="E38" s="506" t="s">
        <v>608</v>
      </c>
      <c r="F38" s="506">
        <v>3210593</v>
      </c>
      <c r="G38" s="506" t="s">
        <v>760</v>
      </c>
      <c r="H38" s="506" t="s">
        <v>760</v>
      </c>
      <c r="I38" s="505" t="s">
        <v>1006</v>
      </c>
      <c r="J38" s="505" t="s">
        <v>1006</v>
      </c>
      <c r="K38" s="507"/>
      <c r="L38" s="508">
        <v>1039847</v>
      </c>
      <c r="M38" s="525" t="s">
        <v>643</v>
      </c>
      <c r="N38" s="525" t="s">
        <v>644</v>
      </c>
      <c r="O38" s="525" t="s">
        <v>614</v>
      </c>
      <c r="P38" s="525" t="s">
        <v>645</v>
      </c>
      <c r="Q38" s="525" t="s">
        <v>644</v>
      </c>
      <c r="R38" s="525" t="s">
        <v>614</v>
      </c>
      <c r="S38" s="525" t="s">
        <v>645</v>
      </c>
      <c r="W38" s="330" t="s">
        <v>1047</v>
      </c>
      <c r="X38" s="330" t="s">
        <v>643</v>
      </c>
      <c r="Y38" s="343" t="s">
        <v>614</v>
      </c>
      <c r="Z38" s="330" t="s">
        <v>645</v>
      </c>
      <c r="AA38" s="343" t="s">
        <v>644</v>
      </c>
      <c r="AB38" s="330" t="str">
        <f t="shared" si="9"/>
        <v>●</v>
      </c>
      <c r="AC38" s="330" t="str">
        <f t="shared" si="5"/>
        <v>●</v>
      </c>
      <c r="AD38" s="330" t="str">
        <f t="shared" si="6"/>
        <v>●</v>
      </c>
      <c r="AE38" s="330" t="str">
        <f t="shared" si="7"/>
        <v>●</v>
      </c>
      <c r="AF38" s="330" t="str">
        <f t="shared" si="8"/>
        <v>●</v>
      </c>
    </row>
    <row r="39" spans="1:32" ht="21.75" customHeight="1">
      <c r="A39" s="327"/>
      <c r="B39" s="505">
        <v>235</v>
      </c>
      <c r="C39" s="509" t="s">
        <v>1048</v>
      </c>
      <c r="D39" s="505">
        <v>235</v>
      </c>
      <c r="E39" s="506" t="s">
        <v>609</v>
      </c>
      <c r="F39" s="506">
        <v>3210594</v>
      </c>
      <c r="G39" s="506" t="s">
        <v>761</v>
      </c>
      <c r="H39" s="506" t="s">
        <v>761</v>
      </c>
      <c r="I39" s="505" t="s">
        <v>1006</v>
      </c>
      <c r="J39" s="505" t="s">
        <v>1006</v>
      </c>
      <c r="K39" s="507"/>
      <c r="L39" s="508">
        <v>1039550</v>
      </c>
      <c r="M39" s="525" t="s">
        <v>646</v>
      </c>
      <c r="N39" s="525" t="s">
        <v>647</v>
      </c>
      <c r="O39" s="525" t="s">
        <v>614</v>
      </c>
      <c r="P39" s="525" t="s">
        <v>620</v>
      </c>
      <c r="Q39" s="525" t="s">
        <v>647</v>
      </c>
      <c r="R39" s="525" t="s">
        <v>614</v>
      </c>
      <c r="S39" s="525" t="s">
        <v>620</v>
      </c>
      <c r="W39" s="330" t="s">
        <v>1048</v>
      </c>
      <c r="X39" s="330" t="s">
        <v>646</v>
      </c>
      <c r="Y39" s="343" t="s">
        <v>614</v>
      </c>
      <c r="Z39" s="330" t="s">
        <v>620</v>
      </c>
      <c r="AA39" s="343" t="s">
        <v>647</v>
      </c>
      <c r="AB39" s="330" t="str">
        <f t="shared" si="9"/>
        <v>●</v>
      </c>
      <c r="AC39" s="330" t="str">
        <f t="shared" si="5"/>
        <v>●</v>
      </c>
      <c r="AD39" s="330" t="str">
        <f t="shared" si="6"/>
        <v>●</v>
      </c>
      <c r="AE39" s="330" t="str">
        <f t="shared" si="7"/>
        <v>●</v>
      </c>
      <c r="AF39" s="330" t="str">
        <f t="shared" si="8"/>
        <v>●</v>
      </c>
    </row>
    <row r="40" spans="1:32" ht="21.75" customHeight="1">
      <c r="A40" s="327"/>
      <c r="B40" s="505">
        <v>236</v>
      </c>
      <c r="C40" s="504" t="s">
        <v>1100</v>
      </c>
      <c r="D40" s="505">
        <v>236</v>
      </c>
      <c r="E40" s="506">
        <v>3220001</v>
      </c>
      <c r="F40" s="506">
        <v>3220001</v>
      </c>
      <c r="G40" s="506" t="s">
        <v>1070</v>
      </c>
      <c r="H40" s="506" t="s">
        <v>1070</v>
      </c>
      <c r="I40" s="505" t="s">
        <v>1006</v>
      </c>
      <c r="J40" s="505" t="s">
        <v>1006</v>
      </c>
      <c r="K40" s="507"/>
      <c r="L40" s="508">
        <v>1073158</v>
      </c>
      <c r="M40" s="525" t="s">
        <v>1509</v>
      </c>
      <c r="N40" s="525" t="s">
        <v>1086</v>
      </c>
      <c r="O40" s="525" t="s">
        <v>614</v>
      </c>
      <c r="P40" s="525" t="s">
        <v>1087</v>
      </c>
      <c r="Q40" s="525" t="s">
        <v>1086</v>
      </c>
      <c r="R40" s="525" t="s">
        <v>614</v>
      </c>
      <c r="S40" s="525" t="s">
        <v>1087</v>
      </c>
      <c r="W40" s="330" t="s">
        <v>1100</v>
      </c>
      <c r="X40" s="330" t="s">
        <v>1509</v>
      </c>
      <c r="Y40" s="343" t="s">
        <v>614</v>
      </c>
      <c r="Z40" s="330" t="s">
        <v>1087</v>
      </c>
      <c r="AA40" s="343" t="s">
        <v>1086</v>
      </c>
      <c r="AB40" s="330" t="str">
        <f t="shared" si="9"/>
        <v>●</v>
      </c>
      <c r="AC40" s="330" t="str">
        <f t="shared" si="5"/>
        <v>●</v>
      </c>
      <c r="AD40" s="330" t="str">
        <f t="shared" si="6"/>
        <v>●</v>
      </c>
      <c r="AE40" s="330" t="str">
        <f t="shared" si="7"/>
        <v>●</v>
      </c>
      <c r="AF40" s="330" t="str">
        <f t="shared" si="8"/>
        <v>●</v>
      </c>
    </row>
    <row r="41" spans="1:32" ht="21.75" customHeight="1">
      <c r="A41" s="327"/>
      <c r="B41" s="505">
        <v>237</v>
      </c>
      <c r="C41" s="504" t="s">
        <v>1101</v>
      </c>
      <c r="D41" s="505">
        <v>237</v>
      </c>
      <c r="E41" s="541">
        <v>3220002</v>
      </c>
      <c r="F41" s="506">
        <v>3220002</v>
      </c>
      <c r="G41" s="506" t="s">
        <v>1071</v>
      </c>
      <c r="H41" s="506" t="s">
        <v>1071</v>
      </c>
      <c r="I41" s="505" t="s">
        <v>1006</v>
      </c>
      <c r="J41" s="505" t="s">
        <v>1006</v>
      </c>
      <c r="K41" s="507"/>
      <c r="L41" s="508">
        <v>1073158</v>
      </c>
      <c r="M41" s="525" t="s">
        <v>1509</v>
      </c>
      <c r="N41" s="525" t="s">
        <v>1086</v>
      </c>
      <c r="O41" s="525" t="s">
        <v>614</v>
      </c>
      <c r="P41" s="525" t="s">
        <v>1087</v>
      </c>
      <c r="Q41" s="525" t="s">
        <v>1086</v>
      </c>
      <c r="R41" s="525" t="s">
        <v>614</v>
      </c>
      <c r="S41" s="525" t="s">
        <v>1087</v>
      </c>
      <c r="W41" s="330" t="s">
        <v>1101</v>
      </c>
      <c r="X41" s="330" t="s">
        <v>1509</v>
      </c>
      <c r="Y41" s="343" t="s">
        <v>614</v>
      </c>
      <c r="Z41" s="330" t="s">
        <v>1087</v>
      </c>
      <c r="AA41" s="343" t="s">
        <v>1086</v>
      </c>
      <c r="AB41" s="330" t="str">
        <f t="shared" si="9"/>
        <v>●</v>
      </c>
      <c r="AC41" s="330" t="str">
        <f t="shared" si="5"/>
        <v>●</v>
      </c>
      <c r="AD41" s="330" t="str">
        <f t="shared" si="6"/>
        <v>●</v>
      </c>
      <c r="AE41" s="330" t="str">
        <f t="shared" si="7"/>
        <v>●</v>
      </c>
      <c r="AF41" s="330" t="str">
        <f t="shared" si="8"/>
        <v>●</v>
      </c>
    </row>
    <row r="42" spans="1:32" ht="21.75" customHeight="1">
      <c r="A42" s="327"/>
      <c r="B42" s="505">
        <v>238</v>
      </c>
      <c r="C42" s="504" t="s">
        <v>1547</v>
      </c>
      <c r="D42" s="505">
        <v>238</v>
      </c>
      <c r="E42" s="541" t="s">
        <v>1297</v>
      </c>
      <c r="F42" s="506">
        <v>3220003</v>
      </c>
      <c r="G42" s="506" t="s">
        <v>762</v>
      </c>
      <c r="H42" s="506" t="s">
        <v>762</v>
      </c>
      <c r="I42" s="505" t="s">
        <v>1006</v>
      </c>
      <c r="J42" s="505" t="s">
        <v>1006</v>
      </c>
      <c r="K42" s="507"/>
      <c r="L42" s="508">
        <v>1064191</v>
      </c>
      <c r="M42" s="525" t="s">
        <v>1298</v>
      </c>
      <c r="N42" s="525" t="s">
        <v>1049</v>
      </c>
      <c r="O42" s="525" t="s">
        <v>1050</v>
      </c>
      <c r="P42" s="525" t="s">
        <v>1051</v>
      </c>
      <c r="Q42" s="525" t="s">
        <v>1049</v>
      </c>
      <c r="R42" s="525" t="s">
        <v>1050</v>
      </c>
      <c r="S42" s="525" t="s">
        <v>1051</v>
      </c>
      <c r="W42" s="330" t="s">
        <v>1547</v>
      </c>
      <c r="X42" s="330" t="s">
        <v>1298</v>
      </c>
      <c r="Y42" s="343" t="s">
        <v>1050</v>
      </c>
      <c r="Z42" s="330" t="s">
        <v>1051</v>
      </c>
      <c r="AA42" s="343" t="s">
        <v>1049</v>
      </c>
      <c r="AB42" s="330" t="str">
        <f t="shared" si="9"/>
        <v>●</v>
      </c>
      <c r="AC42" s="330" t="str">
        <f t="shared" si="5"/>
        <v>●</v>
      </c>
      <c r="AD42" s="330" t="str">
        <f t="shared" si="6"/>
        <v>●</v>
      </c>
      <c r="AE42" s="330" t="str">
        <f t="shared" si="7"/>
        <v>●</v>
      </c>
      <c r="AF42" s="330" t="str">
        <f t="shared" si="8"/>
        <v>●</v>
      </c>
    </row>
    <row r="43" spans="1:32" ht="21.75" customHeight="1">
      <c r="A43" s="327"/>
      <c r="B43" s="505">
        <v>239</v>
      </c>
      <c r="C43" s="504" t="s">
        <v>1548</v>
      </c>
      <c r="D43" s="505">
        <v>239</v>
      </c>
      <c r="E43" s="541" t="s">
        <v>1299</v>
      </c>
      <c r="F43" s="506">
        <v>3220004</v>
      </c>
      <c r="G43" s="506" t="s">
        <v>1300</v>
      </c>
      <c r="H43" s="506" t="s">
        <v>1300</v>
      </c>
      <c r="I43" s="505" t="s">
        <v>1006</v>
      </c>
      <c r="J43" s="505" t="s">
        <v>1006</v>
      </c>
      <c r="K43" s="507"/>
      <c r="L43" s="508">
        <v>1076480</v>
      </c>
      <c r="M43" s="525" t="s">
        <v>1301</v>
      </c>
      <c r="N43" s="525" t="s">
        <v>1302</v>
      </c>
      <c r="O43" s="525" t="s">
        <v>614</v>
      </c>
      <c r="P43" s="525" t="s">
        <v>1303</v>
      </c>
      <c r="Q43" s="525" t="s">
        <v>1302</v>
      </c>
      <c r="R43" s="525" t="s">
        <v>614</v>
      </c>
      <c r="S43" s="525" t="s">
        <v>1303</v>
      </c>
      <c r="W43" s="330" t="s">
        <v>1548</v>
      </c>
      <c r="X43" s="330" t="s">
        <v>1301</v>
      </c>
      <c r="Y43" s="343" t="s">
        <v>614</v>
      </c>
      <c r="Z43" s="330" t="s">
        <v>1303</v>
      </c>
      <c r="AA43" s="343" t="s">
        <v>1302</v>
      </c>
      <c r="AB43" s="330" t="str">
        <f t="shared" si="9"/>
        <v>●</v>
      </c>
      <c r="AC43" s="330" t="str">
        <f t="shared" si="5"/>
        <v>●</v>
      </c>
      <c r="AD43" s="330" t="str">
        <f t="shared" si="6"/>
        <v>●</v>
      </c>
      <c r="AE43" s="330" t="str">
        <f t="shared" si="7"/>
        <v>●</v>
      </c>
      <c r="AF43" s="330" t="str">
        <f t="shared" si="8"/>
        <v>●</v>
      </c>
    </row>
    <row r="44" spans="1:32" ht="21.75" customHeight="1">
      <c r="A44" s="327"/>
      <c r="B44" s="505">
        <v>240</v>
      </c>
      <c r="C44" s="504" t="s">
        <v>1304</v>
      </c>
      <c r="D44" s="505">
        <v>240</v>
      </c>
      <c r="E44" s="541" t="s">
        <v>1305</v>
      </c>
      <c r="F44" s="506">
        <v>3220005</v>
      </c>
      <c r="G44" s="506" t="s">
        <v>727</v>
      </c>
      <c r="H44" s="506" t="s">
        <v>727</v>
      </c>
      <c r="I44" s="505" t="s">
        <v>1006</v>
      </c>
      <c r="J44" s="505" t="s">
        <v>1006</v>
      </c>
      <c r="K44" s="507"/>
      <c r="L44" s="508">
        <v>1033497</v>
      </c>
      <c r="M44" s="525" t="s">
        <v>615</v>
      </c>
      <c r="N44" s="525" t="s">
        <v>1052</v>
      </c>
      <c r="O44" s="525" t="s">
        <v>614</v>
      </c>
      <c r="P44" s="525" t="s">
        <v>616</v>
      </c>
      <c r="Q44" s="525" t="s">
        <v>1052</v>
      </c>
      <c r="R44" s="525" t="s">
        <v>614</v>
      </c>
      <c r="S44" s="525" t="s">
        <v>616</v>
      </c>
      <c r="W44" s="330" t="s">
        <v>1304</v>
      </c>
      <c r="X44" s="330" t="s">
        <v>615</v>
      </c>
      <c r="Y44" s="343" t="s">
        <v>614</v>
      </c>
      <c r="Z44" s="330" t="s">
        <v>616</v>
      </c>
      <c r="AA44" s="343" t="s">
        <v>1052</v>
      </c>
      <c r="AB44" s="330" t="str">
        <f t="shared" si="9"/>
        <v>●</v>
      </c>
      <c r="AC44" s="330" t="str">
        <f t="shared" si="5"/>
        <v>●</v>
      </c>
      <c r="AD44" s="330" t="str">
        <f t="shared" si="6"/>
        <v>●</v>
      </c>
      <c r="AE44" s="330" t="str">
        <f t="shared" si="7"/>
        <v>●</v>
      </c>
      <c r="AF44" s="330" t="str">
        <f t="shared" si="8"/>
        <v>●</v>
      </c>
    </row>
    <row r="45" spans="1:32" ht="21.75" customHeight="1">
      <c r="A45" s="327"/>
      <c r="B45" s="505">
        <v>241</v>
      </c>
      <c r="C45" s="504" t="s">
        <v>1306</v>
      </c>
      <c r="D45" s="505">
        <v>241</v>
      </c>
      <c r="E45" s="541" t="s">
        <v>1307</v>
      </c>
      <c r="F45" s="506">
        <v>3220006</v>
      </c>
      <c r="G45" s="506" t="s">
        <v>763</v>
      </c>
      <c r="H45" s="506" t="s">
        <v>763</v>
      </c>
      <c r="I45" s="505" t="s">
        <v>1006</v>
      </c>
      <c r="J45" s="505" t="s">
        <v>1006</v>
      </c>
      <c r="K45" s="507"/>
      <c r="L45" s="508">
        <v>1044800</v>
      </c>
      <c r="M45" s="525" t="s">
        <v>1053</v>
      </c>
      <c r="N45" s="525" t="s">
        <v>1308</v>
      </c>
      <c r="O45" s="525" t="s">
        <v>614</v>
      </c>
      <c r="P45" s="525" t="s">
        <v>1309</v>
      </c>
      <c r="Q45" s="525" t="s">
        <v>1308</v>
      </c>
      <c r="R45" s="525" t="s">
        <v>614</v>
      </c>
      <c r="S45" s="525" t="s">
        <v>1309</v>
      </c>
      <c r="W45" s="330" t="s">
        <v>1306</v>
      </c>
      <c r="X45" s="330" t="s">
        <v>1053</v>
      </c>
      <c r="Y45" s="343" t="s">
        <v>614</v>
      </c>
      <c r="Z45" s="330" t="s">
        <v>1309</v>
      </c>
      <c r="AA45" s="343" t="s">
        <v>1308</v>
      </c>
      <c r="AB45" s="330" t="str">
        <f t="shared" si="9"/>
        <v>●</v>
      </c>
      <c r="AC45" s="330" t="str">
        <f t="shared" si="5"/>
        <v>●</v>
      </c>
      <c r="AD45" s="330" t="str">
        <f t="shared" si="6"/>
        <v>●</v>
      </c>
      <c r="AE45" s="330" t="str">
        <f t="shared" si="7"/>
        <v>●</v>
      </c>
      <c r="AF45" s="330" t="str">
        <f t="shared" si="8"/>
        <v>●</v>
      </c>
    </row>
    <row r="46" spans="1:32" ht="21.75" customHeight="1">
      <c r="A46" s="327"/>
      <c r="B46" s="505">
        <v>242</v>
      </c>
      <c r="C46" s="504" t="s">
        <v>1519</v>
      </c>
      <c r="D46" s="505">
        <v>242</v>
      </c>
      <c r="E46" s="541">
        <v>3220008</v>
      </c>
      <c r="F46" s="506">
        <v>3220008</v>
      </c>
      <c r="G46" s="506" t="s">
        <v>1480</v>
      </c>
      <c r="H46" s="506" t="s">
        <v>1480</v>
      </c>
      <c r="I46" s="505" t="s">
        <v>1006</v>
      </c>
      <c r="J46" s="505" t="s">
        <v>1006</v>
      </c>
      <c r="K46" s="507"/>
      <c r="L46" s="508">
        <v>1039089</v>
      </c>
      <c r="M46" s="525" t="s">
        <v>1510</v>
      </c>
      <c r="N46" s="525" t="s">
        <v>1549</v>
      </c>
      <c r="O46" s="525" t="s">
        <v>614</v>
      </c>
      <c r="P46" s="525" t="s">
        <v>1511</v>
      </c>
      <c r="Q46" s="525" t="s">
        <v>1549</v>
      </c>
      <c r="R46" s="525" t="s">
        <v>614</v>
      </c>
      <c r="S46" s="525" t="s">
        <v>1511</v>
      </c>
      <c r="W46" s="330" t="s">
        <v>1519</v>
      </c>
      <c r="X46" s="330" t="s">
        <v>1510</v>
      </c>
      <c r="Y46" s="343" t="s">
        <v>614</v>
      </c>
      <c r="Z46" s="330" t="s">
        <v>1511</v>
      </c>
      <c r="AA46" s="343" t="s">
        <v>1549</v>
      </c>
      <c r="AB46" s="330" t="str">
        <f t="shared" si="9"/>
        <v>●</v>
      </c>
      <c r="AC46" s="330" t="str">
        <f t="shared" si="5"/>
        <v>●</v>
      </c>
      <c r="AD46" s="330" t="str">
        <f t="shared" si="6"/>
        <v>●</v>
      </c>
      <c r="AE46" s="330" t="str">
        <f t="shared" si="7"/>
        <v>●</v>
      </c>
      <c r="AF46" s="330" t="str">
        <f t="shared" si="8"/>
        <v>●</v>
      </c>
    </row>
    <row r="47" spans="1:32" ht="21.75" customHeight="1">
      <c r="A47" s="327"/>
      <c r="B47" s="505">
        <v>243</v>
      </c>
      <c r="C47" s="504" t="s">
        <v>1520</v>
      </c>
      <c r="D47" s="505">
        <v>243</v>
      </c>
      <c r="E47" s="541">
        <v>3220007</v>
      </c>
      <c r="F47" s="506">
        <v>3220007</v>
      </c>
      <c r="G47" s="506" t="s">
        <v>1481</v>
      </c>
      <c r="H47" s="506" t="s">
        <v>1481</v>
      </c>
      <c r="I47" s="505" t="s">
        <v>1006</v>
      </c>
      <c r="J47" s="505" t="s">
        <v>1006</v>
      </c>
      <c r="K47" s="507"/>
      <c r="L47" s="508">
        <v>1039089</v>
      </c>
      <c r="M47" s="525" t="s">
        <v>1510</v>
      </c>
      <c r="N47" s="525" t="s">
        <v>1549</v>
      </c>
      <c r="O47" s="525" t="s">
        <v>614</v>
      </c>
      <c r="P47" s="525" t="s">
        <v>1511</v>
      </c>
      <c r="Q47" s="525" t="s">
        <v>1549</v>
      </c>
      <c r="R47" s="525" t="s">
        <v>614</v>
      </c>
      <c r="S47" s="525" t="s">
        <v>1511</v>
      </c>
      <c r="W47" s="330" t="s">
        <v>1520</v>
      </c>
      <c r="X47" s="330" t="s">
        <v>1510</v>
      </c>
      <c r="Y47" s="343" t="s">
        <v>614</v>
      </c>
      <c r="Z47" s="330" t="s">
        <v>1511</v>
      </c>
      <c r="AA47" s="343" t="s">
        <v>1549</v>
      </c>
      <c r="AB47" s="330" t="str">
        <f t="shared" si="9"/>
        <v>●</v>
      </c>
      <c r="AC47" s="330" t="str">
        <f t="shared" si="5"/>
        <v>●</v>
      </c>
      <c r="AD47" s="330" t="str">
        <f t="shared" si="6"/>
        <v>●</v>
      </c>
      <c r="AE47" s="330" t="str">
        <f t="shared" si="7"/>
        <v>●</v>
      </c>
      <c r="AF47" s="330" t="str">
        <f t="shared" si="8"/>
        <v>●</v>
      </c>
    </row>
    <row r="48" spans="1:32" ht="21.75" customHeight="1">
      <c r="A48" s="327"/>
      <c r="B48" s="505">
        <v>244</v>
      </c>
      <c r="C48" s="504" t="s">
        <v>1666</v>
      </c>
      <c r="D48" s="505">
        <v>244</v>
      </c>
      <c r="E48" s="541">
        <v>3220009</v>
      </c>
      <c r="F48" s="506">
        <v>3220009</v>
      </c>
      <c r="G48" s="506" t="s">
        <v>1711</v>
      </c>
      <c r="H48" s="506" t="s">
        <v>1711</v>
      </c>
      <c r="I48" s="505" t="s">
        <v>1006</v>
      </c>
      <c r="J48" s="505" t="s">
        <v>1006</v>
      </c>
      <c r="K48" s="507"/>
      <c r="L48" s="508">
        <v>1079797</v>
      </c>
      <c r="M48" s="525" t="s">
        <v>1667</v>
      </c>
      <c r="N48" s="525" t="s">
        <v>1700</v>
      </c>
      <c r="O48" s="525" t="s">
        <v>614</v>
      </c>
      <c r="P48" s="525" t="s">
        <v>1668</v>
      </c>
      <c r="Q48" s="525" t="s">
        <v>1700</v>
      </c>
      <c r="R48" s="525" t="s">
        <v>614</v>
      </c>
      <c r="S48" s="525" t="s">
        <v>1668</v>
      </c>
      <c r="W48" s="330" t="s">
        <v>1666</v>
      </c>
      <c r="X48" s="330" t="s">
        <v>1667</v>
      </c>
      <c r="Y48" s="343" t="s">
        <v>614</v>
      </c>
      <c r="Z48" s="330" t="s">
        <v>1668</v>
      </c>
      <c r="AA48" s="343" t="s">
        <v>1700</v>
      </c>
      <c r="AB48" s="330" t="str">
        <f t="shared" si="9"/>
        <v>●</v>
      </c>
      <c r="AC48" s="330" t="str">
        <f t="shared" si="5"/>
        <v>●</v>
      </c>
      <c r="AD48" s="330" t="str">
        <f t="shared" si="6"/>
        <v>●</v>
      </c>
      <c r="AE48" s="330" t="str">
        <f t="shared" si="7"/>
        <v>●</v>
      </c>
      <c r="AF48" s="330" t="str">
        <f t="shared" si="8"/>
        <v>●</v>
      </c>
    </row>
    <row r="49" spans="1:53" ht="21.75" customHeight="1">
      <c r="A49" s="327"/>
      <c r="B49" s="505">
        <v>245</v>
      </c>
      <c r="C49" s="504" t="s">
        <v>1759</v>
      </c>
      <c r="D49" s="505">
        <v>245</v>
      </c>
      <c r="E49" s="541">
        <v>3220010</v>
      </c>
      <c r="F49" s="506">
        <v>3220010</v>
      </c>
      <c r="G49" s="506" t="s">
        <v>1712</v>
      </c>
      <c r="H49" s="506" t="s">
        <v>1712</v>
      </c>
      <c r="I49" s="505" t="s">
        <v>1006</v>
      </c>
      <c r="J49" s="505" t="s">
        <v>1006</v>
      </c>
      <c r="K49" s="507"/>
      <c r="L49" s="508">
        <v>1058489</v>
      </c>
      <c r="M49" s="525" t="s">
        <v>1670</v>
      </c>
      <c r="N49" s="525" t="s">
        <v>1701</v>
      </c>
      <c r="O49" s="525" t="s">
        <v>614</v>
      </c>
      <c r="P49" s="525" t="s">
        <v>1671</v>
      </c>
      <c r="Q49" s="525" t="s">
        <v>1701</v>
      </c>
      <c r="R49" s="525" t="s">
        <v>614</v>
      </c>
      <c r="S49" s="525" t="s">
        <v>1671</v>
      </c>
      <c r="W49" s="330" t="s">
        <v>1669</v>
      </c>
      <c r="X49" s="330" t="s">
        <v>1670</v>
      </c>
      <c r="Y49" s="343" t="s">
        <v>614</v>
      </c>
      <c r="Z49" s="330" t="s">
        <v>1671</v>
      </c>
      <c r="AA49" s="343" t="s">
        <v>1701</v>
      </c>
      <c r="AB49" s="330" t="str">
        <f t="shared" si="9"/>
        <v>●</v>
      </c>
      <c r="AC49" s="330" t="str">
        <f t="shared" si="5"/>
        <v>●</v>
      </c>
      <c r="AD49" s="330" t="str">
        <f t="shared" si="6"/>
        <v>●</v>
      </c>
      <c r="AE49" s="330" t="str">
        <f t="shared" si="7"/>
        <v>●</v>
      </c>
      <c r="AF49" s="330" t="str">
        <f t="shared" si="8"/>
        <v>●</v>
      </c>
    </row>
    <row r="50" spans="1:53" ht="21.75" customHeight="1">
      <c r="A50" s="327"/>
      <c r="B50" s="505">
        <v>246</v>
      </c>
      <c r="C50" s="504" t="s">
        <v>1672</v>
      </c>
      <c r="D50" s="505">
        <v>246</v>
      </c>
      <c r="E50" s="541">
        <v>3220011</v>
      </c>
      <c r="F50" s="506">
        <v>3220011</v>
      </c>
      <c r="G50" s="506" t="s">
        <v>1713</v>
      </c>
      <c r="H50" s="506" t="s">
        <v>1713</v>
      </c>
      <c r="I50" s="505" t="s">
        <v>1006</v>
      </c>
      <c r="J50" s="505" t="s">
        <v>1006</v>
      </c>
      <c r="K50" s="507"/>
      <c r="L50" s="508">
        <v>1004273</v>
      </c>
      <c r="M50" s="525" t="s">
        <v>1673</v>
      </c>
      <c r="N50" s="525" t="s">
        <v>1702</v>
      </c>
      <c r="O50" s="525" t="s">
        <v>614</v>
      </c>
      <c r="P50" s="525" t="s">
        <v>1674</v>
      </c>
      <c r="Q50" s="525" t="s">
        <v>1702</v>
      </c>
      <c r="R50" s="525" t="s">
        <v>614</v>
      </c>
      <c r="S50" s="525" t="s">
        <v>1674</v>
      </c>
      <c r="W50" s="330" t="s">
        <v>1672</v>
      </c>
      <c r="X50" s="330" t="s">
        <v>1673</v>
      </c>
      <c r="Y50" s="343" t="s">
        <v>614</v>
      </c>
      <c r="Z50" s="330" t="s">
        <v>1674</v>
      </c>
      <c r="AA50" s="343" t="s">
        <v>1702</v>
      </c>
      <c r="AB50" s="330" t="str">
        <f t="shared" si="9"/>
        <v>●</v>
      </c>
      <c r="AC50" s="330" t="str">
        <f t="shared" si="5"/>
        <v>●</v>
      </c>
      <c r="AD50" s="330" t="str">
        <f t="shared" si="6"/>
        <v>●</v>
      </c>
      <c r="AE50" s="330" t="str">
        <f t="shared" si="7"/>
        <v>●</v>
      </c>
      <c r="AF50" s="330" t="str">
        <f t="shared" si="8"/>
        <v>●</v>
      </c>
    </row>
    <row r="51" spans="1:53" ht="21.75" customHeight="1">
      <c r="A51" s="327"/>
      <c r="B51" s="505">
        <v>247</v>
      </c>
      <c r="C51" s="504" t="s">
        <v>1675</v>
      </c>
      <c r="D51" s="505">
        <v>247</v>
      </c>
      <c r="E51" s="541">
        <v>3220012</v>
      </c>
      <c r="F51" s="506">
        <v>3220012</v>
      </c>
      <c r="G51" s="506" t="s">
        <v>1714</v>
      </c>
      <c r="H51" s="506" t="s">
        <v>1714</v>
      </c>
      <c r="I51" s="505" t="s">
        <v>1006</v>
      </c>
      <c r="J51" s="505" t="s">
        <v>1006</v>
      </c>
      <c r="K51" s="507"/>
      <c r="L51" s="508">
        <v>1066666</v>
      </c>
      <c r="M51" s="525" t="s">
        <v>1676</v>
      </c>
      <c r="N51" s="525" t="s">
        <v>1703</v>
      </c>
      <c r="O51" s="525" t="s">
        <v>614</v>
      </c>
      <c r="P51" s="525" t="s">
        <v>1677</v>
      </c>
      <c r="Q51" s="525" t="s">
        <v>1703</v>
      </c>
      <c r="R51" s="525" t="s">
        <v>614</v>
      </c>
      <c r="S51" s="525" t="s">
        <v>1677</v>
      </c>
      <c r="W51" s="330" t="s">
        <v>1675</v>
      </c>
      <c r="X51" s="330" t="s">
        <v>1676</v>
      </c>
      <c r="Y51" s="343" t="s">
        <v>614</v>
      </c>
      <c r="Z51" s="330" t="s">
        <v>1677</v>
      </c>
      <c r="AA51" s="343" t="s">
        <v>1703</v>
      </c>
      <c r="AB51" s="330" t="str">
        <f t="shared" si="9"/>
        <v>●</v>
      </c>
      <c r="AC51" s="330" t="str">
        <f t="shared" si="5"/>
        <v>●</v>
      </c>
      <c r="AD51" s="330" t="str">
        <f t="shared" si="6"/>
        <v>●</v>
      </c>
      <c r="AE51" s="330" t="str">
        <f t="shared" si="7"/>
        <v>●</v>
      </c>
      <c r="AF51" s="330" t="str">
        <f t="shared" si="8"/>
        <v>●</v>
      </c>
    </row>
    <row r="52" spans="1:53" ht="21.75" customHeight="1">
      <c r="A52" s="327"/>
      <c r="B52" s="505">
        <v>248</v>
      </c>
      <c r="C52" s="504" t="s">
        <v>1678</v>
      </c>
      <c r="D52" s="505">
        <v>248</v>
      </c>
      <c r="E52" s="541">
        <v>3220013</v>
      </c>
      <c r="F52" s="506">
        <v>3220013</v>
      </c>
      <c r="G52" s="506" t="s">
        <v>1715</v>
      </c>
      <c r="H52" s="506" t="s">
        <v>1715</v>
      </c>
      <c r="I52" s="505" t="s">
        <v>1006</v>
      </c>
      <c r="J52" s="505" t="s">
        <v>1006</v>
      </c>
      <c r="K52" s="507"/>
      <c r="L52" s="508">
        <v>1051635</v>
      </c>
      <c r="M52" s="525" t="s">
        <v>1679</v>
      </c>
      <c r="N52" s="525" t="s">
        <v>1704</v>
      </c>
      <c r="O52" s="525" t="s">
        <v>614</v>
      </c>
      <c r="P52" s="525" t="s">
        <v>1680</v>
      </c>
      <c r="Q52" s="525" t="s">
        <v>1704</v>
      </c>
      <c r="R52" s="525" t="s">
        <v>614</v>
      </c>
      <c r="S52" s="525" t="s">
        <v>1680</v>
      </c>
      <c r="W52" s="330" t="s">
        <v>1678</v>
      </c>
      <c r="X52" s="330" t="s">
        <v>1679</v>
      </c>
      <c r="Y52" s="343" t="s">
        <v>614</v>
      </c>
      <c r="Z52" s="330" t="s">
        <v>1680</v>
      </c>
      <c r="AA52" s="343" t="s">
        <v>1704</v>
      </c>
      <c r="AB52" s="330" t="str">
        <f t="shared" si="9"/>
        <v>●</v>
      </c>
      <c r="AC52" s="330" t="str">
        <f t="shared" si="5"/>
        <v>●</v>
      </c>
      <c r="AD52" s="330" t="str">
        <f t="shared" si="6"/>
        <v>●</v>
      </c>
      <c r="AE52" s="330" t="str">
        <f t="shared" si="7"/>
        <v>●</v>
      </c>
      <c r="AF52" s="330" t="str">
        <f t="shared" si="8"/>
        <v>●</v>
      </c>
    </row>
    <row r="53" spans="1:53" ht="21.75" customHeight="1">
      <c r="A53" s="327"/>
      <c r="B53" s="505">
        <v>249</v>
      </c>
      <c r="C53" s="504" t="s">
        <v>1681</v>
      </c>
      <c r="D53" s="505">
        <v>249</v>
      </c>
      <c r="E53" s="541">
        <v>3220014</v>
      </c>
      <c r="F53" s="506">
        <v>3220014</v>
      </c>
      <c r="G53" s="506" t="s">
        <v>1716</v>
      </c>
      <c r="H53" s="506" t="s">
        <v>1716</v>
      </c>
      <c r="I53" s="505" t="s">
        <v>1006</v>
      </c>
      <c r="J53" s="505" t="s">
        <v>1006</v>
      </c>
      <c r="K53" s="507"/>
      <c r="L53" s="508">
        <v>1069852</v>
      </c>
      <c r="M53" s="525" t="s">
        <v>1722</v>
      </c>
      <c r="N53" s="525" t="s">
        <v>1705</v>
      </c>
      <c r="O53" s="525" t="s">
        <v>1683</v>
      </c>
      <c r="P53" s="525" t="s">
        <v>1684</v>
      </c>
      <c r="Q53" s="525" t="s">
        <v>1705</v>
      </c>
      <c r="R53" s="525" t="s">
        <v>1722</v>
      </c>
      <c r="S53" s="525" t="s">
        <v>1684</v>
      </c>
      <c r="W53" s="330" t="s">
        <v>1681</v>
      </c>
      <c r="X53" s="330" t="s">
        <v>1682</v>
      </c>
      <c r="Y53" s="343" t="s">
        <v>1683</v>
      </c>
      <c r="Z53" s="330" t="s">
        <v>1684</v>
      </c>
      <c r="AA53" s="343" t="s">
        <v>1705</v>
      </c>
      <c r="AB53" s="330" t="str">
        <f t="shared" si="9"/>
        <v>●</v>
      </c>
      <c r="AC53" s="330" t="str">
        <f t="shared" si="5"/>
        <v>✕</v>
      </c>
      <c r="AD53" s="330" t="str">
        <f t="shared" si="6"/>
        <v>●</v>
      </c>
      <c r="AE53" s="330" t="str">
        <f t="shared" si="7"/>
        <v>●</v>
      </c>
      <c r="AF53" s="330" t="str">
        <f t="shared" si="8"/>
        <v>●</v>
      </c>
    </row>
    <row r="54" spans="1:53" ht="21.75" customHeight="1">
      <c r="A54" s="327"/>
      <c r="B54" s="505">
        <v>250</v>
      </c>
      <c r="C54" s="504" t="s">
        <v>1685</v>
      </c>
      <c r="D54" s="505">
        <v>250</v>
      </c>
      <c r="E54" s="541">
        <v>3220015</v>
      </c>
      <c r="F54" s="506">
        <v>3220015</v>
      </c>
      <c r="G54" s="506" t="s">
        <v>1717</v>
      </c>
      <c r="H54" s="506" t="s">
        <v>1717</v>
      </c>
      <c r="I54" s="505" t="s">
        <v>1006</v>
      </c>
      <c r="J54" s="505" t="s">
        <v>1006</v>
      </c>
      <c r="K54" s="507"/>
      <c r="L54" s="508">
        <v>1058488</v>
      </c>
      <c r="M54" s="525" t="s">
        <v>1686</v>
      </c>
      <c r="N54" s="525" t="s">
        <v>1706</v>
      </c>
      <c r="O54" s="525" t="s">
        <v>614</v>
      </c>
      <c r="P54" s="525" t="s">
        <v>1687</v>
      </c>
      <c r="Q54" s="525" t="s">
        <v>1706</v>
      </c>
      <c r="R54" s="525" t="s">
        <v>614</v>
      </c>
      <c r="S54" s="525" t="s">
        <v>1687</v>
      </c>
      <c r="W54" s="330" t="s">
        <v>1685</v>
      </c>
      <c r="X54" s="330" t="s">
        <v>1686</v>
      </c>
      <c r="Y54" s="343" t="s">
        <v>614</v>
      </c>
      <c r="Z54" s="330" t="s">
        <v>1687</v>
      </c>
      <c r="AA54" s="343" t="s">
        <v>1706</v>
      </c>
      <c r="AB54" s="330" t="str">
        <f t="shared" si="9"/>
        <v>●</v>
      </c>
      <c r="AC54" s="330" t="str">
        <f t="shared" si="5"/>
        <v>●</v>
      </c>
      <c r="AD54" s="330" t="str">
        <f t="shared" si="6"/>
        <v>●</v>
      </c>
      <c r="AE54" s="330" t="str">
        <f t="shared" si="7"/>
        <v>●</v>
      </c>
      <c r="AF54" s="330" t="str">
        <f t="shared" si="8"/>
        <v>●</v>
      </c>
    </row>
    <row r="55" spans="1:53" ht="21.75" customHeight="1">
      <c r="A55" s="327"/>
      <c r="B55" s="505">
        <v>251</v>
      </c>
      <c r="C55" s="629" t="s">
        <v>1761</v>
      </c>
      <c r="D55" s="505">
        <v>251</v>
      </c>
      <c r="E55" s="541">
        <v>3220016</v>
      </c>
      <c r="F55" s="506">
        <v>3220016</v>
      </c>
      <c r="G55" s="506" t="s">
        <v>1718</v>
      </c>
      <c r="H55" s="506" t="s">
        <v>1718</v>
      </c>
      <c r="I55" s="505" t="s">
        <v>1006</v>
      </c>
      <c r="J55" s="505" t="s">
        <v>1006</v>
      </c>
      <c r="K55" s="507"/>
      <c r="L55" s="508">
        <v>1003081</v>
      </c>
      <c r="M55" s="525" t="s">
        <v>1689</v>
      </c>
      <c r="N55" s="525" t="s">
        <v>1707</v>
      </c>
      <c r="O55" s="525" t="s">
        <v>614</v>
      </c>
      <c r="P55" s="525" t="s">
        <v>1690</v>
      </c>
      <c r="Q55" s="525" t="s">
        <v>1707</v>
      </c>
      <c r="R55" s="525" t="s">
        <v>614</v>
      </c>
      <c r="S55" s="525" t="s">
        <v>1690</v>
      </c>
      <c r="W55" s="330" t="s">
        <v>1688</v>
      </c>
      <c r="X55" s="330" t="s">
        <v>1689</v>
      </c>
      <c r="Y55" s="343" t="s">
        <v>614</v>
      </c>
      <c r="Z55" s="330" t="s">
        <v>1690</v>
      </c>
      <c r="AA55" s="343" t="s">
        <v>1707</v>
      </c>
      <c r="AB55" s="330" t="str">
        <f t="shared" si="9"/>
        <v>●</v>
      </c>
      <c r="AC55" s="330" t="str">
        <f t="shared" si="5"/>
        <v>●</v>
      </c>
      <c r="AD55" s="330" t="str">
        <f t="shared" si="6"/>
        <v>●</v>
      </c>
      <c r="AE55" s="330" t="str">
        <f t="shared" si="7"/>
        <v>●</v>
      </c>
      <c r="AF55" s="330" t="str">
        <f t="shared" si="8"/>
        <v>●</v>
      </c>
    </row>
    <row r="56" spans="1:53" ht="21.75" customHeight="1">
      <c r="A56" s="327"/>
      <c r="B56" s="505">
        <v>252</v>
      </c>
      <c r="C56" s="504" t="s">
        <v>1691</v>
      </c>
      <c r="D56" s="505">
        <v>252</v>
      </c>
      <c r="E56" s="541">
        <v>3220017</v>
      </c>
      <c r="F56" s="506">
        <v>3220017</v>
      </c>
      <c r="G56" s="506" t="s">
        <v>1719</v>
      </c>
      <c r="H56" s="506" t="s">
        <v>1719</v>
      </c>
      <c r="I56" s="505" t="s">
        <v>1006</v>
      </c>
      <c r="J56" s="505" t="s">
        <v>1006</v>
      </c>
      <c r="K56" s="507"/>
      <c r="L56" s="508">
        <v>1080053</v>
      </c>
      <c r="M56" s="525" t="s">
        <v>1692</v>
      </c>
      <c r="N56" s="525" t="s">
        <v>1708</v>
      </c>
      <c r="O56" s="525" t="s">
        <v>614</v>
      </c>
      <c r="P56" s="525" t="s">
        <v>1693</v>
      </c>
      <c r="Q56" s="525" t="s">
        <v>1708</v>
      </c>
      <c r="R56" s="525" t="s">
        <v>614</v>
      </c>
      <c r="S56" s="525" t="s">
        <v>1693</v>
      </c>
      <c r="W56" s="330" t="s">
        <v>1691</v>
      </c>
      <c r="X56" s="330" t="s">
        <v>1692</v>
      </c>
      <c r="Y56" s="343" t="s">
        <v>614</v>
      </c>
      <c r="Z56" s="330" t="s">
        <v>1693</v>
      </c>
      <c r="AA56" s="343" t="s">
        <v>1708</v>
      </c>
      <c r="AB56" s="330" t="str">
        <f t="shared" si="9"/>
        <v>●</v>
      </c>
      <c r="AC56" s="330" t="str">
        <f t="shared" si="5"/>
        <v>●</v>
      </c>
      <c r="AD56" s="330" t="str">
        <f t="shared" si="6"/>
        <v>●</v>
      </c>
      <c r="AE56" s="330" t="str">
        <f t="shared" si="7"/>
        <v>●</v>
      </c>
      <c r="AF56" s="330" t="str">
        <f t="shared" si="8"/>
        <v>●</v>
      </c>
    </row>
    <row r="57" spans="1:53" ht="21.75" customHeight="1">
      <c r="A57" s="327"/>
      <c r="B57" s="505">
        <v>253</v>
      </c>
      <c r="C57" s="504" t="s">
        <v>1694</v>
      </c>
      <c r="D57" s="505">
        <v>253</v>
      </c>
      <c r="E57" s="541">
        <v>3220018</v>
      </c>
      <c r="F57" s="506">
        <v>3220018</v>
      </c>
      <c r="G57" s="506" t="s">
        <v>1720</v>
      </c>
      <c r="H57" s="506" t="s">
        <v>1720</v>
      </c>
      <c r="I57" s="505" t="s">
        <v>1006</v>
      </c>
      <c r="J57" s="505" t="s">
        <v>1006</v>
      </c>
      <c r="K57" s="507"/>
      <c r="L57" s="508">
        <v>1080057</v>
      </c>
      <c r="M57" s="525" t="s">
        <v>1695</v>
      </c>
      <c r="N57" s="525" t="s">
        <v>1709</v>
      </c>
      <c r="O57" s="525" t="s">
        <v>614</v>
      </c>
      <c r="P57" s="525" t="s">
        <v>1696</v>
      </c>
      <c r="Q57" s="525" t="s">
        <v>1709</v>
      </c>
      <c r="R57" s="525" t="s">
        <v>614</v>
      </c>
      <c r="S57" s="525" t="s">
        <v>1696</v>
      </c>
      <c r="W57" s="330" t="s">
        <v>1694</v>
      </c>
      <c r="X57" s="330" t="s">
        <v>1695</v>
      </c>
      <c r="Y57" s="343" t="s">
        <v>614</v>
      </c>
      <c r="Z57" s="330" t="s">
        <v>1696</v>
      </c>
      <c r="AA57" s="343" t="s">
        <v>1709</v>
      </c>
      <c r="AB57" s="330" t="str">
        <f t="shared" si="9"/>
        <v>●</v>
      </c>
      <c r="AC57" s="330" t="str">
        <f t="shared" si="5"/>
        <v>●</v>
      </c>
      <c r="AD57" s="330" t="str">
        <f t="shared" si="6"/>
        <v>●</v>
      </c>
      <c r="AE57" s="330" t="str">
        <f t="shared" si="7"/>
        <v>●</v>
      </c>
      <c r="AF57" s="330" t="str">
        <f t="shared" si="8"/>
        <v>●</v>
      </c>
    </row>
    <row r="58" spans="1:53" ht="21.75" customHeight="1">
      <c r="A58" s="327"/>
      <c r="B58" s="505">
        <v>254</v>
      </c>
      <c r="C58" s="504" t="s">
        <v>1697</v>
      </c>
      <c r="D58" s="505">
        <v>254</v>
      </c>
      <c r="E58" s="541">
        <v>3220019</v>
      </c>
      <c r="F58" s="506">
        <v>3220019</v>
      </c>
      <c r="G58" s="506" t="s">
        <v>1721</v>
      </c>
      <c r="H58" s="506" t="s">
        <v>1721</v>
      </c>
      <c r="I58" s="505" t="s">
        <v>1006</v>
      </c>
      <c r="J58" s="505" t="s">
        <v>1006</v>
      </c>
      <c r="K58" s="507"/>
      <c r="L58" s="508">
        <v>1059472</v>
      </c>
      <c r="M58" s="525" t="s">
        <v>1698</v>
      </c>
      <c r="N58" s="525" t="s">
        <v>1710</v>
      </c>
      <c r="O58" s="525" t="s">
        <v>614</v>
      </c>
      <c r="P58" s="525" t="s">
        <v>1699</v>
      </c>
      <c r="Q58" s="525" t="s">
        <v>1710</v>
      </c>
      <c r="R58" s="525" t="s">
        <v>614</v>
      </c>
      <c r="S58" s="525" t="s">
        <v>1699</v>
      </c>
      <c r="W58" s="330" t="s">
        <v>1697</v>
      </c>
      <c r="X58" s="330" t="s">
        <v>1698</v>
      </c>
      <c r="Y58" s="343" t="s">
        <v>614</v>
      </c>
      <c r="Z58" s="330" t="s">
        <v>1699</v>
      </c>
      <c r="AA58" s="343" t="s">
        <v>1710</v>
      </c>
      <c r="AB58" s="330" t="str">
        <f t="shared" si="9"/>
        <v>●</v>
      </c>
      <c r="AC58" s="330" t="str">
        <f t="shared" si="5"/>
        <v>●</v>
      </c>
      <c r="AD58" s="330" t="str">
        <f t="shared" si="6"/>
        <v>●</v>
      </c>
      <c r="AE58" s="330" t="str">
        <f t="shared" si="7"/>
        <v>●</v>
      </c>
      <c r="AF58" s="330" t="str">
        <f t="shared" si="8"/>
        <v>●</v>
      </c>
    </row>
    <row r="59" spans="1:53" ht="33.75" customHeight="1">
      <c r="A59" s="534" t="s">
        <v>1478</v>
      </c>
      <c r="B59" s="535"/>
      <c r="C59" s="536"/>
      <c r="D59" s="537"/>
      <c r="E59" s="535"/>
      <c r="F59" s="535"/>
      <c r="G59" s="535"/>
      <c r="H59" s="535"/>
      <c r="I59" s="535"/>
      <c r="J59" s="535"/>
      <c r="K59" s="535"/>
      <c r="L59" s="535"/>
      <c r="M59" s="535"/>
      <c r="N59" s="535"/>
      <c r="O59" s="535"/>
      <c r="P59" s="535"/>
      <c r="Q59" s="535"/>
      <c r="R59" s="535"/>
      <c r="S59" s="535"/>
      <c r="T59" s="535"/>
      <c r="U59" s="535"/>
      <c r="V59" s="535"/>
      <c r="W59" s="538"/>
      <c r="X59" s="539"/>
      <c r="Y59" s="538"/>
      <c r="Z59" s="539"/>
      <c r="AA59" s="539"/>
      <c r="AB59" s="539"/>
      <c r="AC59" s="539"/>
      <c r="AD59" s="539"/>
      <c r="AE59" s="535"/>
      <c r="AF59" s="535"/>
      <c r="AG59" s="535"/>
      <c r="AH59" s="537"/>
      <c r="AI59" s="537"/>
      <c r="AJ59" s="537"/>
      <c r="AK59" s="540"/>
      <c r="AL59" s="540"/>
      <c r="AM59" s="540"/>
      <c r="AN59" s="540"/>
      <c r="AO59" s="540"/>
      <c r="AP59" s="173"/>
      <c r="AQ59" s="173"/>
      <c r="AR59" s="173"/>
      <c r="AS59" s="173"/>
      <c r="AT59" s="173"/>
      <c r="AU59" s="173"/>
      <c r="AV59" s="173"/>
      <c r="AW59" s="173"/>
      <c r="AX59" s="173"/>
      <c r="AY59" s="173"/>
      <c r="AZ59" s="173"/>
      <c r="BA59" s="173"/>
    </row>
  </sheetData>
  <sheetProtection selectLockedCells="1" selectUnlockedCells="1"/>
  <autoFilter ref="A4:WUV59" xr:uid="{B0774C8D-394E-4921-8D10-C1C9D10551E1}"/>
  <phoneticPr fontId="1"/>
  <printOptions horizontalCentered="1"/>
  <pageMargins left="0" right="0" top="0.39370078740157483" bottom="0.39370078740157483" header="0.31496062992125984" footer="0.31496062992125984"/>
  <pageSetup paperSize="9" scale="68"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3DE8-3A64-4FEE-87DB-5C8115084A21}">
  <sheetPr>
    <tabColor rgb="FFFFFF00"/>
  </sheetPr>
  <dimension ref="A1:P39"/>
  <sheetViews>
    <sheetView view="pageBreakPreview" zoomScale="85" zoomScaleNormal="100" zoomScaleSheetLayoutView="85" workbookViewId="0">
      <selection activeCell="J13" sqref="J13:L13"/>
    </sheetView>
  </sheetViews>
  <sheetFormatPr defaultColWidth="9" defaultRowHeight="13"/>
  <cols>
    <col min="1" max="1" width="5.08203125" style="178" customWidth="1"/>
    <col min="2" max="2" width="14.33203125" style="178" customWidth="1"/>
    <col min="3" max="5" width="4.08203125" style="178" customWidth="1"/>
    <col min="6" max="7" width="4.75" style="178" customWidth="1"/>
    <col min="8" max="8" width="3.75" style="178" customWidth="1"/>
    <col min="9" max="9" width="9.33203125" style="178" customWidth="1"/>
    <col min="10" max="10" width="8.75" style="178" customWidth="1"/>
    <col min="11" max="11" width="17.5" style="178" customWidth="1"/>
    <col min="12" max="12" width="5.83203125" style="178" customWidth="1"/>
    <col min="13" max="13" width="5.75" style="178" customWidth="1"/>
    <col min="14" max="14" width="9.83203125" style="178" bestFit="1" customWidth="1"/>
    <col min="15" max="16384" width="9" style="178"/>
  </cols>
  <sheetData>
    <row r="1" spans="1:14" ht="23" customHeight="1">
      <c r="A1" s="201" t="s">
        <v>837</v>
      </c>
      <c r="B1" s="201"/>
      <c r="C1" s="201"/>
      <c r="D1" s="201"/>
      <c r="E1" s="201"/>
      <c r="F1" s="201"/>
      <c r="G1" s="201"/>
      <c r="H1" s="201"/>
      <c r="I1" s="201"/>
      <c r="J1" s="201"/>
      <c r="K1" s="201"/>
      <c r="L1" s="201" t="e">
        <f>様式４!H1</f>
        <v>#N/A</v>
      </c>
      <c r="M1" s="201" t="e">
        <f>①基本情報!Q5</f>
        <v>#N/A</v>
      </c>
      <c r="N1" s="201"/>
    </row>
    <row r="2" spans="1:14" ht="23.15" customHeight="1">
      <c r="A2" s="201"/>
      <c r="B2" s="201"/>
      <c r="C2" s="201"/>
      <c r="D2" s="201"/>
      <c r="E2" s="201"/>
      <c r="F2" s="201"/>
      <c r="G2" s="201"/>
      <c r="H2" s="201"/>
      <c r="I2" s="201"/>
      <c r="J2" s="201"/>
      <c r="K2" s="202">
        <v>45748</v>
      </c>
      <c r="L2" s="201"/>
      <c r="M2" s="201"/>
      <c r="N2" s="37"/>
    </row>
    <row r="3" spans="1:14" ht="11" customHeight="1">
      <c r="A3" s="201"/>
      <c r="B3" s="201"/>
      <c r="C3" s="201"/>
      <c r="D3" s="201"/>
      <c r="E3" s="201"/>
      <c r="F3" s="201"/>
      <c r="G3" s="201"/>
      <c r="H3" s="201"/>
      <c r="I3" s="201"/>
      <c r="J3" s="201"/>
      <c r="K3" s="201"/>
      <c r="L3" s="201"/>
      <c r="M3" s="201"/>
      <c r="N3" s="37"/>
    </row>
    <row r="4" spans="1:14" ht="39.5" customHeight="1">
      <c r="A4" s="886" t="s">
        <v>838</v>
      </c>
      <c r="B4" s="886"/>
      <c r="C4" s="886"/>
      <c r="D4" s="886"/>
      <c r="E4" s="886"/>
      <c r="F4" s="886"/>
      <c r="G4" s="886"/>
      <c r="H4" s="886"/>
      <c r="I4" s="886"/>
      <c r="J4" s="886"/>
      <c r="K4" s="886"/>
      <c r="L4" s="886"/>
      <c r="M4" s="201"/>
      <c r="N4" s="37"/>
    </row>
    <row r="5" spans="1:14" ht="39.5" customHeight="1">
      <c r="A5" s="886" t="s">
        <v>839</v>
      </c>
      <c r="B5" s="886"/>
      <c r="C5" s="886"/>
      <c r="D5" s="886"/>
      <c r="E5" s="886"/>
      <c r="F5" s="887"/>
      <c r="G5" s="887"/>
      <c r="H5" s="887"/>
      <c r="I5" s="887"/>
      <c r="J5" s="887"/>
      <c r="K5" s="887"/>
      <c r="L5" s="887"/>
      <c r="M5" s="201"/>
      <c r="N5" s="37"/>
    </row>
    <row r="6" spans="1:14" ht="6.5" customHeight="1">
      <c r="A6" s="201"/>
      <c r="B6" s="201"/>
      <c r="C6" s="201"/>
      <c r="D6" s="201"/>
      <c r="E6" s="201"/>
      <c r="F6" s="201"/>
      <c r="G6" s="201"/>
      <c r="H6" s="201"/>
      <c r="I6" s="201"/>
      <c r="J6" s="201"/>
      <c r="K6" s="201"/>
      <c r="L6" s="201"/>
      <c r="M6" s="201"/>
      <c r="N6" s="37"/>
    </row>
    <row r="7" spans="1:14" ht="23" customHeight="1">
      <c r="A7" s="201"/>
      <c r="B7" s="201" t="s">
        <v>840</v>
      </c>
      <c r="C7" s="201"/>
      <c r="D7" s="201"/>
      <c r="E7" s="201"/>
      <c r="F7" s="201"/>
      <c r="G7" s="201"/>
      <c r="H7" s="201"/>
      <c r="I7" s="201"/>
      <c r="J7" s="888" t="e">
        <f>様式４!F7</f>
        <v>#N/A</v>
      </c>
      <c r="K7" s="888"/>
      <c r="L7" s="888"/>
      <c r="M7" s="201"/>
    </row>
    <row r="8" spans="1:14" ht="16" customHeight="1">
      <c r="A8" s="201"/>
      <c r="B8" s="201"/>
      <c r="C8" s="201"/>
      <c r="D8" s="201"/>
      <c r="E8" s="201"/>
      <c r="F8" s="201"/>
      <c r="G8" s="201"/>
      <c r="H8" s="201"/>
      <c r="I8" s="201"/>
      <c r="J8" s="889"/>
      <c r="K8" s="889"/>
      <c r="L8" s="889"/>
      <c r="M8" s="201"/>
    </row>
    <row r="9" spans="1:14" ht="36" customHeight="1">
      <c r="A9" s="201"/>
      <c r="B9" s="201"/>
      <c r="C9" s="201"/>
      <c r="D9" s="201"/>
      <c r="E9" s="201"/>
      <c r="F9" s="201"/>
      <c r="G9" s="201"/>
      <c r="H9" s="890" t="s">
        <v>841</v>
      </c>
      <c r="I9" s="890"/>
      <c r="J9" s="889"/>
      <c r="K9" s="889"/>
      <c r="L9" s="889"/>
      <c r="M9" s="201" t="e">
        <f>VLOOKUP($M$1,補助金用基本データ!$D$5:$T$58,11)</f>
        <v>#N/A</v>
      </c>
      <c r="N9" s="178" t="e">
        <f>IF(J7=M9,0,1)</f>
        <v>#N/A</v>
      </c>
    </row>
    <row r="10" spans="1:14" ht="22" customHeight="1">
      <c r="A10" s="201"/>
      <c r="B10" s="201"/>
      <c r="C10" s="201"/>
      <c r="D10" s="201"/>
      <c r="E10" s="201"/>
      <c r="F10" s="201"/>
      <c r="G10" s="201"/>
      <c r="H10" s="891" t="s">
        <v>296</v>
      </c>
      <c r="I10" s="891"/>
      <c r="J10" s="892" t="e">
        <f>様式４!F10</f>
        <v>#N/A</v>
      </c>
      <c r="K10" s="893"/>
      <c r="L10" s="893"/>
      <c r="M10" s="201" t="e">
        <f>VLOOKUP($M$1,補助金用基本データ!$D$5:$T$58,10)</f>
        <v>#N/A</v>
      </c>
      <c r="N10" s="178" t="e">
        <f>IF(J10=M10,0,1)</f>
        <v>#N/A</v>
      </c>
    </row>
    <row r="11" spans="1:14" ht="22" customHeight="1">
      <c r="A11" s="201"/>
      <c r="B11" s="201"/>
      <c r="C11" s="201"/>
      <c r="D11" s="201"/>
      <c r="E11" s="201"/>
      <c r="F11" s="201"/>
      <c r="G11" s="201"/>
      <c r="H11" s="891" t="s">
        <v>297</v>
      </c>
      <c r="I11" s="891"/>
      <c r="J11" s="893" t="e">
        <f>様式４!F11</f>
        <v>#N/A</v>
      </c>
      <c r="K11" s="893"/>
      <c r="L11" s="893"/>
      <c r="M11" s="201" t="e">
        <f>VLOOKUP($M$1,補助金用基本データ!$D$5:$T$58,12)&amp;"　"&amp;VLOOKUP($M$1,補助金用基本データ!$D$5:$T$58,13)</f>
        <v>#N/A</v>
      </c>
      <c r="N11" s="178" t="e">
        <f t="shared" ref="N11:N12" si="0">IF(J11=M11,0,1)</f>
        <v>#N/A</v>
      </c>
    </row>
    <row r="12" spans="1:14" ht="22" customHeight="1">
      <c r="A12" s="201"/>
      <c r="B12" s="201"/>
      <c r="C12" s="201"/>
      <c r="D12" s="201"/>
      <c r="E12" s="201"/>
      <c r="F12" s="201"/>
      <c r="G12" s="201"/>
      <c r="H12" s="896" t="s">
        <v>843</v>
      </c>
      <c r="I12" s="896"/>
      <c r="J12" s="893" t="e">
        <f>様式４!F12</f>
        <v>#N/A</v>
      </c>
      <c r="K12" s="893"/>
      <c r="L12" s="893"/>
      <c r="M12" s="201">
        <f>IF('②-1職員名簿'!U3="","",'②-1職員名簿'!U3)</f>
        <v>0</v>
      </c>
      <c r="N12" s="178" t="e">
        <f t="shared" si="0"/>
        <v>#N/A</v>
      </c>
    </row>
    <row r="13" spans="1:14" ht="22" customHeight="1">
      <c r="A13" s="201"/>
      <c r="B13" s="201"/>
      <c r="C13" s="201"/>
      <c r="D13" s="201"/>
      <c r="E13" s="201"/>
      <c r="F13" s="930" t="s">
        <v>1751</v>
      </c>
      <c r="G13" s="930"/>
      <c r="H13" s="930"/>
      <c r="I13" s="930"/>
      <c r="J13" s="893">
        <f>①基本情報!M4</f>
        <v>0</v>
      </c>
      <c r="K13" s="893"/>
      <c r="L13" s="893"/>
      <c r="M13" s="201"/>
    </row>
    <row r="14" spans="1:14" ht="9.5" customHeight="1">
      <c r="A14" s="201"/>
      <c r="B14" s="201"/>
      <c r="C14" s="201"/>
      <c r="D14" s="201"/>
      <c r="E14" s="201"/>
      <c r="F14" s="201"/>
      <c r="G14" s="201"/>
      <c r="H14" s="201"/>
      <c r="I14" s="201"/>
      <c r="J14" s="201"/>
      <c r="K14" s="201"/>
      <c r="L14" s="201"/>
      <c r="M14" s="201"/>
      <c r="N14" s="37"/>
    </row>
    <row r="15" spans="1:14" ht="23" customHeight="1">
      <c r="B15" s="897" t="s">
        <v>1762</v>
      </c>
      <c r="C15" s="897"/>
      <c r="D15" s="897"/>
      <c r="E15" s="897"/>
      <c r="F15" s="897"/>
      <c r="G15" s="897"/>
      <c r="H15" s="897"/>
      <c r="I15" s="897"/>
      <c r="J15" s="897"/>
      <c r="K15" s="897"/>
      <c r="L15" s="897"/>
      <c r="M15" s="201"/>
      <c r="N15" s="37"/>
    </row>
    <row r="16" spans="1:14" ht="23.15" customHeight="1">
      <c r="A16" s="444"/>
      <c r="B16" s="897"/>
      <c r="C16" s="897"/>
      <c r="D16" s="897"/>
      <c r="E16" s="897"/>
      <c r="F16" s="897"/>
      <c r="G16" s="897"/>
      <c r="H16" s="897"/>
      <c r="I16" s="897"/>
      <c r="J16" s="897"/>
      <c r="K16" s="897"/>
      <c r="L16" s="897"/>
      <c r="M16" s="201"/>
      <c r="N16" s="37"/>
    </row>
    <row r="17" spans="1:16" ht="23.15" customHeight="1">
      <c r="A17" s="201"/>
      <c r="B17" s="897"/>
      <c r="C17" s="897"/>
      <c r="D17" s="897"/>
      <c r="E17" s="897"/>
      <c r="F17" s="897"/>
      <c r="G17" s="897"/>
      <c r="H17" s="897"/>
      <c r="I17" s="897"/>
      <c r="J17" s="897"/>
      <c r="K17" s="897"/>
      <c r="L17" s="897"/>
      <c r="M17" s="201"/>
      <c r="N17" s="37"/>
    </row>
    <row r="18" spans="1:16" ht="23.15" customHeight="1">
      <c r="A18" s="201" t="s">
        <v>844</v>
      </c>
      <c r="B18" s="201"/>
      <c r="C18" s="201"/>
      <c r="D18" s="201"/>
      <c r="E18" s="201"/>
      <c r="F18" s="201"/>
      <c r="G18" s="898">
        <f>J30</f>
        <v>0</v>
      </c>
      <c r="H18" s="899"/>
      <c r="I18" s="899"/>
      <c r="J18" s="899"/>
      <c r="K18" s="203" t="s">
        <v>290</v>
      </c>
      <c r="L18" s="201"/>
      <c r="M18" s="201"/>
      <c r="N18" s="37"/>
    </row>
    <row r="19" spans="1:16" ht="15" customHeight="1" thickBot="1">
      <c r="A19" s="201"/>
      <c r="B19" s="201"/>
      <c r="C19" s="201"/>
      <c r="D19" s="201"/>
      <c r="E19" s="201"/>
      <c r="F19" s="201"/>
      <c r="G19" s="201"/>
      <c r="H19" s="201"/>
      <c r="I19" s="201"/>
      <c r="J19" s="201"/>
      <c r="K19" s="201"/>
      <c r="L19" s="201"/>
      <c r="M19" s="201"/>
      <c r="N19" s="37"/>
    </row>
    <row r="20" spans="1:16" ht="18.75" customHeight="1">
      <c r="A20" s="201"/>
      <c r="B20" s="900" t="s">
        <v>865</v>
      </c>
      <c r="C20" s="902" t="s">
        <v>845</v>
      </c>
      <c r="D20" s="903"/>
      <c r="E20" s="903"/>
      <c r="F20" s="903"/>
      <c r="G20" s="903"/>
      <c r="H20" s="903"/>
      <c r="I20" s="903"/>
      <c r="J20" s="903"/>
      <c r="K20" s="903"/>
      <c r="L20" s="904"/>
      <c r="M20" s="201"/>
      <c r="N20" s="37"/>
    </row>
    <row r="21" spans="1:16" ht="18.75" customHeight="1">
      <c r="A21" s="201"/>
      <c r="B21" s="901"/>
      <c r="C21" s="905"/>
      <c r="D21" s="906"/>
      <c r="E21" s="906"/>
      <c r="F21" s="906"/>
      <c r="G21" s="906"/>
      <c r="H21" s="906"/>
      <c r="I21" s="906"/>
      <c r="J21" s="906"/>
      <c r="K21" s="906"/>
      <c r="L21" s="907"/>
      <c r="M21" s="201"/>
      <c r="N21" s="37"/>
    </row>
    <row r="22" spans="1:16" ht="21.75" customHeight="1">
      <c r="A22" s="201"/>
      <c r="B22" s="204"/>
      <c r="C22" s="205">
        <v>1</v>
      </c>
      <c r="D22" s="206" t="s">
        <v>988</v>
      </c>
      <c r="E22" s="206"/>
      <c r="F22" s="206"/>
      <c r="G22" s="206"/>
      <c r="H22" s="206"/>
      <c r="I22" s="207"/>
      <c r="J22" s="894">
        <f>IFERROR(MIN(ROUNDDOWN(N22*12,-3),O22),0)</f>
        <v>0</v>
      </c>
      <c r="K22" s="895"/>
      <c r="L22" s="208" t="s">
        <v>846</v>
      </c>
      <c r="M22" s="201"/>
      <c r="N22" s="55">
        <f>SUM(⑤基本加算１!K6:K7)</f>
        <v>0</v>
      </c>
      <c r="O22" s="178">
        <v>2590000</v>
      </c>
      <c r="P22" s="178">
        <v>1</v>
      </c>
    </row>
    <row r="23" spans="1:16" ht="21.75" customHeight="1">
      <c r="A23" s="201"/>
      <c r="B23" s="204"/>
      <c r="C23" s="205">
        <v>2</v>
      </c>
      <c r="D23" s="206" t="s">
        <v>989</v>
      </c>
      <c r="E23" s="206"/>
      <c r="F23" s="206"/>
      <c r="G23" s="206"/>
      <c r="H23" s="206"/>
      <c r="I23" s="207"/>
      <c r="J23" s="894">
        <f t="shared" ref="J23:J28" si="1">IFERROR(MIN(ROUNDDOWN(N23*12,-3),O23),0)</f>
        <v>0</v>
      </c>
      <c r="K23" s="895"/>
      <c r="L23" s="209" t="s">
        <v>846</v>
      </c>
      <c r="M23" s="201"/>
      <c r="N23" s="55">
        <f>SUM(⑥基本加算２!J6:J7)</f>
        <v>0</v>
      </c>
      <c r="O23" s="178">
        <v>3935000</v>
      </c>
      <c r="P23" s="178">
        <v>1</v>
      </c>
    </row>
    <row r="24" spans="1:16" ht="21.75" customHeight="1">
      <c r="A24" s="201"/>
      <c r="B24" s="204"/>
      <c r="C24" s="205">
        <v>3</v>
      </c>
      <c r="D24" s="206" t="s">
        <v>990</v>
      </c>
      <c r="E24" s="206"/>
      <c r="F24" s="206"/>
      <c r="G24" s="206"/>
      <c r="H24" s="206"/>
      <c r="I24" s="207"/>
      <c r="J24" s="894">
        <f t="shared" si="1"/>
        <v>0</v>
      </c>
      <c r="K24" s="895"/>
      <c r="L24" s="209" t="s">
        <v>846</v>
      </c>
      <c r="M24" s="201"/>
      <c r="N24" s="55">
        <f>SUM(⑦基本加算３!J6:J7)</f>
        <v>0</v>
      </c>
      <c r="O24" s="178">
        <v>3935000</v>
      </c>
      <c r="P24" s="178">
        <v>1</v>
      </c>
    </row>
    <row r="25" spans="1:16" ht="21.75" customHeight="1">
      <c r="A25" s="201"/>
      <c r="B25" s="204"/>
      <c r="C25" s="205">
        <v>4</v>
      </c>
      <c r="D25" s="206" t="s">
        <v>987</v>
      </c>
      <c r="E25" s="206"/>
      <c r="F25" s="206"/>
      <c r="G25" s="206"/>
      <c r="H25" s="206"/>
      <c r="I25" s="207"/>
      <c r="J25" s="894">
        <f t="shared" si="1"/>
        <v>0</v>
      </c>
      <c r="K25" s="895"/>
      <c r="L25" s="209" t="s">
        <v>846</v>
      </c>
      <c r="M25" s="201"/>
      <c r="N25" s="55">
        <f>⑧一般加算１!N11</f>
        <v>0</v>
      </c>
      <c r="O25" s="178">
        <v>2663000</v>
      </c>
      <c r="P25" s="178">
        <v>1</v>
      </c>
    </row>
    <row r="26" spans="1:16" ht="21.75" customHeight="1">
      <c r="A26" s="201"/>
      <c r="B26" s="204"/>
      <c r="C26" s="205">
        <v>5</v>
      </c>
      <c r="D26" s="206" t="s">
        <v>986</v>
      </c>
      <c r="E26" s="206"/>
      <c r="F26" s="206"/>
      <c r="G26" s="206"/>
      <c r="H26" s="206"/>
      <c r="I26" s="207"/>
      <c r="J26" s="894">
        <f t="shared" si="1"/>
        <v>0</v>
      </c>
      <c r="K26" s="895"/>
      <c r="L26" s="209" t="s">
        <v>846</v>
      </c>
      <c r="M26" s="201"/>
      <c r="N26" s="55">
        <f>⑨一般加算２!N11</f>
        <v>0</v>
      </c>
      <c r="O26" s="178">
        <v>2663000</v>
      </c>
      <c r="P26" s="178">
        <v>1</v>
      </c>
    </row>
    <row r="27" spans="1:16" ht="21.75" customHeight="1">
      <c r="A27" s="201"/>
      <c r="B27" s="204"/>
      <c r="C27" s="205">
        <v>6</v>
      </c>
      <c r="D27" s="206" t="s">
        <v>985</v>
      </c>
      <c r="E27" s="206"/>
      <c r="F27" s="206"/>
      <c r="G27" s="206"/>
      <c r="H27" s="206"/>
      <c r="I27" s="207"/>
      <c r="J27" s="894">
        <f>IFERROR(MIN(ROUNDDOWN(N27*12,-3),O27),0)</f>
        <v>0</v>
      </c>
      <c r="K27" s="895"/>
      <c r="L27" s="209" t="s">
        <v>846</v>
      </c>
      <c r="M27" s="201"/>
      <c r="N27" s="55" t="str">
        <f>⑩特定加算１!J16</f>
        <v/>
      </c>
      <c r="O27" s="178" t="e">
        <f>O28*$P$27</f>
        <v>#VALUE!</v>
      </c>
      <c r="P27" s="178" t="str">
        <f>⑩特定加算１!B6</f>
        <v>-</v>
      </c>
    </row>
    <row r="28" spans="1:16" ht="21.75" customHeight="1">
      <c r="A28" s="201"/>
      <c r="B28" s="204"/>
      <c r="C28" s="205">
        <v>7</v>
      </c>
      <c r="D28" s="206" t="s">
        <v>984</v>
      </c>
      <c r="E28" s="206"/>
      <c r="F28" s="206"/>
      <c r="G28" s="206"/>
      <c r="H28" s="206"/>
      <c r="I28" s="207"/>
      <c r="J28" s="894">
        <f t="shared" si="1"/>
        <v>0</v>
      </c>
      <c r="K28" s="895"/>
      <c r="L28" s="208" t="s">
        <v>846</v>
      </c>
      <c r="M28" s="201"/>
      <c r="N28" s="55" t="str">
        <f>⑪特定加算２!J10</f>
        <v/>
      </c>
      <c r="O28" s="178">
        <v>3256000</v>
      </c>
    </row>
    <row r="29" spans="1:16" ht="21.75" customHeight="1">
      <c r="A29" s="201"/>
      <c r="B29" s="204"/>
      <c r="C29" s="205">
        <v>8</v>
      </c>
      <c r="D29" s="206" t="s">
        <v>1752</v>
      </c>
      <c r="E29" s="206"/>
      <c r="F29" s="206"/>
      <c r="G29" s="206"/>
      <c r="H29" s="206"/>
      <c r="I29" s="207"/>
      <c r="J29" s="931">
        <f>⑫公定価格加算分!E23*-1</f>
        <v>0</v>
      </c>
      <c r="K29" s="932"/>
      <c r="L29" s="209" t="s">
        <v>846</v>
      </c>
      <c r="M29" s="201"/>
      <c r="N29" s="55"/>
    </row>
    <row r="30" spans="1:16" ht="21.75" customHeight="1">
      <c r="A30" s="201"/>
      <c r="B30" s="211"/>
      <c r="C30" s="231" t="s">
        <v>847</v>
      </c>
      <c r="D30" s="206"/>
      <c r="E30" s="206"/>
      <c r="F30" s="206"/>
      <c r="G30" s="206"/>
      <c r="H30" s="206"/>
      <c r="I30" s="207"/>
      <c r="J30" s="931">
        <f>SUM(J22:K29)</f>
        <v>0</v>
      </c>
      <c r="K30" s="932"/>
      <c r="L30" s="209" t="s">
        <v>846</v>
      </c>
      <c r="M30" s="201"/>
      <c r="N30" s="55">
        <f>SUM(N22:N28)</f>
        <v>0</v>
      </c>
    </row>
    <row r="31" spans="1:16" ht="17.149999999999999" customHeight="1">
      <c r="A31" s="201"/>
      <c r="B31" s="918" t="s">
        <v>849</v>
      </c>
      <c r="C31" s="920" t="s">
        <v>848</v>
      </c>
      <c r="D31" s="921"/>
      <c r="E31" s="921"/>
      <c r="F31" s="443"/>
      <c r="G31" s="443"/>
      <c r="H31" s="443"/>
      <c r="I31" s="443"/>
      <c r="J31" s="443"/>
      <c r="K31" s="443"/>
      <c r="L31" s="212"/>
      <c r="M31" s="201"/>
      <c r="N31" s="37"/>
    </row>
    <row r="32" spans="1:16" ht="17.149999999999999" customHeight="1">
      <c r="A32" s="201"/>
      <c r="B32" s="919"/>
      <c r="C32" s="213"/>
      <c r="D32" s="922" t="s">
        <v>850</v>
      </c>
      <c r="E32" s="922"/>
      <c r="F32" s="922"/>
      <c r="G32" s="922"/>
      <c r="H32" s="922"/>
      <c r="I32" s="922"/>
      <c r="J32" s="922"/>
      <c r="K32" s="922"/>
      <c r="L32" s="208"/>
      <c r="M32" s="201"/>
      <c r="N32" s="37"/>
    </row>
    <row r="33" spans="1:14" ht="17.149999999999999" customHeight="1">
      <c r="A33" s="201"/>
      <c r="B33" s="908" t="s">
        <v>851</v>
      </c>
      <c r="C33" s="442" t="s">
        <v>852</v>
      </c>
      <c r="D33" s="443"/>
      <c r="E33" s="443"/>
      <c r="F33" s="443"/>
      <c r="G33" s="443"/>
      <c r="H33" s="443"/>
      <c r="I33" s="443"/>
      <c r="J33" s="443"/>
      <c r="K33" s="443"/>
      <c r="L33" s="212"/>
      <c r="M33" s="201"/>
      <c r="N33" s="37"/>
    </row>
    <row r="34" spans="1:14" ht="17.149999999999999" customHeight="1">
      <c r="A34" s="201"/>
      <c r="B34" s="909"/>
      <c r="C34" s="213" t="s">
        <v>853</v>
      </c>
      <c r="D34" s="210"/>
      <c r="E34" s="210"/>
      <c r="F34" s="210"/>
      <c r="G34" s="210"/>
      <c r="H34" s="210"/>
      <c r="I34" s="210"/>
      <c r="J34" s="210"/>
      <c r="K34" s="210"/>
      <c r="L34" s="208"/>
      <c r="M34" s="201"/>
      <c r="N34" s="37"/>
    </row>
    <row r="35" spans="1:14" ht="17.149999999999999" customHeight="1">
      <c r="A35" s="201"/>
      <c r="B35" s="909"/>
      <c r="C35" s="911" t="s">
        <v>854</v>
      </c>
      <c r="D35" s="912"/>
      <c r="E35" s="912"/>
      <c r="F35" s="912"/>
      <c r="G35" s="912"/>
      <c r="H35" s="912"/>
      <c r="I35" s="912"/>
      <c r="J35" s="912"/>
      <c r="K35" s="912"/>
      <c r="L35" s="913"/>
      <c r="M35" s="201"/>
      <c r="N35" s="37"/>
    </row>
    <row r="36" spans="1:14" ht="16.5" customHeight="1" thickBot="1">
      <c r="A36" s="201">
        <f>①基本情報!S19</f>
        <v>1</v>
      </c>
      <c r="B36" s="910"/>
      <c r="C36" s="914" t="s">
        <v>855</v>
      </c>
      <c r="D36" s="915"/>
      <c r="E36" s="916"/>
      <c r="F36" s="916"/>
      <c r="G36" s="916"/>
      <c r="H36" s="916"/>
      <c r="I36" s="916"/>
      <c r="J36" s="916"/>
      <c r="K36" s="916"/>
      <c r="L36" s="917"/>
      <c r="M36" s="201"/>
      <c r="N36" s="37"/>
    </row>
    <row r="37" spans="1:14" ht="27" customHeight="1">
      <c r="A37" s="37"/>
      <c r="B37" s="37" t="s">
        <v>842</v>
      </c>
      <c r="C37" s="37" t="s">
        <v>842</v>
      </c>
      <c r="D37" s="37"/>
      <c r="E37" s="37"/>
      <c r="F37" s="37"/>
      <c r="G37" s="37"/>
      <c r="H37" s="37"/>
      <c r="I37" s="37"/>
      <c r="J37" s="37"/>
      <c r="K37" s="37"/>
      <c r="L37" s="37"/>
      <c r="M37" s="37"/>
      <c r="N37" s="37"/>
    </row>
    <row r="38" spans="1:14" ht="27" customHeight="1">
      <c r="A38" s="37"/>
      <c r="B38" s="37"/>
      <c r="C38" s="37"/>
      <c r="D38" s="37"/>
      <c r="E38" s="37"/>
      <c r="F38" s="37"/>
      <c r="G38" s="37"/>
      <c r="H38" s="37"/>
      <c r="I38" s="37"/>
      <c r="J38" s="37"/>
      <c r="K38" s="37"/>
      <c r="L38" s="37"/>
      <c r="M38" s="37"/>
      <c r="N38" s="37"/>
    </row>
    <row r="39" spans="1:14" ht="27" customHeight="1"/>
  </sheetData>
  <sheetProtection algorithmName="SHA-512" hashValue="LQb/Egwl5uXS2vb41+XMBSb3MNIvGISyr0HPbTMjhha6Q7BDFG52TRd7dBLdTnAFlGLipCizWKZSFwCuN/c6Iw==" saltValue="9sk0DeBuMCDjXY1CVLLC5w==" spinCount="100000" sheet="1" selectLockedCells="1"/>
  <mergeCells count="31">
    <mergeCell ref="B33:B36"/>
    <mergeCell ref="C35:L35"/>
    <mergeCell ref="C36:L36"/>
    <mergeCell ref="B20:B21"/>
    <mergeCell ref="B31:B32"/>
    <mergeCell ref="J30:K30"/>
    <mergeCell ref="C31:E31"/>
    <mergeCell ref="J28:K28"/>
    <mergeCell ref="J25:K25"/>
    <mergeCell ref="J26:K26"/>
    <mergeCell ref="J27:K27"/>
    <mergeCell ref="J29:K29"/>
    <mergeCell ref="D32:K32"/>
    <mergeCell ref="G18:J18"/>
    <mergeCell ref="C20:L21"/>
    <mergeCell ref="J22:K22"/>
    <mergeCell ref="J23:K23"/>
    <mergeCell ref="J24:K24"/>
    <mergeCell ref="A4:L4"/>
    <mergeCell ref="A5:L5"/>
    <mergeCell ref="J7:L9"/>
    <mergeCell ref="H9:I9"/>
    <mergeCell ref="H10:I10"/>
    <mergeCell ref="J10:L10"/>
    <mergeCell ref="H11:I11"/>
    <mergeCell ref="J11:L11"/>
    <mergeCell ref="H12:I12"/>
    <mergeCell ref="J12:L12"/>
    <mergeCell ref="B15:L17"/>
    <mergeCell ref="F13:I13"/>
    <mergeCell ref="J13:L13"/>
  </mergeCells>
  <phoneticPr fontId="1"/>
  <conditionalFormatting sqref="J7:L12 J13">
    <cfRule type="containsBlanks" dxfId="8" priority="1">
      <formula>LEN(TRIM(J7))=0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ignoredErrors>
    <ignoredError sqref="J8:L9 K7:L7 K12:L12 K10:L10 K11:L11" unlockedFormula="1"/>
  </ignoredErrors>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F491-0D41-4A2F-96C1-0925B0C1C473}">
  <sheetPr>
    <tabColor rgb="FF7030A0"/>
  </sheetPr>
  <dimension ref="A1:AH42"/>
  <sheetViews>
    <sheetView view="pageBreakPreview" zoomScale="85" zoomScaleNormal="100" zoomScaleSheetLayoutView="85" workbookViewId="0">
      <selection activeCell="N8" sqref="N8:T9"/>
    </sheetView>
  </sheetViews>
  <sheetFormatPr defaultColWidth="9" defaultRowHeight="13"/>
  <cols>
    <col min="1" max="1" width="1" style="178" customWidth="1"/>
    <col min="2" max="21" width="4.5" style="178" customWidth="1"/>
    <col min="22" max="22" width="3.83203125" style="178" customWidth="1"/>
    <col min="23" max="25" width="6.25" style="178" customWidth="1"/>
    <col min="26" max="27" width="8.33203125" style="178" customWidth="1"/>
    <col min="28" max="28" width="4.75" style="178" customWidth="1"/>
    <col min="29" max="29" width="8" style="178" customWidth="1"/>
    <col min="30" max="30" width="10.25" style="178" customWidth="1"/>
    <col min="31" max="31" width="17.5" style="178" customWidth="1"/>
    <col min="32" max="32" width="5.83203125" style="178" customWidth="1"/>
    <col min="33" max="33" width="5.75" style="178" customWidth="1"/>
    <col min="34" max="34" width="5.58203125" style="178" customWidth="1"/>
    <col min="35" max="16384" width="9" style="178"/>
  </cols>
  <sheetData>
    <row r="1" spans="1:34" ht="23.15" customHeight="1">
      <c r="A1" s="286" t="s">
        <v>725</v>
      </c>
      <c r="B1" s="286"/>
      <c r="C1" s="286"/>
      <c r="D1" s="286"/>
      <c r="E1" s="286"/>
      <c r="F1" s="286"/>
      <c r="G1" s="286"/>
      <c r="H1" s="286"/>
      <c r="I1" s="286"/>
      <c r="J1" s="286"/>
      <c r="K1" s="286"/>
      <c r="L1" s="286"/>
      <c r="N1" s="286"/>
      <c r="O1" s="972" t="s">
        <v>1557</v>
      </c>
      <c r="P1" s="972"/>
      <c r="Q1" s="972">
        <f>①基本情報!M4</f>
        <v>0</v>
      </c>
      <c r="R1" s="972"/>
      <c r="S1" s="286"/>
      <c r="T1" s="286"/>
      <c r="U1" s="286" t="e">
        <f>V1</f>
        <v>#N/A</v>
      </c>
      <c r="V1" s="287" t="e">
        <f>様式１!M1</f>
        <v>#N/A</v>
      </c>
      <c r="W1" s="286"/>
      <c r="X1" s="286" t="s">
        <v>1104</v>
      </c>
      <c r="Y1" s="955"/>
      <c r="Z1" s="956"/>
      <c r="AA1" s="956"/>
      <c r="AB1" s="956"/>
      <c r="AC1" s="968"/>
    </row>
    <row r="2" spans="1:34" ht="23.15" customHeight="1">
      <c r="A2" s="286"/>
      <c r="B2" s="286"/>
      <c r="C2" s="286"/>
      <c r="D2" s="286"/>
      <c r="E2" s="286"/>
      <c r="F2" s="286"/>
      <c r="G2" s="286"/>
      <c r="H2" s="286"/>
      <c r="I2" s="286"/>
      <c r="J2" s="286"/>
      <c r="K2" s="286"/>
      <c r="L2" s="286"/>
      <c r="M2" s="286"/>
      <c r="N2" s="286"/>
      <c r="O2" s="972" t="s">
        <v>1556</v>
      </c>
      <c r="P2" s="972"/>
      <c r="Q2" s="972"/>
      <c r="R2" s="972"/>
      <c r="S2" s="972"/>
      <c r="T2" s="972"/>
      <c r="U2" s="286"/>
      <c r="V2" s="286"/>
      <c r="W2" s="286"/>
      <c r="Y2" s="286"/>
      <c r="Z2" s="286"/>
      <c r="AA2" s="286"/>
    </row>
    <row r="3" spans="1:34" ht="2.25" customHeight="1">
      <c r="A3" s="286"/>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row>
    <row r="4" spans="1:34" ht="23.15" customHeight="1">
      <c r="A4" s="286"/>
      <c r="B4" s="286"/>
      <c r="C4" s="286"/>
      <c r="D4" s="286"/>
      <c r="E4" s="286"/>
      <c r="F4" s="286" t="s">
        <v>1105</v>
      </c>
      <c r="G4" s="286"/>
      <c r="H4" s="286"/>
      <c r="I4" s="286"/>
      <c r="J4" s="286"/>
      <c r="K4" s="286"/>
      <c r="L4" s="286"/>
      <c r="M4" s="286"/>
      <c r="N4" s="286"/>
      <c r="O4" s="286"/>
      <c r="P4" s="286"/>
      <c r="Q4" s="286"/>
      <c r="R4" s="286"/>
      <c r="S4" s="286"/>
      <c r="U4" s="286"/>
      <c r="V4" s="286"/>
      <c r="W4" s="286"/>
      <c r="X4" s="286"/>
      <c r="Y4" s="286"/>
      <c r="Z4" s="286"/>
      <c r="AA4" s="286"/>
      <c r="AB4" s="286"/>
      <c r="AC4" s="286"/>
      <c r="AD4" s="286"/>
      <c r="AE4" s="286"/>
      <c r="AF4" s="286"/>
      <c r="AG4" s="286"/>
      <c r="AH4" s="286"/>
    </row>
    <row r="5" spans="1:34" ht="23.15" customHeight="1">
      <c r="A5" s="286"/>
      <c r="B5" s="286"/>
      <c r="C5" s="286"/>
      <c r="D5" s="286"/>
      <c r="E5" s="286"/>
      <c r="F5" s="286" t="s">
        <v>1106</v>
      </c>
      <c r="G5" s="286"/>
      <c r="H5" s="286"/>
      <c r="I5" s="286"/>
      <c r="J5" s="286"/>
      <c r="K5" s="286"/>
      <c r="L5" s="286"/>
      <c r="M5" s="286"/>
      <c r="N5" s="286"/>
      <c r="O5" s="286"/>
      <c r="P5" s="286"/>
      <c r="Q5" s="286"/>
      <c r="R5" s="286"/>
      <c r="S5" s="286"/>
      <c r="U5" s="286"/>
      <c r="V5" s="286"/>
      <c r="W5" s="286"/>
      <c r="X5" s="286"/>
      <c r="Y5" s="286"/>
      <c r="Z5" s="286"/>
      <c r="AA5" s="286"/>
      <c r="AB5" s="286"/>
      <c r="AC5" s="286"/>
      <c r="AD5" s="286"/>
      <c r="AE5" s="286"/>
      <c r="AF5" s="286"/>
      <c r="AG5" s="286"/>
      <c r="AH5" s="286"/>
    </row>
    <row r="6" spans="1:34" ht="4.5" customHeight="1">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row>
    <row r="7" spans="1:34" ht="23.15" customHeight="1">
      <c r="A7" s="286"/>
      <c r="B7" s="962" t="s">
        <v>1107</v>
      </c>
      <c r="C7" s="962"/>
      <c r="D7" s="962"/>
      <c r="E7" s="962"/>
      <c r="F7" s="962"/>
      <c r="G7" s="286"/>
      <c r="H7" s="286"/>
      <c r="I7" s="286"/>
      <c r="J7" s="286"/>
      <c r="K7" s="286"/>
      <c r="L7" s="286"/>
      <c r="M7" s="286"/>
      <c r="N7" s="286"/>
      <c r="O7" s="286"/>
      <c r="P7" s="286"/>
      <c r="Q7" s="286"/>
      <c r="R7" s="286"/>
      <c r="S7" s="286"/>
    </row>
    <row r="8" spans="1:34" ht="17.149999999999999" customHeight="1">
      <c r="A8" s="286"/>
      <c r="B8" s="286"/>
      <c r="C8" s="286"/>
      <c r="D8" s="286"/>
      <c r="E8" s="286"/>
      <c r="F8" s="286"/>
      <c r="G8" s="286"/>
      <c r="H8" s="286"/>
      <c r="I8" s="286"/>
      <c r="J8" s="977" t="s">
        <v>1108</v>
      </c>
      <c r="K8" s="977"/>
      <c r="L8" s="977"/>
      <c r="M8" s="286"/>
      <c r="N8" s="978" t="e">
        <f>VLOOKUP($V$1,補助金用基本データ!$B$5:$S$58,16,0)</f>
        <v>#N/A</v>
      </c>
      <c r="O8" s="978"/>
      <c r="P8" s="978"/>
      <c r="Q8" s="978"/>
      <c r="R8" s="978"/>
      <c r="S8" s="978"/>
      <c r="T8" s="978"/>
      <c r="U8" s="286"/>
      <c r="V8" s="286"/>
      <c r="W8" s="286"/>
      <c r="X8" s="286"/>
      <c r="Y8" s="286"/>
      <c r="Z8" s="286"/>
      <c r="AA8" s="286"/>
      <c r="AB8" s="286"/>
      <c r="AC8" s="286"/>
      <c r="AD8" s="286"/>
      <c r="AE8" s="286"/>
      <c r="AF8" s="286"/>
      <c r="AG8" s="286"/>
      <c r="AH8" s="286"/>
    </row>
    <row r="9" spans="1:34" ht="23.15" customHeight="1">
      <c r="A9" s="286"/>
      <c r="B9" s="286"/>
      <c r="C9" s="286"/>
      <c r="D9" s="286"/>
      <c r="E9" s="286"/>
      <c r="F9" s="286"/>
      <c r="G9" s="286"/>
      <c r="H9" s="286"/>
      <c r="I9" s="286"/>
      <c r="J9" s="977"/>
      <c r="K9" s="977"/>
      <c r="L9" s="977"/>
      <c r="N9" s="978"/>
      <c r="O9" s="978"/>
      <c r="P9" s="978"/>
      <c r="Q9" s="978"/>
      <c r="R9" s="978"/>
      <c r="S9" s="978"/>
      <c r="T9" s="978"/>
      <c r="U9" s="288"/>
      <c r="Z9" s="286"/>
    </row>
    <row r="10" spans="1:34" ht="23.15" customHeight="1">
      <c r="A10" s="286"/>
      <c r="B10" s="286"/>
      <c r="C10" s="286"/>
      <c r="D10" s="286"/>
      <c r="E10" s="286"/>
      <c r="F10" s="286"/>
      <c r="G10" s="286"/>
      <c r="H10" s="286"/>
      <c r="I10" s="286"/>
      <c r="J10" s="977" t="s">
        <v>1109</v>
      </c>
      <c r="K10" s="977"/>
      <c r="L10" s="977"/>
      <c r="N10" s="979" t="e">
        <f>VLOOKUP($V$1,補助金用基本データ!$B$5:$S$58,12,0)</f>
        <v>#N/A</v>
      </c>
      <c r="O10" s="979"/>
      <c r="P10" s="979"/>
      <c r="Q10" s="979"/>
      <c r="R10" s="979"/>
      <c r="S10" s="979"/>
      <c r="T10" s="979"/>
      <c r="U10" s="289"/>
      <c r="Z10" s="286"/>
    </row>
    <row r="11" spans="1:34" ht="23.15" customHeight="1">
      <c r="A11" s="286"/>
      <c r="B11" s="286"/>
      <c r="C11" s="286"/>
      <c r="D11" s="286"/>
      <c r="E11" s="286"/>
      <c r="F11" s="286"/>
      <c r="G11" s="286"/>
      <c r="H11" s="286"/>
      <c r="I11" s="286"/>
      <c r="J11" s="980" t="s">
        <v>1110</v>
      </c>
      <c r="K11" s="980"/>
      <c r="L11" s="980"/>
      <c r="N11" s="981" t="e">
        <f>VLOOKUP($V$1,補助金用基本データ!$B$5:$S$58,17,0)&amp;"　"&amp;VLOOKUP($V$1,補助金用基本データ!$B$5:$S$58,18,0)</f>
        <v>#N/A</v>
      </c>
      <c r="O11" s="981"/>
      <c r="P11" s="981"/>
      <c r="Q11" s="981"/>
      <c r="R11" s="981"/>
      <c r="S11" s="981"/>
      <c r="T11" s="981"/>
      <c r="U11" s="289"/>
      <c r="W11" s="290"/>
      <c r="Z11" s="286"/>
    </row>
    <row r="12" spans="1:34" ht="23.15" customHeight="1">
      <c r="A12" s="286"/>
      <c r="B12" s="286"/>
      <c r="C12" s="286"/>
      <c r="D12" s="286"/>
      <c r="E12" s="286"/>
      <c r="F12" s="286"/>
      <c r="G12" s="286"/>
      <c r="H12" s="286"/>
      <c r="I12" s="286"/>
      <c r="J12" s="977" t="s">
        <v>1111</v>
      </c>
      <c r="K12" s="977"/>
      <c r="L12" s="977"/>
      <c r="N12" s="291" t="s">
        <v>1112</v>
      </c>
      <c r="O12" s="982" t="e">
        <f>VLOOKUP($V$1,補助金用基本データ!$B$5:$S$58,2,0)</f>
        <v>#N/A</v>
      </c>
      <c r="P12" s="982"/>
      <c r="Q12" s="982"/>
      <c r="R12" s="982"/>
      <c r="S12" s="982"/>
      <c r="T12" s="982"/>
      <c r="U12" s="289" t="s">
        <v>1113</v>
      </c>
      <c r="W12" s="292" t="e">
        <f>VLOOKUP($V$1,個別データ!$C$5:$AM$59,37,0)</f>
        <v>#N/A</v>
      </c>
      <c r="Z12" s="286"/>
    </row>
    <row r="13" spans="1:34" ht="5.25" customHeight="1">
      <c r="A13" s="286"/>
      <c r="B13" s="286"/>
      <c r="C13" s="286"/>
      <c r="D13" s="286"/>
      <c r="E13" s="286"/>
      <c r="F13" s="286"/>
      <c r="G13" s="286"/>
      <c r="H13" s="286"/>
      <c r="I13" s="286"/>
      <c r="J13" s="286"/>
      <c r="K13" s="286"/>
      <c r="L13" s="286"/>
      <c r="M13" s="286"/>
      <c r="T13" s="286"/>
      <c r="U13" s="286"/>
      <c r="V13" s="286"/>
      <c r="W13" s="286"/>
      <c r="X13" s="286"/>
      <c r="Y13" s="286"/>
      <c r="Z13" s="286"/>
      <c r="AA13" s="286"/>
      <c r="AB13" s="286"/>
      <c r="AC13" s="286"/>
      <c r="AD13" s="286"/>
      <c r="AE13" s="286"/>
      <c r="AF13" s="286"/>
      <c r="AG13" s="286"/>
      <c r="AH13" s="286"/>
    </row>
    <row r="14" spans="1:34" ht="23.15" customHeight="1">
      <c r="B14" s="960" t="e">
        <f>CONCATENATE("　",DBCS(W11),"令和６年４月１日付け千葉市指令こ幼運第",W12,"により交付決定のあった補助金の分割事前交付を次のとおり受けたいので、千葉市施設型給付対象施設運営事業補助金交付要綱第８条の規定により請求します。")</f>
        <v>#N/A</v>
      </c>
      <c r="C14" s="961"/>
      <c r="D14" s="961"/>
      <c r="E14" s="961"/>
      <c r="F14" s="961"/>
      <c r="G14" s="961"/>
      <c r="H14" s="961"/>
      <c r="I14" s="961"/>
      <c r="J14" s="961"/>
      <c r="K14" s="961"/>
      <c r="L14" s="961"/>
      <c r="M14" s="961"/>
      <c r="N14" s="961"/>
      <c r="O14" s="961"/>
      <c r="P14" s="961"/>
      <c r="Q14" s="961"/>
      <c r="R14" s="961"/>
      <c r="S14" s="961"/>
      <c r="T14" s="961"/>
      <c r="U14" s="286"/>
      <c r="V14" s="286"/>
      <c r="W14" s="286"/>
      <c r="X14" s="286"/>
      <c r="Y14" s="286"/>
      <c r="Z14" s="286"/>
      <c r="AA14" s="286"/>
      <c r="AB14" s="286"/>
      <c r="AC14" s="286"/>
      <c r="AD14" s="286"/>
      <c r="AE14" s="286"/>
      <c r="AF14" s="286"/>
      <c r="AG14" s="286"/>
      <c r="AH14" s="286"/>
    </row>
    <row r="15" spans="1:34" ht="23.15" customHeight="1">
      <c r="B15" s="961"/>
      <c r="C15" s="961"/>
      <c r="D15" s="961"/>
      <c r="E15" s="961"/>
      <c r="F15" s="961"/>
      <c r="G15" s="961"/>
      <c r="H15" s="961"/>
      <c r="I15" s="961"/>
      <c r="J15" s="961"/>
      <c r="K15" s="961"/>
      <c r="L15" s="961"/>
      <c r="M15" s="961"/>
      <c r="N15" s="961"/>
      <c r="O15" s="961"/>
      <c r="P15" s="961"/>
      <c r="Q15" s="961"/>
      <c r="R15" s="961"/>
      <c r="S15" s="961"/>
      <c r="T15" s="961"/>
      <c r="U15" s="286"/>
      <c r="V15" s="286"/>
      <c r="W15" s="286"/>
      <c r="X15" s="286"/>
      <c r="Y15" s="286"/>
      <c r="Z15" s="286"/>
      <c r="AA15" s="286"/>
      <c r="AB15" s="286"/>
      <c r="AC15" s="286"/>
      <c r="AD15" s="286"/>
      <c r="AE15" s="286"/>
      <c r="AF15" s="286"/>
      <c r="AG15" s="286"/>
      <c r="AH15" s="286"/>
    </row>
    <row r="16" spans="1:34" ht="23.15" customHeight="1">
      <c r="A16" s="286"/>
      <c r="B16" s="961"/>
      <c r="C16" s="961"/>
      <c r="D16" s="961"/>
      <c r="E16" s="961"/>
      <c r="F16" s="961"/>
      <c r="G16" s="961"/>
      <c r="H16" s="961"/>
      <c r="I16" s="961"/>
      <c r="J16" s="961"/>
      <c r="K16" s="961"/>
      <c r="L16" s="961"/>
      <c r="M16" s="961"/>
      <c r="N16" s="961"/>
      <c r="O16" s="961"/>
      <c r="P16" s="961"/>
      <c r="Q16" s="961"/>
      <c r="R16" s="961"/>
      <c r="S16" s="961"/>
      <c r="T16" s="961"/>
      <c r="U16" s="286"/>
      <c r="V16" s="286"/>
      <c r="W16" s="286"/>
      <c r="X16" s="286"/>
      <c r="Y16" s="286"/>
      <c r="Z16" s="286"/>
      <c r="AA16" s="286"/>
      <c r="AB16" s="286"/>
      <c r="AC16" s="286"/>
      <c r="AD16" s="286"/>
      <c r="AE16" s="286"/>
      <c r="AF16" s="286"/>
      <c r="AG16" s="286"/>
      <c r="AH16" s="286"/>
    </row>
    <row r="17" spans="1:34" ht="59.25" customHeight="1">
      <c r="A17" s="286"/>
      <c r="B17" s="976" t="e">
        <f>IF(F36&lt;=W40,"","今回入力した数字を基にした交付決定額（Ｗ列～AA列）が、令和6年4月に交付決定した額（以下の「補助金の交付決定額」欄の数字）を下回っていますので、戻入となる可能性があることをご了承ください。")</f>
        <v>#N/A</v>
      </c>
      <c r="C17" s="976"/>
      <c r="D17" s="976"/>
      <c r="E17" s="976"/>
      <c r="F17" s="976"/>
      <c r="G17" s="976"/>
      <c r="H17" s="976"/>
      <c r="I17" s="976"/>
      <c r="J17" s="976"/>
      <c r="K17" s="976"/>
      <c r="L17" s="976"/>
      <c r="M17" s="976"/>
      <c r="N17" s="976"/>
      <c r="O17" s="976"/>
      <c r="P17" s="976"/>
      <c r="Q17" s="976"/>
      <c r="R17" s="976"/>
      <c r="S17" s="976"/>
      <c r="T17" s="976"/>
      <c r="U17" s="286"/>
      <c r="V17" s="286"/>
      <c r="W17" s="286"/>
      <c r="X17" s="286"/>
      <c r="Y17" s="286"/>
      <c r="Z17" s="286"/>
      <c r="AA17" s="286"/>
      <c r="AB17" s="286"/>
      <c r="AC17" s="286"/>
      <c r="AD17" s="286"/>
      <c r="AE17" s="286"/>
      <c r="AF17" s="286"/>
      <c r="AG17" s="286"/>
      <c r="AH17" s="286"/>
    </row>
    <row r="18" spans="1:34" ht="23.15" customHeight="1">
      <c r="B18" s="962" t="s">
        <v>1114</v>
      </c>
      <c r="C18" s="962"/>
      <c r="D18" s="962"/>
      <c r="E18" s="962"/>
      <c r="F18" s="286"/>
      <c r="G18" s="286"/>
      <c r="H18" s="963" t="e">
        <f>P36</f>
        <v>#N/A</v>
      </c>
      <c r="I18" s="963"/>
      <c r="J18" s="963"/>
      <c r="K18" s="963"/>
      <c r="L18" s="963" t="e">
        <v>#N/A</v>
      </c>
      <c r="M18" s="963"/>
      <c r="N18" s="963"/>
      <c r="O18" s="963"/>
      <c r="P18" s="286"/>
      <c r="Q18" s="286"/>
      <c r="R18" s="286"/>
      <c r="S18" s="286"/>
      <c r="T18" s="286"/>
      <c r="U18" s="286"/>
      <c r="W18" s="286"/>
      <c r="Z18" s="286"/>
      <c r="AA18" s="293"/>
      <c r="AB18" s="293"/>
      <c r="AC18" s="293"/>
      <c r="AD18" s="293"/>
      <c r="AF18" s="286"/>
      <c r="AG18" s="286"/>
      <c r="AH18" s="286"/>
    </row>
    <row r="19" spans="1:34" ht="27.75" customHeight="1" thickBot="1">
      <c r="A19" s="286"/>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row>
    <row r="20" spans="1:34" ht="27.75" customHeight="1" thickTop="1" thickBot="1">
      <c r="A20" s="286"/>
      <c r="B20" s="949" t="s">
        <v>291</v>
      </c>
      <c r="C20" s="949"/>
      <c r="D20" s="949"/>
      <c r="E20" s="950"/>
      <c r="F20" s="964" t="s">
        <v>294</v>
      </c>
      <c r="G20" s="964"/>
      <c r="H20" s="964"/>
      <c r="I20" s="964"/>
      <c r="J20" s="964"/>
      <c r="K20" s="965" t="s">
        <v>295</v>
      </c>
      <c r="L20" s="965"/>
      <c r="M20" s="965"/>
      <c r="N20" s="965"/>
      <c r="O20" s="966"/>
      <c r="P20" s="969" t="s">
        <v>726</v>
      </c>
      <c r="Q20" s="970"/>
      <c r="R20" s="970"/>
      <c r="S20" s="970"/>
      <c r="T20" s="971"/>
      <c r="U20" s="286"/>
      <c r="V20" s="286"/>
      <c r="W20" s="967" t="s">
        <v>1115</v>
      </c>
      <c r="X20" s="967"/>
      <c r="Y20" s="967"/>
      <c r="Z20" s="967"/>
      <c r="AA20" s="967"/>
      <c r="AB20" s="286"/>
      <c r="AC20" s="286"/>
    </row>
    <row r="21" spans="1:34" ht="27" customHeight="1" thickTop="1">
      <c r="A21" s="286"/>
      <c r="B21" s="935" t="s">
        <v>988</v>
      </c>
      <c r="C21" s="936"/>
      <c r="D21" s="936"/>
      <c r="E21" s="937"/>
      <c r="F21" s="958"/>
      <c r="G21" s="959"/>
      <c r="H21" s="959"/>
      <c r="I21" s="959"/>
      <c r="J21" s="295"/>
      <c r="K21" s="955"/>
      <c r="L21" s="956"/>
      <c r="M21" s="956"/>
      <c r="N21" s="956"/>
      <c r="O21" s="968"/>
      <c r="P21" s="294"/>
      <c r="Q21" s="286"/>
      <c r="R21" s="286"/>
      <c r="S21" s="286"/>
      <c r="T21" s="295"/>
      <c r="U21" s="286"/>
      <c r="V21" s="286"/>
      <c r="W21" s="294"/>
      <c r="X21" s="286"/>
      <c r="Y21" s="286"/>
      <c r="Z21" s="286"/>
      <c r="AA21" s="295"/>
      <c r="AB21" s="286"/>
      <c r="AC21" s="286"/>
    </row>
    <row r="22" spans="1:34" ht="27" customHeight="1">
      <c r="A22" s="286"/>
      <c r="B22" s="938"/>
      <c r="C22" s="939"/>
      <c r="D22" s="939"/>
      <c r="E22" s="940"/>
      <c r="F22" s="943" t="e">
        <f>VLOOKUP(V1,個別データ!$C$5:$AB$59,13,0)</f>
        <v>#N/A</v>
      </c>
      <c r="G22" s="944"/>
      <c r="H22" s="944"/>
      <c r="I22" s="944"/>
      <c r="J22" s="296" t="s">
        <v>292</v>
      </c>
      <c r="K22" s="943" t="e">
        <f>VLOOKUP(V1,個別データ!$C$5:$AB$59,20,0)</f>
        <v>#N/A</v>
      </c>
      <c r="L22" s="944"/>
      <c r="M22" s="944"/>
      <c r="N22" s="944"/>
      <c r="O22" s="297" t="s">
        <v>846</v>
      </c>
      <c r="P22" s="945" t="e">
        <f>F22-K22</f>
        <v>#N/A</v>
      </c>
      <c r="Q22" s="946"/>
      <c r="R22" s="946"/>
      <c r="S22" s="946"/>
      <c r="T22" s="297" t="s">
        <v>292</v>
      </c>
      <c r="U22" s="286" t="e">
        <f>IF(F22&lt;(K22+P22),"✕","")</f>
        <v>#N/A</v>
      </c>
      <c r="V22" s="286"/>
      <c r="W22" s="933">
        <f>⑤基本加算１!K30</f>
        <v>0</v>
      </c>
      <c r="X22" s="934"/>
      <c r="Y22" s="934"/>
      <c r="Z22" s="934"/>
      <c r="AA22" s="296" t="s">
        <v>292</v>
      </c>
      <c r="AB22" s="286"/>
      <c r="AC22" s="286"/>
    </row>
    <row r="23" spans="1:34" ht="27" customHeight="1">
      <c r="A23" s="286"/>
      <c r="B23" s="935" t="s">
        <v>989</v>
      </c>
      <c r="C23" s="936"/>
      <c r="D23" s="936"/>
      <c r="E23" s="937"/>
      <c r="F23" s="953" t="s">
        <v>1336</v>
      </c>
      <c r="G23" s="954"/>
      <c r="H23" s="954"/>
      <c r="I23" s="954"/>
      <c r="J23" s="300"/>
      <c r="K23" s="955"/>
      <c r="L23" s="956"/>
      <c r="M23" s="956"/>
      <c r="N23" s="956"/>
      <c r="O23" s="527"/>
      <c r="P23" s="301"/>
      <c r="Q23" s="302"/>
      <c r="R23" s="302"/>
      <c r="S23" s="302"/>
      <c r="T23" s="300"/>
      <c r="U23" s="286"/>
      <c r="V23" s="286"/>
      <c r="W23" s="298" t="s">
        <v>1116</v>
      </c>
      <c r="X23" s="299"/>
      <c r="Y23" s="299"/>
      <c r="Z23" s="299"/>
      <c r="AA23" s="300"/>
      <c r="AB23" s="286"/>
      <c r="AC23" s="286"/>
    </row>
    <row r="24" spans="1:34" ht="27" customHeight="1">
      <c r="A24" s="286"/>
      <c r="B24" s="938"/>
      <c r="C24" s="939"/>
      <c r="D24" s="939"/>
      <c r="E24" s="940"/>
      <c r="F24" s="943" t="e">
        <f>VLOOKUP(V1,個別データ!$C$5:$AB$59,14,0)</f>
        <v>#N/A</v>
      </c>
      <c r="G24" s="944"/>
      <c r="H24" s="944"/>
      <c r="I24" s="944"/>
      <c r="J24" s="296" t="s">
        <v>292</v>
      </c>
      <c r="K24" s="943" t="e">
        <f>VLOOKUP(V1,個別データ!$C$5:$AB$59,21,0)</f>
        <v>#N/A</v>
      </c>
      <c r="L24" s="944"/>
      <c r="M24" s="944"/>
      <c r="N24" s="944"/>
      <c r="O24" s="297" t="s">
        <v>846</v>
      </c>
      <c r="P24" s="945" t="e">
        <f>F24-K24</f>
        <v>#N/A</v>
      </c>
      <c r="Q24" s="946"/>
      <c r="R24" s="946"/>
      <c r="S24" s="946"/>
      <c r="T24" s="297" t="s">
        <v>292</v>
      </c>
      <c r="U24" s="286" t="e">
        <f>IF(F24&lt;(K24+P24),"✕","")</f>
        <v>#N/A</v>
      </c>
      <c r="V24" s="286"/>
      <c r="W24" s="933">
        <f>⑥基本加算２!J30</f>
        <v>0</v>
      </c>
      <c r="X24" s="934"/>
      <c r="Y24" s="934"/>
      <c r="Z24" s="934"/>
      <c r="AA24" s="296" t="s">
        <v>292</v>
      </c>
      <c r="AB24" s="286"/>
      <c r="AC24" s="286"/>
    </row>
    <row r="25" spans="1:34" ht="27" customHeight="1">
      <c r="A25" s="286"/>
      <c r="B25" s="935" t="s">
        <v>990</v>
      </c>
      <c r="C25" s="936"/>
      <c r="D25" s="936"/>
      <c r="E25" s="937"/>
      <c r="F25" s="953" t="s">
        <v>1336</v>
      </c>
      <c r="G25" s="954"/>
      <c r="H25" s="954"/>
      <c r="I25" s="954"/>
      <c r="J25" s="300"/>
      <c r="K25" s="955"/>
      <c r="L25" s="956"/>
      <c r="M25" s="956"/>
      <c r="N25" s="956"/>
      <c r="O25" s="527"/>
      <c r="P25" s="301"/>
      <c r="Q25" s="302"/>
      <c r="R25" s="302"/>
      <c r="S25" s="302"/>
      <c r="T25" s="300"/>
      <c r="U25" s="286"/>
      <c r="V25" s="286"/>
      <c r="W25" s="298" t="s">
        <v>1116</v>
      </c>
      <c r="X25" s="299"/>
      <c r="Y25" s="299"/>
      <c r="Z25" s="299"/>
      <c r="AA25" s="300"/>
      <c r="AB25" s="286"/>
      <c r="AC25" s="286"/>
    </row>
    <row r="26" spans="1:34" ht="27" customHeight="1">
      <c r="A26" s="286"/>
      <c r="B26" s="938"/>
      <c r="C26" s="939"/>
      <c r="D26" s="939"/>
      <c r="E26" s="940"/>
      <c r="F26" s="943" t="e">
        <f>VLOOKUP(V1,個別データ!$C$5:$AB$59,15,0)</f>
        <v>#N/A</v>
      </c>
      <c r="G26" s="944"/>
      <c r="H26" s="944"/>
      <c r="I26" s="944"/>
      <c r="J26" s="296" t="s">
        <v>292</v>
      </c>
      <c r="K26" s="943" t="e">
        <f>VLOOKUP(V1,個別データ!$C$5:$AB$59,22,0)</f>
        <v>#N/A</v>
      </c>
      <c r="L26" s="944"/>
      <c r="M26" s="944"/>
      <c r="N26" s="944"/>
      <c r="O26" s="297" t="s">
        <v>846</v>
      </c>
      <c r="P26" s="945" t="e">
        <f>F26-K26</f>
        <v>#N/A</v>
      </c>
      <c r="Q26" s="946"/>
      <c r="R26" s="946"/>
      <c r="S26" s="946"/>
      <c r="T26" s="297" t="s">
        <v>292</v>
      </c>
      <c r="U26" s="286" t="e">
        <f>IF(F26&lt;(K26+P26),"✕","")</f>
        <v>#N/A</v>
      </c>
      <c r="V26" s="286"/>
      <c r="W26" s="933">
        <f>⑦基本加算３!J30</f>
        <v>0</v>
      </c>
      <c r="X26" s="934"/>
      <c r="Y26" s="934"/>
      <c r="Z26" s="934"/>
      <c r="AA26" s="296" t="s">
        <v>292</v>
      </c>
      <c r="AB26" s="286"/>
      <c r="AC26" s="286"/>
    </row>
    <row r="27" spans="1:34" ht="27" customHeight="1">
      <c r="A27" s="286"/>
      <c r="B27" s="935" t="s">
        <v>991</v>
      </c>
      <c r="C27" s="936"/>
      <c r="D27" s="936"/>
      <c r="E27" s="937"/>
      <c r="F27" s="953" t="s">
        <v>1336</v>
      </c>
      <c r="G27" s="954"/>
      <c r="H27" s="954"/>
      <c r="I27" s="954"/>
      <c r="J27" s="300"/>
      <c r="K27" s="955"/>
      <c r="L27" s="956"/>
      <c r="M27" s="956"/>
      <c r="N27" s="956"/>
      <c r="O27" s="527"/>
      <c r="P27" s="301"/>
      <c r="Q27" s="302"/>
      <c r="R27" s="302"/>
      <c r="S27" s="302"/>
      <c r="T27" s="300"/>
      <c r="U27" s="286"/>
      <c r="V27" s="286"/>
      <c r="W27" s="298" t="s">
        <v>1116</v>
      </c>
      <c r="X27" s="299"/>
      <c r="Y27" s="299"/>
      <c r="Z27" s="299"/>
      <c r="AA27" s="300"/>
      <c r="AB27" s="286"/>
      <c r="AC27" s="286"/>
    </row>
    <row r="28" spans="1:34" ht="27" customHeight="1">
      <c r="A28" s="286"/>
      <c r="B28" s="938"/>
      <c r="C28" s="939"/>
      <c r="D28" s="939"/>
      <c r="E28" s="940"/>
      <c r="F28" s="943" t="e">
        <f>VLOOKUP(V1,個別データ!$C$5:$AB$59,16,0)</f>
        <v>#N/A</v>
      </c>
      <c r="G28" s="944"/>
      <c r="H28" s="944"/>
      <c r="I28" s="944"/>
      <c r="J28" s="296" t="s">
        <v>292</v>
      </c>
      <c r="K28" s="943" t="e">
        <f>VLOOKUP(V1,個別データ!$C$5:$AB$59,23,0)</f>
        <v>#N/A</v>
      </c>
      <c r="L28" s="944"/>
      <c r="M28" s="944"/>
      <c r="N28" s="944"/>
      <c r="O28" s="297" t="s">
        <v>846</v>
      </c>
      <c r="P28" s="945" t="e">
        <f>F28-K28</f>
        <v>#N/A</v>
      </c>
      <c r="Q28" s="946"/>
      <c r="R28" s="946"/>
      <c r="S28" s="946"/>
      <c r="T28" s="297" t="s">
        <v>292</v>
      </c>
      <c r="U28" s="286" t="e">
        <f>IF(F28&lt;(K28+P28),"✕","")</f>
        <v>#N/A</v>
      </c>
      <c r="V28" s="286"/>
      <c r="W28" s="933">
        <f>⑧一般加算１!N78</f>
        <v>0</v>
      </c>
      <c r="X28" s="934"/>
      <c r="Y28" s="934"/>
      <c r="Z28" s="934"/>
      <c r="AA28" s="296" t="s">
        <v>292</v>
      </c>
      <c r="AB28" s="286"/>
      <c r="AC28" s="286"/>
    </row>
    <row r="29" spans="1:34" ht="27" customHeight="1">
      <c r="A29" s="286"/>
      <c r="B29" s="935" t="s">
        <v>992</v>
      </c>
      <c r="C29" s="936"/>
      <c r="D29" s="936"/>
      <c r="E29" s="937"/>
      <c r="F29" s="953" t="s">
        <v>1336</v>
      </c>
      <c r="G29" s="954"/>
      <c r="H29" s="954"/>
      <c r="I29" s="954"/>
      <c r="J29" s="300"/>
      <c r="K29" s="955"/>
      <c r="L29" s="956"/>
      <c r="M29" s="956"/>
      <c r="N29" s="956"/>
      <c r="O29" s="527"/>
      <c r="P29" s="301"/>
      <c r="Q29" s="302"/>
      <c r="R29" s="302"/>
      <c r="S29" s="302"/>
      <c r="T29" s="300"/>
      <c r="U29" s="286"/>
      <c r="V29" s="286"/>
      <c r="W29" s="298" t="s">
        <v>1116</v>
      </c>
      <c r="X29" s="299"/>
      <c r="Y29" s="299"/>
      <c r="Z29" s="299"/>
      <c r="AA29" s="300"/>
      <c r="AB29" s="286"/>
      <c r="AC29" s="286"/>
    </row>
    <row r="30" spans="1:34" ht="27" customHeight="1">
      <c r="A30" s="286"/>
      <c r="B30" s="938"/>
      <c r="C30" s="939"/>
      <c r="D30" s="939"/>
      <c r="E30" s="940"/>
      <c r="F30" s="943" t="e">
        <f>VLOOKUP(V1,個別データ!$C$5:$AB$59,17,0)</f>
        <v>#N/A</v>
      </c>
      <c r="G30" s="944"/>
      <c r="H30" s="944"/>
      <c r="I30" s="944"/>
      <c r="J30" s="296" t="s">
        <v>292</v>
      </c>
      <c r="K30" s="943" t="e">
        <f>VLOOKUP(V1,個別データ!$C$5:$AB$59,24,0)</f>
        <v>#N/A</v>
      </c>
      <c r="L30" s="944"/>
      <c r="M30" s="944"/>
      <c r="N30" s="944"/>
      <c r="O30" s="297" t="s">
        <v>846</v>
      </c>
      <c r="P30" s="945" t="e">
        <f>F30-K30</f>
        <v>#N/A</v>
      </c>
      <c r="Q30" s="946"/>
      <c r="R30" s="946"/>
      <c r="S30" s="946"/>
      <c r="T30" s="297" t="s">
        <v>292</v>
      </c>
      <c r="U30" s="286" t="e">
        <f>IF(F30&lt;(K30+P30),"✕","")</f>
        <v>#N/A</v>
      </c>
      <c r="V30" s="286"/>
      <c r="W30" s="933">
        <f>⑨一般加算２!N78</f>
        <v>0</v>
      </c>
      <c r="X30" s="934"/>
      <c r="Y30" s="934"/>
      <c r="Z30" s="934"/>
      <c r="AA30" s="296" t="s">
        <v>292</v>
      </c>
      <c r="AB30" s="286"/>
      <c r="AC30" s="286"/>
    </row>
    <row r="31" spans="1:34" ht="27" customHeight="1">
      <c r="A31" s="286"/>
      <c r="B31" s="935" t="s">
        <v>993</v>
      </c>
      <c r="C31" s="936"/>
      <c r="D31" s="936"/>
      <c r="E31" s="937"/>
      <c r="F31" s="953" t="s">
        <v>1336</v>
      </c>
      <c r="G31" s="954"/>
      <c r="H31" s="954"/>
      <c r="I31" s="954"/>
      <c r="J31" s="300"/>
      <c r="K31" s="955"/>
      <c r="L31" s="956"/>
      <c r="M31" s="956"/>
      <c r="N31" s="956"/>
      <c r="O31" s="527"/>
      <c r="P31" s="301"/>
      <c r="Q31" s="302"/>
      <c r="R31" s="302"/>
      <c r="S31" s="302"/>
      <c r="T31" s="300"/>
      <c r="U31" s="286"/>
      <c r="V31" s="286"/>
      <c r="W31" s="298" t="s">
        <v>1116</v>
      </c>
      <c r="X31" s="299"/>
      <c r="Y31" s="299"/>
      <c r="Z31" s="299"/>
      <c r="AA31" s="300"/>
      <c r="AB31" s="286"/>
      <c r="AC31" s="286"/>
    </row>
    <row r="32" spans="1:34" ht="27" customHeight="1">
      <c r="A32" s="286"/>
      <c r="B32" s="938"/>
      <c r="C32" s="939"/>
      <c r="D32" s="939"/>
      <c r="E32" s="940"/>
      <c r="F32" s="943" t="e">
        <f>VLOOKUP(V1,個別データ!$C$5:$AB$59,18,0)</f>
        <v>#N/A</v>
      </c>
      <c r="G32" s="944"/>
      <c r="H32" s="944"/>
      <c r="I32" s="944"/>
      <c r="J32" s="296" t="s">
        <v>292</v>
      </c>
      <c r="K32" s="943" t="e">
        <f>VLOOKUP(V1,個別データ!$C$5:$AB$59,25,0)</f>
        <v>#N/A</v>
      </c>
      <c r="L32" s="944"/>
      <c r="M32" s="944"/>
      <c r="N32" s="944"/>
      <c r="O32" s="297" t="s">
        <v>846</v>
      </c>
      <c r="P32" s="945" t="e">
        <f>F32-K32</f>
        <v>#N/A</v>
      </c>
      <c r="Q32" s="946"/>
      <c r="R32" s="946"/>
      <c r="S32" s="946"/>
      <c r="T32" s="297" t="s">
        <v>292</v>
      </c>
      <c r="U32" s="286" t="e">
        <f>IF(F32&lt;(K32+P32),"✕","")</f>
        <v>#N/A</v>
      </c>
      <c r="V32" s="286"/>
      <c r="W32" s="947">
        <f>⑩特定加算１!J138</f>
        <v>0</v>
      </c>
      <c r="X32" s="948"/>
      <c r="Y32" s="948"/>
      <c r="Z32" s="948"/>
      <c r="AA32" s="296" t="s">
        <v>292</v>
      </c>
      <c r="AB32" s="286"/>
      <c r="AC32" s="286"/>
    </row>
    <row r="33" spans="1:29" ht="27" customHeight="1">
      <c r="A33" s="286"/>
      <c r="B33" s="935" t="s">
        <v>994</v>
      </c>
      <c r="C33" s="936"/>
      <c r="D33" s="936"/>
      <c r="E33" s="937"/>
      <c r="F33" s="953" t="s">
        <v>1336</v>
      </c>
      <c r="G33" s="954"/>
      <c r="H33" s="954"/>
      <c r="I33" s="954"/>
      <c r="J33" s="300"/>
      <c r="K33" s="955"/>
      <c r="L33" s="956"/>
      <c r="M33" s="956"/>
      <c r="N33" s="956"/>
      <c r="O33" s="527"/>
      <c r="P33" s="301"/>
      <c r="Q33" s="302"/>
      <c r="R33" s="302"/>
      <c r="S33" s="302"/>
      <c r="T33" s="300"/>
      <c r="U33" s="286"/>
      <c r="V33" s="286"/>
      <c r="W33" s="298" t="s">
        <v>1116</v>
      </c>
      <c r="X33" s="299"/>
      <c r="Y33" s="299"/>
      <c r="Z33" s="299"/>
      <c r="AA33" s="300"/>
      <c r="AB33" s="286"/>
      <c r="AC33" s="286"/>
    </row>
    <row r="34" spans="1:29" ht="27" customHeight="1" thickBot="1">
      <c r="A34" s="286"/>
      <c r="B34" s="938"/>
      <c r="C34" s="939"/>
      <c r="D34" s="939"/>
      <c r="E34" s="940"/>
      <c r="F34" s="941" t="e">
        <f>VLOOKUP(V1,個別データ!$C$5:$AB$59,19,0)</f>
        <v>#N/A</v>
      </c>
      <c r="G34" s="942"/>
      <c r="H34" s="942"/>
      <c r="I34" s="942"/>
      <c r="J34" s="296" t="s">
        <v>292</v>
      </c>
      <c r="K34" s="943" t="e">
        <f>VLOOKUP(V1,個別データ!$C$5:$AB$59,26,0)</f>
        <v>#N/A</v>
      </c>
      <c r="L34" s="944"/>
      <c r="M34" s="944"/>
      <c r="N34" s="944"/>
      <c r="O34" s="297" t="s">
        <v>846</v>
      </c>
      <c r="P34" s="945" t="e">
        <f>F34-K34</f>
        <v>#N/A</v>
      </c>
      <c r="Q34" s="946"/>
      <c r="R34" s="946"/>
      <c r="S34" s="946"/>
      <c r="T34" s="297" t="s">
        <v>292</v>
      </c>
      <c r="U34" s="286" t="e">
        <f>IF(F34&lt;(K34+P34),"✕","")</f>
        <v>#N/A</v>
      </c>
      <c r="V34" s="286"/>
      <c r="W34" s="947">
        <f>⑪特定加算２!J66</f>
        <v>0</v>
      </c>
      <c r="X34" s="948"/>
      <c r="Y34" s="948"/>
      <c r="Z34" s="948"/>
      <c r="AA34" s="296" t="s">
        <v>292</v>
      </c>
      <c r="AB34" s="286"/>
      <c r="AC34" s="286"/>
    </row>
    <row r="35" spans="1:29" ht="27" customHeight="1" thickTop="1">
      <c r="A35" s="286"/>
      <c r="B35" s="949" t="s">
        <v>293</v>
      </c>
      <c r="C35" s="949"/>
      <c r="D35" s="949"/>
      <c r="E35" s="950"/>
      <c r="F35" s="303" t="s">
        <v>1116</v>
      </c>
      <c r="G35" s="304"/>
      <c r="H35" s="304"/>
      <c r="I35" s="304"/>
      <c r="J35" s="305"/>
      <c r="K35" s="957"/>
      <c r="L35" s="956"/>
      <c r="M35" s="956"/>
      <c r="N35" s="956"/>
      <c r="O35" s="527"/>
      <c r="P35" s="301"/>
      <c r="Q35" s="302"/>
      <c r="R35" s="302"/>
      <c r="S35" s="302"/>
      <c r="T35" s="300"/>
      <c r="U35" s="286"/>
      <c r="V35" s="286"/>
      <c r="W35" s="298" t="s">
        <v>1116</v>
      </c>
      <c r="X35" s="299"/>
      <c r="Y35" s="299"/>
      <c r="Z35" s="299"/>
      <c r="AA35" s="300"/>
      <c r="AB35" s="286"/>
      <c r="AC35" s="286"/>
    </row>
    <row r="36" spans="1:29" ht="27" customHeight="1" thickBot="1">
      <c r="A36" s="286"/>
      <c r="B36" s="949"/>
      <c r="C36" s="949"/>
      <c r="D36" s="949"/>
      <c r="E36" s="950"/>
      <c r="F36" s="951" t="e">
        <f>SUM(F34,F32,F30,F28,F26,F24,F22)</f>
        <v>#N/A</v>
      </c>
      <c r="G36" s="942"/>
      <c r="H36" s="942"/>
      <c r="I36" s="942"/>
      <c r="J36" s="306" t="s">
        <v>292</v>
      </c>
      <c r="K36" s="952" t="e">
        <f>SUM(K22,K24,K26,K28,K30,K32,K34)</f>
        <v>#N/A</v>
      </c>
      <c r="L36" s="944"/>
      <c r="M36" s="944"/>
      <c r="N36" s="944"/>
      <c r="O36" s="297" t="s">
        <v>846</v>
      </c>
      <c r="P36" s="943" t="e">
        <f>F36-K36</f>
        <v>#N/A</v>
      </c>
      <c r="Q36" s="944"/>
      <c r="R36" s="944"/>
      <c r="S36" s="944"/>
      <c r="T36" s="297" t="s">
        <v>292</v>
      </c>
      <c r="U36" s="286" t="e">
        <f>IF(F36&lt;(K36+P36),"✕","")</f>
        <v>#N/A</v>
      </c>
      <c r="V36" s="286"/>
      <c r="W36" s="933">
        <f>SUM(W22,W24,W26,W28,W30,W34,W32)</f>
        <v>0</v>
      </c>
      <c r="X36" s="934"/>
      <c r="Y36" s="934"/>
      <c r="Z36" s="934"/>
      <c r="AA36" s="297" t="s">
        <v>292</v>
      </c>
      <c r="AB36" s="286"/>
      <c r="AC36" s="286"/>
    </row>
    <row r="37" spans="1:29" ht="27" customHeight="1" thickTop="1">
      <c r="A37" s="286"/>
      <c r="B37" s="544"/>
      <c r="C37" s="544"/>
      <c r="D37" s="544"/>
      <c r="E37" s="544"/>
      <c r="F37" s="545"/>
      <c r="G37" s="545"/>
      <c r="H37" s="545"/>
      <c r="I37" s="545"/>
      <c r="J37" s="543"/>
      <c r="K37" s="545"/>
      <c r="L37" s="545"/>
      <c r="M37" s="545"/>
      <c r="N37" s="545"/>
      <c r="O37" s="543"/>
      <c r="P37" s="545"/>
      <c r="Q37" s="545"/>
      <c r="R37" s="545"/>
      <c r="S37" s="545"/>
      <c r="T37" s="543"/>
      <c r="U37" s="286"/>
      <c r="V37" s="286"/>
      <c r="W37" s="547" t="s">
        <v>1116</v>
      </c>
      <c r="X37" s="548"/>
      <c r="Y37" s="548"/>
      <c r="Z37" s="548"/>
      <c r="AA37" s="295"/>
      <c r="AB37" s="286"/>
      <c r="AC37" s="286"/>
    </row>
    <row r="38" spans="1:29" ht="27" customHeight="1" thickBot="1">
      <c r="A38" s="286"/>
      <c r="B38" s="544"/>
      <c r="C38" s="544"/>
      <c r="D38" s="544"/>
      <c r="E38" s="544"/>
      <c r="F38" s="545"/>
      <c r="G38" s="545"/>
      <c r="H38" s="545"/>
      <c r="I38" s="545"/>
      <c r="J38" s="543"/>
      <c r="K38" s="545"/>
      <c r="L38" s="545"/>
      <c r="M38" s="545"/>
      <c r="N38" s="545"/>
      <c r="O38" s="543"/>
      <c r="P38" s="545"/>
      <c r="Q38" s="545"/>
      <c r="R38" s="545"/>
      <c r="S38" s="545"/>
      <c r="T38" s="543"/>
      <c r="U38" s="286"/>
      <c r="V38" s="286"/>
      <c r="W38" s="973">
        <v>0</v>
      </c>
      <c r="X38" s="974"/>
      <c r="Y38" s="974"/>
      <c r="Z38" s="974"/>
      <c r="AA38" s="546" t="s">
        <v>292</v>
      </c>
      <c r="AB38" s="286"/>
      <c r="AC38" s="286"/>
    </row>
    <row r="39" spans="1:29" ht="27" customHeight="1" thickTop="1">
      <c r="A39" s="286"/>
      <c r="B39" s="544"/>
      <c r="C39" s="544"/>
      <c r="D39" s="544"/>
      <c r="E39" s="544"/>
      <c r="F39" s="545"/>
      <c r="G39" s="545"/>
      <c r="H39" s="545"/>
      <c r="I39" s="545"/>
      <c r="J39" s="543"/>
      <c r="K39" s="545"/>
      <c r="L39" s="545"/>
      <c r="M39" s="545"/>
      <c r="N39" s="545"/>
      <c r="O39" s="543"/>
      <c r="P39" s="545"/>
      <c r="Q39" s="545"/>
      <c r="R39" s="545"/>
      <c r="S39" s="545"/>
      <c r="T39" s="543"/>
      <c r="U39" s="286"/>
      <c r="V39" s="286"/>
      <c r="W39" s="303" t="s">
        <v>1116</v>
      </c>
      <c r="X39" s="304"/>
      <c r="Y39" s="304"/>
      <c r="Z39" s="304"/>
      <c r="AA39" s="305"/>
      <c r="AB39" s="286"/>
      <c r="AC39" s="286"/>
    </row>
    <row r="40" spans="1:29" ht="27" customHeight="1" thickBot="1">
      <c r="A40" s="286"/>
      <c r="B40" s="544"/>
      <c r="C40" s="544"/>
      <c r="D40" s="544"/>
      <c r="E40" s="544"/>
      <c r="F40" s="545"/>
      <c r="G40" s="545"/>
      <c r="H40" s="545"/>
      <c r="I40" s="545"/>
      <c r="J40" s="543"/>
      <c r="K40" s="545"/>
      <c r="L40" s="545"/>
      <c r="M40" s="545"/>
      <c r="N40" s="545"/>
      <c r="O40" s="543"/>
      <c r="P40" s="545"/>
      <c r="Q40" s="545"/>
      <c r="R40" s="545"/>
      <c r="S40" s="545"/>
      <c r="T40" s="543"/>
      <c r="U40" s="286"/>
      <c r="V40" s="286"/>
      <c r="W40" s="975">
        <f>W36+W38</f>
        <v>0</v>
      </c>
      <c r="X40" s="974"/>
      <c r="Y40" s="974"/>
      <c r="Z40" s="974"/>
      <c r="AA40" s="306" t="s">
        <v>292</v>
      </c>
      <c r="AB40" s="286"/>
      <c r="AC40" s="286"/>
    </row>
    <row r="41" spans="1:29" ht="13.5" thickTop="1">
      <c r="W41" s="286"/>
    </row>
    <row r="42" spans="1:29">
      <c r="W42" s="286"/>
    </row>
  </sheetData>
  <sheetProtection algorithmName="SHA-512" hashValue="ESv4A7yQ/tDPLXn8Di+5Ho5fDPjbF/M7ZikKOn2jhl89Z4N1U0Sk1S8ntEHM+C7GPWBdAk42BgWpVne/DSrG3Q==" saltValue="NKd2Q9QeAY+H/YdwH22UOg==" spinCount="100000" sheet="1" selectLockedCells="1"/>
  <mergeCells count="79">
    <mergeCell ref="O1:P1"/>
    <mergeCell ref="Q1:R1"/>
    <mergeCell ref="W38:Z38"/>
    <mergeCell ref="W40:Z40"/>
    <mergeCell ref="B17:T17"/>
    <mergeCell ref="Y1:AC1"/>
    <mergeCell ref="O2:T2"/>
    <mergeCell ref="B7:F7"/>
    <mergeCell ref="J8:L9"/>
    <mergeCell ref="N8:T9"/>
    <mergeCell ref="J10:L10"/>
    <mergeCell ref="N10:T10"/>
    <mergeCell ref="J11:L11"/>
    <mergeCell ref="N11:T11"/>
    <mergeCell ref="J12:L12"/>
    <mergeCell ref="O12:T12"/>
    <mergeCell ref="B14:T16"/>
    <mergeCell ref="B18:E18"/>
    <mergeCell ref="W28:Z28"/>
    <mergeCell ref="H18:O18"/>
    <mergeCell ref="B20:E20"/>
    <mergeCell ref="F20:J20"/>
    <mergeCell ref="K20:O20"/>
    <mergeCell ref="W24:Z24"/>
    <mergeCell ref="W20:AA20"/>
    <mergeCell ref="B21:E22"/>
    <mergeCell ref="K21:O21"/>
    <mergeCell ref="F22:I22"/>
    <mergeCell ref="K22:N22"/>
    <mergeCell ref="P22:S22"/>
    <mergeCell ref="W22:Z22"/>
    <mergeCell ref="P20:T20"/>
    <mergeCell ref="B23:E24"/>
    <mergeCell ref="F24:I24"/>
    <mergeCell ref="W26:Z26"/>
    <mergeCell ref="P24:S24"/>
    <mergeCell ref="F21:I21"/>
    <mergeCell ref="F23:I23"/>
    <mergeCell ref="K23:N23"/>
    <mergeCell ref="K24:N24"/>
    <mergeCell ref="B27:E28"/>
    <mergeCell ref="F28:I28"/>
    <mergeCell ref="K28:N28"/>
    <mergeCell ref="P28:S28"/>
    <mergeCell ref="F25:I25"/>
    <mergeCell ref="F27:I27"/>
    <mergeCell ref="K25:N25"/>
    <mergeCell ref="K27:N27"/>
    <mergeCell ref="B25:E26"/>
    <mergeCell ref="F26:I26"/>
    <mergeCell ref="K26:N26"/>
    <mergeCell ref="P26:S26"/>
    <mergeCell ref="W32:Z32"/>
    <mergeCell ref="B29:E30"/>
    <mergeCell ref="F30:I30"/>
    <mergeCell ref="K30:N30"/>
    <mergeCell ref="P30:S30"/>
    <mergeCell ref="W30:Z30"/>
    <mergeCell ref="B31:E32"/>
    <mergeCell ref="F32:I32"/>
    <mergeCell ref="K32:N32"/>
    <mergeCell ref="P32:S32"/>
    <mergeCell ref="F29:I29"/>
    <mergeCell ref="F31:I31"/>
    <mergeCell ref="K29:N29"/>
    <mergeCell ref="K31:N31"/>
    <mergeCell ref="W36:Z36"/>
    <mergeCell ref="B33:E34"/>
    <mergeCell ref="F34:I34"/>
    <mergeCell ref="K34:N34"/>
    <mergeCell ref="P34:S34"/>
    <mergeCell ref="W34:Z34"/>
    <mergeCell ref="B35:E36"/>
    <mergeCell ref="F36:I36"/>
    <mergeCell ref="K36:N36"/>
    <mergeCell ref="P36:S36"/>
    <mergeCell ref="F33:I33"/>
    <mergeCell ref="K33:N33"/>
    <mergeCell ref="K35:N35"/>
  </mergeCells>
  <phoneticPr fontId="1"/>
  <conditionalFormatting sqref="B17:T17">
    <cfRule type="notContainsBlanks" dxfId="7" priority="1">
      <formula>LEN(TRIM(B17))&gt;0</formula>
    </cfRule>
  </conditionalFormatting>
  <pageMargins left="0.95" right="0.69" top="0.98399999999999999" bottom="0.98399999999999999" header="0.51200000000000001" footer="0.51200000000000001"/>
  <pageSetup paperSize="9" scale="77" orientation="portrait" r:id="rId1"/>
  <headerFooter alignWithMargins="0"/>
  <colBreaks count="1" manualBreakCount="1">
    <brk id="21" max="1048575" man="1"/>
  </colBreaks>
  <ignoredErrors>
    <ignoredError sqref="N9:T9 O8:T8 N12 O10:T10 O11:T11 P12:T12" unlockedFormula="1"/>
  </ignoredErrors>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E0F1F-39C4-4851-A8B0-CA0E2267600E}">
  <sheetPr>
    <tabColor rgb="FFFFFF00"/>
  </sheetPr>
  <dimension ref="A1:Q39"/>
  <sheetViews>
    <sheetView view="pageBreakPreview" zoomScaleNormal="100" zoomScaleSheetLayoutView="100" workbookViewId="0">
      <selection activeCell="F13" sqref="F13:H13"/>
    </sheetView>
  </sheetViews>
  <sheetFormatPr defaultColWidth="9" defaultRowHeight="13"/>
  <cols>
    <col min="1" max="1" width="1.33203125" style="178" customWidth="1"/>
    <col min="2" max="2" width="15.83203125" style="178" customWidth="1"/>
    <col min="3" max="3" width="18.75" style="178" customWidth="1"/>
    <col min="4" max="4" width="3.75" style="178" customWidth="1"/>
    <col min="5" max="5" width="20.33203125" style="178" customWidth="1"/>
    <col min="6" max="6" width="3.33203125" style="178" customWidth="1"/>
    <col min="7" max="7" width="18.83203125" style="178" customWidth="1"/>
    <col min="8" max="8" width="4.58203125" style="178" customWidth="1"/>
    <col min="9" max="9" width="6.5" style="178" customWidth="1"/>
    <col min="10" max="11" width="4.75" style="178" customWidth="1"/>
    <col min="12" max="12" width="8" style="178" customWidth="1"/>
    <col min="13" max="13" width="10.25" style="178" customWidth="1"/>
    <col min="14" max="14" width="17.5" style="178" customWidth="1"/>
    <col min="15" max="15" width="5.83203125" style="178" customWidth="1"/>
    <col min="16" max="16" width="5.75" style="178" customWidth="1"/>
    <col min="17" max="17" width="5.58203125" style="178" customWidth="1"/>
    <col min="18" max="16384" width="9" style="178"/>
  </cols>
  <sheetData>
    <row r="1" spans="1:17" ht="20.25" customHeight="1">
      <c r="A1" s="201" t="s">
        <v>725</v>
      </c>
      <c r="B1" s="201"/>
      <c r="C1" s="201" t="s">
        <v>289</v>
      </c>
      <c r="D1" s="201"/>
      <c r="E1" s="201"/>
      <c r="F1" s="201"/>
      <c r="G1" s="201"/>
      <c r="H1" s="201"/>
      <c r="I1" s="37" t="e">
        <f>①基本情報!Q5</f>
        <v>#N/A</v>
      </c>
      <c r="J1" s="37"/>
      <c r="K1" s="37"/>
      <c r="L1" s="37"/>
      <c r="M1" s="37"/>
      <c r="N1" s="37"/>
      <c r="O1" s="37"/>
      <c r="P1" s="37"/>
      <c r="Q1" s="37"/>
    </row>
    <row r="2" spans="1:17" ht="20.25" customHeight="1">
      <c r="A2" s="37"/>
      <c r="B2" s="201"/>
      <c r="C2" s="201"/>
      <c r="D2" s="201"/>
      <c r="E2" s="201"/>
      <c r="F2" s="201"/>
      <c r="G2" s="214">
        <v>45778</v>
      </c>
      <c r="H2" s="201"/>
      <c r="I2" s="37"/>
      <c r="J2" s="37"/>
      <c r="K2" s="37"/>
      <c r="L2" s="37"/>
      <c r="M2" s="37"/>
      <c r="O2" s="37"/>
      <c r="P2" s="37"/>
      <c r="Q2" s="37"/>
    </row>
    <row r="3" spans="1:17" ht="15" customHeight="1">
      <c r="A3" s="37"/>
      <c r="B3" s="201"/>
      <c r="C3" s="201"/>
      <c r="D3" s="201"/>
      <c r="E3" s="201"/>
      <c r="F3" s="201"/>
      <c r="G3" s="201"/>
      <c r="H3" s="201"/>
      <c r="I3" s="37"/>
      <c r="J3" s="37"/>
      <c r="K3" s="37"/>
      <c r="L3" s="37"/>
      <c r="M3" s="37"/>
      <c r="N3" s="37"/>
      <c r="O3" s="37"/>
      <c r="P3" s="37"/>
      <c r="Q3" s="37"/>
    </row>
    <row r="4" spans="1:17" ht="20.25" customHeight="1">
      <c r="A4" s="886" t="s">
        <v>856</v>
      </c>
      <c r="B4" s="886"/>
      <c r="C4" s="886"/>
      <c r="D4" s="886"/>
      <c r="E4" s="886"/>
      <c r="F4" s="886"/>
      <c r="G4" s="886"/>
      <c r="H4" s="886"/>
      <c r="I4" s="37"/>
      <c r="J4" s="37"/>
      <c r="K4" s="37"/>
      <c r="L4" s="37"/>
      <c r="M4" s="37"/>
      <c r="N4" s="37"/>
      <c r="O4" s="37"/>
      <c r="P4" s="37"/>
      <c r="Q4" s="37"/>
    </row>
    <row r="5" spans="1:17" ht="20.25" customHeight="1">
      <c r="A5" s="886" t="s">
        <v>857</v>
      </c>
      <c r="B5" s="886"/>
      <c r="C5" s="886"/>
      <c r="D5" s="886"/>
      <c r="E5" s="886"/>
      <c r="F5" s="886"/>
      <c r="G5" s="886"/>
      <c r="H5" s="886"/>
      <c r="I5" s="37"/>
      <c r="J5" s="37"/>
      <c r="K5" s="37"/>
      <c r="L5" s="37"/>
      <c r="M5" s="37"/>
      <c r="N5" s="37"/>
      <c r="O5" s="37"/>
      <c r="P5" s="37"/>
      <c r="Q5" s="37"/>
    </row>
    <row r="6" spans="1:17" ht="15" customHeight="1">
      <c r="A6" s="37"/>
      <c r="B6" s="201"/>
      <c r="C6" s="201"/>
      <c r="D6" s="201"/>
      <c r="E6" s="201"/>
      <c r="F6" s="201"/>
      <c r="G6" s="201"/>
      <c r="H6" s="201"/>
      <c r="I6" s="37"/>
      <c r="J6" s="37"/>
      <c r="K6" s="37"/>
      <c r="L6" s="37"/>
      <c r="M6" s="37"/>
      <c r="N6" s="37"/>
      <c r="O6" s="37"/>
      <c r="P6" s="37"/>
      <c r="Q6" s="37"/>
    </row>
    <row r="7" spans="1:17" ht="23.15" customHeight="1">
      <c r="A7" s="37"/>
      <c r="B7" s="201" t="s">
        <v>840</v>
      </c>
      <c r="C7" s="215"/>
      <c r="D7" s="215"/>
      <c r="E7" s="201"/>
      <c r="F7" s="888" t="e">
        <f>様式８!F7</f>
        <v>#N/A</v>
      </c>
      <c r="G7" s="888"/>
      <c r="H7" s="888"/>
      <c r="I7" s="37"/>
      <c r="J7" s="37"/>
      <c r="K7" s="37"/>
      <c r="L7" s="37"/>
      <c r="M7" s="37"/>
      <c r="N7" s="37"/>
      <c r="O7" s="37"/>
      <c r="P7" s="37"/>
      <c r="Q7" s="37"/>
    </row>
    <row r="8" spans="1:17" ht="17.149999999999999" customHeight="1">
      <c r="A8" s="37"/>
      <c r="B8" s="201"/>
      <c r="C8" s="201"/>
      <c r="D8" s="201"/>
      <c r="E8" s="201"/>
      <c r="F8" s="889"/>
      <c r="G8" s="889"/>
      <c r="H8" s="889"/>
      <c r="I8" s="37"/>
      <c r="J8" s="37"/>
      <c r="K8" s="37"/>
      <c r="L8" s="37"/>
      <c r="M8" s="37"/>
      <c r="N8" s="37"/>
      <c r="O8" s="37"/>
      <c r="P8" s="37"/>
      <c r="Q8" s="37"/>
    </row>
    <row r="9" spans="1:17" ht="30" customHeight="1">
      <c r="A9" s="986" t="str">
        <f>IF(①基本情報!$S$19=1,K22,"")</f>
        <v>概算払いは請求しないことが選択されています。</v>
      </c>
      <c r="B9" s="987"/>
      <c r="C9" s="987"/>
      <c r="D9" s="987"/>
      <c r="E9" s="216" t="s">
        <v>858</v>
      </c>
      <c r="F9" s="889"/>
      <c r="G9" s="889"/>
      <c r="H9" s="889"/>
      <c r="I9" s="37" t="e">
        <f>VLOOKUP($I$1,補助金用基本データ!$D$5:$T$58,11)</f>
        <v>#N/A</v>
      </c>
      <c r="J9" s="37" t="e">
        <f>IF(F7=I9,0,1)</f>
        <v>#N/A</v>
      </c>
      <c r="K9" s="37"/>
      <c r="L9" s="37"/>
      <c r="Q9" s="37"/>
    </row>
    <row r="10" spans="1:17" ht="23.15" customHeight="1">
      <c r="A10" s="988" t="str">
        <f>IF(①基本情報!$S$19=1,K23,"")</f>
        <v>概算払いを希望しない場合は、現行の入力で問題ありません。</v>
      </c>
      <c r="B10" s="989"/>
      <c r="C10" s="989"/>
      <c r="D10" s="989"/>
      <c r="E10" s="216" t="s">
        <v>859</v>
      </c>
      <c r="F10" s="893" t="e">
        <f>様式８!F10</f>
        <v>#N/A</v>
      </c>
      <c r="G10" s="893"/>
      <c r="H10" s="893"/>
      <c r="I10" s="37" t="e">
        <f>VLOOKUP($I$1,補助金用基本データ!$D$5:$T$58,10)</f>
        <v>#N/A</v>
      </c>
      <c r="J10" s="37" t="e">
        <f>IF(F10=I10,0,1)</f>
        <v>#N/A</v>
      </c>
      <c r="K10" s="37"/>
      <c r="L10" s="37"/>
      <c r="Q10" s="37"/>
    </row>
    <row r="11" spans="1:17" ht="23.15" customHeight="1">
      <c r="A11" s="983" t="str">
        <f>IF(①基本情報!$S$19=1,K24,"")</f>
        <v>概算払いを希望する場合は、「①基本情報」シート【概算払いについて（注意事項）】を確認し、同シートの「Ｌ２０セル」で「概算払いを請求する」を選択してください。</v>
      </c>
      <c r="B11" s="983"/>
      <c r="C11" s="983"/>
      <c r="D11" s="983"/>
      <c r="E11" s="216" t="s">
        <v>860</v>
      </c>
      <c r="F11" s="893" t="e">
        <f>様式８!F11</f>
        <v>#N/A</v>
      </c>
      <c r="G11" s="893"/>
      <c r="H11" s="893"/>
      <c r="I11" s="37" t="e">
        <f>VLOOKUP($I$1,補助金用基本データ!$D$5:$T$58,15)&amp;"　"&amp;VLOOKUP($I$1,補助金用基本データ!$D$5:$T$58,16)</f>
        <v>#N/A</v>
      </c>
      <c r="J11" s="37" t="e">
        <f>IF(F11=I11,0,1)</f>
        <v>#N/A</v>
      </c>
      <c r="K11" s="37"/>
      <c r="L11" s="37" t="s">
        <v>861</v>
      </c>
      <c r="Q11" s="37"/>
    </row>
    <row r="12" spans="1:17" ht="23.15" customHeight="1">
      <c r="A12" s="983"/>
      <c r="B12" s="983"/>
      <c r="C12" s="983"/>
      <c r="D12" s="983"/>
      <c r="E12" s="217" t="s">
        <v>862</v>
      </c>
      <c r="F12" s="893" t="e">
        <f>様式８!F12</f>
        <v>#N/A</v>
      </c>
      <c r="G12" s="893"/>
      <c r="H12" s="893"/>
      <c r="I12" s="178">
        <f>IF('②-1職員名簿'!U3="","",'②-1職員名簿'!U3)</f>
        <v>0</v>
      </c>
      <c r="J12" s="37" t="e">
        <f>IF(F12=I12,0,1)</f>
        <v>#N/A</v>
      </c>
      <c r="K12" s="37"/>
      <c r="L12" s="37" t="s">
        <v>861</v>
      </c>
      <c r="Q12" s="37"/>
    </row>
    <row r="13" spans="1:17" ht="23.15" customHeight="1">
      <c r="A13" s="983"/>
      <c r="B13" s="983"/>
      <c r="C13" s="983"/>
      <c r="D13" s="983"/>
      <c r="E13" s="217" t="s">
        <v>1767</v>
      </c>
      <c r="F13" s="893">
        <f>①基本情報!M4</f>
        <v>0</v>
      </c>
      <c r="G13" s="893"/>
      <c r="H13" s="893"/>
      <c r="J13" s="37"/>
      <c r="K13" s="37"/>
      <c r="L13" s="37"/>
      <c r="Q13" s="37"/>
    </row>
    <row r="14" spans="1:17" ht="23.15" customHeight="1">
      <c r="A14" s="634"/>
      <c r="B14" s="634"/>
      <c r="C14" s="634"/>
      <c r="D14" s="634"/>
      <c r="E14" s="201"/>
      <c r="F14" s="201"/>
      <c r="G14" s="201"/>
      <c r="H14" s="201" t="e">
        <f>SUM(J9:J12)</f>
        <v>#N/A</v>
      </c>
      <c r="I14" s="37"/>
      <c r="J14" s="37"/>
      <c r="K14" s="37"/>
      <c r="L14" s="37"/>
      <c r="M14" s="37"/>
      <c r="N14" s="37"/>
      <c r="O14" s="37"/>
      <c r="P14" s="37"/>
      <c r="Q14" s="37"/>
    </row>
    <row r="15" spans="1:17" ht="20.25" customHeight="1">
      <c r="B15" s="897" t="s">
        <v>1753</v>
      </c>
      <c r="C15" s="897"/>
      <c r="D15" s="897"/>
      <c r="E15" s="897"/>
      <c r="F15" s="897"/>
      <c r="G15" s="897"/>
      <c r="H15" s="897"/>
      <c r="I15" s="37"/>
      <c r="J15" s="37"/>
      <c r="K15" s="37"/>
      <c r="M15" s="37"/>
      <c r="N15" s="37"/>
      <c r="O15" s="37"/>
      <c r="P15" s="37"/>
      <c r="Q15" s="37"/>
    </row>
    <row r="16" spans="1:17" ht="20.25" customHeight="1">
      <c r="B16" s="897"/>
      <c r="C16" s="897"/>
      <c r="D16" s="897"/>
      <c r="E16" s="897"/>
      <c r="F16" s="897"/>
      <c r="G16" s="897"/>
      <c r="H16" s="897"/>
      <c r="I16" s="37"/>
      <c r="J16" s="37"/>
      <c r="K16" s="37"/>
      <c r="L16" s="37"/>
      <c r="M16" s="37"/>
      <c r="N16" s="37"/>
      <c r="O16" s="37"/>
      <c r="P16" s="37"/>
      <c r="Q16" s="37"/>
    </row>
    <row r="17" spans="1:17" ht="20.25" customHeight="1">
      <c r="A17" s="37"/>
      <c r="B17" s="897"/>
      <c r="C17" s="897"/>
      <c r="D17" s="897"/>
      <c r="E17" s="897"/>
      <c r="F17" s="897"/>
      <c r="G17" s="897"/>
      <c r="H17" s="897"/>
      <c r="I17" s="37"/>
      <c r="J17" s="37"/>
      <c r="K17" s="37"/>
      <c r="L17" s="37"/>
      <c r="M17" s="37"/>
      <c r="N17" s="37"/>
      <c r="O17" s="37"/>
      <c r="P17" s="37"/>
      <c r="Q17" s="37"/>
    </row>
    <row r="18" spans="1:17" ht="20.25" customHeight="1">
      <c r="A18" s="37"/>
      <c r="B18" s="201"/>
      <c r="C18" s="201"/>
      <c r="D18" s="201"/>
      <c r="E18" s="201"/>
      <c r="F18" s="201"/>
      <c r="G18" s="201"/>
      <c r="H18" s="201"/>
      <c r="I18" s="37"/>
      <c r="J18" s="37"/>
      <c r="K18" s="37"/>
      <c r="L18" s="37"/>
      <c r="M18" s="37"/>
      <c r="N18" s="37"/>
      <c r="O18" s="37"/>
      <c r="P18" s="37"/>
      <c r="Q18" s="37"/>
    </row>
    <row r="19" spans="1:17" ht="23.15" customHeight="1">
      <c r="A19" s="201" t="s">
        <v>863</v>
      </c>
      <c r="B19" s="201"/>
      <c r="C19" s="201"/>
      <c r="D19" s="201"/>
      <c r="E19" s="218">
        <f>SUM(G39)</f>
        <v>0</v>
      </c>
      <c r="F19" s="201"/>
      <c r="G19" s="203" t="s">
        <v>290</v>
      </c>
      <c r="H19" s="203"/>
      <c r="I19" s="37"/>
      <c r="J19" s="899"/>
      <c r="K19" s="899"/>
      <c r="L19" s="899"/>
      <c r="M19" s="899"/>
      <c r="O19" s="37"/>
      <c r="P19" s="37"/>
      <c r="Q19" s="37"/>
    </row>
    <row r="20" spans="1:17" ht="15" customHeight="1" thickBot="1">
      <c r="A20" s="37"/>
      <c r="B20" s="201"/>
      <c r="C20" s="201"/>
      <c r="D20" s="201"/>
      <c r="E20" s="201"/>
      <c r="F20" s="201"/>
      <c r="G20" s="201"/>
      <c r="H20" s="201"/>
      <c r="I20" s="37"/>
      <c r="J20" s="37"/>
      <c r="K20" s="37"/>
      <c r="L20" s="37"/>
      <c r="M20" s="37"/>
      <c r="N20" s="37"/>
      <c r="O20" s="37"/>
      <c r="P20" s="37"/>
      <c r="Q20" s="37"/>
    </row>
    <row r="21" spans="1:17" ht="23.15" customHeight="1">
      <c r="A21" s="37"/>
      <c r="B21" s="219" t="s">
        <v>291</v>
      </c>
      <c r="C21" s="990" t="s">
        <v>294</v>
      </c>
      <c r="D21" s="991"/>
      <c r="E21" s="990" t="s">
        <v>295</v>
      </c>
      <c r="F21" s="991"/>
      <c r="G21" s="992" t="s">
        <v>726</v>
      </c>
      <c r="H21" s="993"/>
      <c r="I21" s="37"/>
      <c r="J21" s="37"/>
      <c r="K21" s="37"/>
      <c r="L21" s="37"/>
      <c r="M21" s="37"/>
      <c r="N21" s="37"/>
      <c r="O21" s="37"/>
      <c r="P21" s="37"/>
      <c r="Q21" s="37"/>
    </row>
    <row r="22" spans="1:17" ht="15" customHeight="1">
      <c r="A22" s="37"/>
      <c r="B22" s="984" t="s">
        <v>988</v>
      </c>
      <c r="C22" s="220"/>
      <c r="D22" s="221"/>
      <c r="E22" s="222" t="s">
        <v>864</v>
      </c>
      <c r="F22" s="223"/>
      <c r="G22" s="220"/>
      <c r="H22" s="224"/>
      <c r="I22" s="37"/>
      <c r="J22" s="37"/>
      <c r="K22" s="178" t="s">
        <v>875</v>
      </c>
      <c r="L22" s="247"/>
      <c r="M22" s="247"/>
      <c r="N22" s="247"/>
      <c r="O22" s="247"/>
      <c r="P22" s="247"/>
      <c r="Q22" s="247"/>
    </row>
    <row r="23" spans="1:17" ht="15" customHeight="1">
      <c r="A23" s="37"/>
      <c r="B23" s="985"/>
      <c r="C23" s="232">
        <f>ROUNDDOWN(様式１!J22*3/4,-3)</f>
        <v>0</v>
      </c>
      <c r="D23" s="225" t="s">
        <v>292</v>
      </c>
      <c r="E23" s="234">
        <v>0</v>
      </c>
      <c r="F23" s="226" t="s">
        <v>292</v>
      </c>
      <c r="G23" s="234">
        <f>ROUNDDOWN(C23*2/3,-3)</f>
        <v>0</v>
      </c>
      <c r="H23" s="227" t="s">
        <v>292</v>
      </c>
      <c r="I23" s="37"/>
      <c r="J23" s="37"/>
      <c r="K23" s="37" t="s">
        <v>1756</v>
      </c>
      <c r="L23" s="247"/>
      <c r="M23" s="247"/>
      <c r="N23" s="247"/>
      <c r="O23" s="247"/>
      <c r="P23" s="247"/>
      <c r="Q23" s="247"/>
    </row>
    <row r="24" spans="1:17" ht="15" customHeight="1">
      <c r="A24" s="37"/>
      <c r="B24" s="984" t="s">
        <v>989</v>
      </c>
      <c r="C24" s="233"/>
      <c r="D24" s="221"/>
      <c r="E24" s="222" t="s">
        <v>864</v>
      </c>
      <c r="F24" s="223"/>
      <c r="G24" s="233"/>
      <c r="H24" s="224"/>
      <c r="I24" s="37"/>
      <c r="J24" s="37"/>
      <c r="K24" s="994" t="s">
        <v>1090</v>
      </c>
      <c r="L24" s="994"/>
      <c r="M24" s="994"/>
      <c r="N24" s="994"/>
      <c r="O24" s="994"/>
      <c r="P24" s="994"/>
      <c r="Q24" s="994"/>
    </row>
    <row r="25" spans="1:17" ht="15" customHeight="1">
      <c r="A25" s="37"/>
      <c r="B25" s="985"/>
      <c r="C25" s="232">
        <f>ROUNDDOWN(様式１!J23*3/4,-3)</f>
        <v>0</v>
      </c>
      <c r="D25" s="225" t="s">
        <v>292</v>
      </c>
      <c r="E25" s="234">
        <v>0</v>
      </c>
      <c r="F25" s="226" t="s">
        <v>292</v>
      </c>
      <c r="G25" s="234">
        <f>ROUNDDOWN(C25*2/3,-3)</f>
        <v>0</v>
      </c>
      <c r="H25" s="227" t="s">
        <v>292</v>
      </c>
      <c r="I25" s="37"/>
      <c r="J25" s="37"/>
      <c r="K25" s="994"/>
      <c r="L25" s="994"/>
      <c r="M25" s="994"/>
      <c r="N25" s="994"/>
      <c r="O25" s="994"/>
      <c r="P25" s="994"/>
      <c r="Q25" s="994"/>
    </row>
    <row r="26" spans="1:17" ht="15" customHeight="1">
      <c r="A26" s="37"/>
      <c r="B26" s="984" t="s">
        <v>990</v>
      </c>
      <c r="C26" s="233"/>
      <c r="D26" s="221"/>
      <c r="E26" s="222" t="s">
        <v>864</v>
      </c>
      <c r="F26" s="223"/>
      <c r="G26" s="233"/>
      <c r="H26" s="224"/>
      <c r="I26" s="37"/>
      <c r="J26" s="37"/>
      <c r="K26" s="994"/>
      <c r="L26" s="994"/>
      <c r="M26" s="994"/>
      <c r="N26" s="994"/>
      <c r="O26" s="994"/>
      <c r="P26" s="994"/>
      <c r="Q26" s="994"/>
    </row>
    <row r="27" spans="1:17" ht="15" customHeight="1">
      <c r="A27" s="37"/>
      <c r="B27" s="985"/>
      <c r="C27" s="232">
        <f>ROUNDDOWN(様式１!J24*3/4,-3)</f>
        <v>0</v>
      </c>
      <c r="D27" s="225" t="s">
        <v>292</v>
      </c>
      <c r="E27" s="234">
        <v>0</v>
      </c>
      <c r="F27" s="226" t="s">
        <v>292</v>
      </c>
      <c r="G27" s="234">
        <f>ROUNDDOWN(C27*2/3,-3)</f>
        <v>0</v>
      </c>
      <c r="H27" s="227" t="s">
        <v>292</v>
      </c>
      <c r="I27" s="37"/>
      <c r="J27" s="37"/>
      <c r="K27" s="994"/>
      <c r="L27" s="994"/>
      <c r="M27" s="994"/>
      <c r="N27" s="994"/>
      <c r="O27" s="994"/>
      <c r="P27" s="994"/>
      <c r="Q27" s="994"/>
    </row>
    <row r="28" spans="1:17" ht="15" customHeight="1">
      <c r="A28" s="37"/>
      <c r="B28" s="984" t="s">
        <v>991</v>
      </c>
      <c r="C28" s="233"/>
      <c r="D28" s="221"/>
      <c r="E28" s="222" t="s">
        <v>864</v>
      </c>
      <c r="F28" s="223"/>
      <c r="G28" s="233"/>
      <c r="H28" s="224"/>
      <c r="I28" s="37"/>
      <c r="J28" s="37"/>
      <c r="K28" s="994"/>
      <c r="L28" s="994"/>
      <c r="M28" s="994"/>
      <c r="N28" s="994"/>
      <c r="O28" s="994"/>
      <c r="P28" s="994"/>
      <c r="Q28" s="994"/>
    </row>
    <row r="29" spans="1:17" ht="15" customHeight="1">
      <c r="A29" s="37"/>
      <c r="B29" s="985"/>
      <c r="C29" s="232">
        <f>ROUNDDOWN(様式１!J25*3/4,-3)</f>
        <v>0</v>
      </c>
      <c r="D29" s="225" t="s">
        <v>292</v>
      </c>
      <c r="E29" s="234">
        <v>0</v>
      </c>
      <c r="F29" s="226" t="s">
        <v>292</v>
      </c>
      <c r="G29" s="234">
        <f>ROUNDDOWN(C29*2/3,-3)</f>
        <v>0</v>
      </c>
      <c r="H29" s="227" t="s">
        <v>292</v>
      </c>
      <c r="I29" s="37"/>
      <c r="J29" s="37"/>
      <c r="K29" s="37"/>
      <c r="L29" s="37"/>
      <c r="M29" s="37"/>
      <c r="N29" s="37"/>
      <c r="O29" s="37"/>
      <c r="P29" s="37"/>
      <c r="Q29" s="37"/>
    </row>
    <row r="30" spans="1:17" ht="15" customHeight="1">
      <c r="A30" s="37"/>
      <c r="B30" s="984" t="s">
        <v>992</v>
      </c>
      <c r="C30" s="233"/>
      <c r="D30" s="221"/>
      <c r="E30" s="222" t="s">
        <v>864</v>
      </c>
      <c r="F30" s="223"/>
      <c r="G30" s="233"/>
      <c r="H30" s="224"/>
      <c r="I30" s="37"/>
      <c r="J30" s="37"/>
      <c r="K30" s="37"/>
      <c r="L30" s="37"/>
      <c r="M30" s="37"/>
      <c r="N30" s="37"/>
      <c r="O30" s="37"/>
      <c r="P30" s="37"/>
      <c r="Q30" s="37"/>
    </row>
    <row r="31" spans="1:17" ht="15" customHeight="1">
      <c r="A31" s="37"/>
      <c r="B31" s="985"/>
      <c r="C31" s="232">
        <f>ROUNDDOWN(様式１!J26*3/4,-3)</f>
        <v>0</v>
      </c>
      <c r="D31" s="225" t="s">
        <v>292</v>
      </c>
      <c r="E31" s="234">
        <v>0</v>
      </c>
      <c r="F31" s="226" t="s">
        <v>292</v>
      </c>
      <c r="G31" s="234">
        <f>ROUNDDOWN(C31*2/3,-3)</f>
        <v>0</v>
      </c>
      <c r="H31" s="227" t="s">
        <v>292</v>
      </c>
      <c r="I31" s="37"/>
      <c r="J31" s="37"/>
      <c r="K31" s="37"/>
      <c r="L31" s="37"/>
      <c r="M31" s="37"/>
      <c r="N31" s="37"/>
      <c r="O31" s="37"/>
      <c r="P31" s="37"/>
      <c r="Q31" s="37"/>
    </row>
    <row r="32" spans="1:17" ht="15" customHeight="1">
      <c r="A32" s="37"/>
      <c r="B32" s="984" t="s">
        <v>993</v>
      </c>
      <c r="C32" s="233"/>
      <c r="D32" s="221"/>
      <c r="E32" s="222" t="s">
        <v>864</v>
      </c>
      <c r="F32" s="223"/>
      <c r="G32" s="233"/>
      <c r="H32" s="224"/>
      <c r="I32" s="37"/>
      <c r="J32" s="37"/>
      <c r="K32" s="37"/>
      <c r="L32" s="37"/>
      <c r="M32" s="37"/>
      <c r="N32" s="37"/>
      <c r="O32" s="37"/>
      <c r="P32" s="37"/>
      <c r="Q32" s="37"/>
    </row>
    <row r="33" spans="1:17" ht="15" customHeight="1">
      <c r="A33" s="37"/>
      <c r="B33" s="985"/>
      <c r="C33" s="232">
        <f>ROUNDDOWN(様式１!J27*3/4,-3)</f>
        <v>0</v>
      </c>
      <c r="D33" s="225" t="s">
        <v>292</v>
      </c>
      <c r="E33" s="234">
        <v>0</v>
      </c>
      <c r="F33" s="226" t="s">
        <v>292</v>
      </c>
      <c r="G33" s="234">
        <f>ROUNDDOWN(C33*2/3,-3)</f>
        <v>0</v>
      </c>
      <c r="H33" s="227" t="s">
        <v>292</v>
      </c>
      <c r="I33" s="37"/>
      <c r="J33" s="37"/>
      <c r="K33" s="37"/>
      <c r="L33" s="37"/>
      <c r="M33" s="37"/>
      <c r="N33" s="37"/>
      <c r="O33" s="37"/>
      <c r="P33" s="37"/>
      <c r="Q33" s="37"/>
    </row>
    <row r="34" spans="1:17" ht="15" customHeight="1">
      <c r="A34" s="37"/>
      <c r="B34" s="984" t="s">
        <v>994</v>
      </c>
      <c r="C34" s="233"/>
      <c r="D34" s="221"/>
      <c r="E34" s="222" t="s">
        <v>864</v>
      </c>
      <c r="F34" s="223"/>
      <c r="G34" s="233"/>
      <c r="H34" s="224"/>
      <c r="I34" s="37"/>
      <c r="J34" s="37"/>
      <c r="K34" s="37"/>
      <c r="L34" s="37"/>
      <c r="M34" s="37"/>
      <c r="N34" s="37"/>
      <c r="O34" s="37"/>
      <c r="P34" s="37"/>
      <c r="Q34" s="37"/>
    </row>
    <row r="35" spans="1:17" ht="15" customHeight="1">
      <c r="A35" s="37"/>
      <c r="B35" s="985"/>
      <c r="C35" s="232">
        <f>ROUNDDOWN(様式１!J28*3/4,-3)</f>
        <v>0</v>
      </c>
      <c r="D35" s="225" t="s">
        <v>292</v>
      </c>
      <c r="E35" s="234">
        <v>0</v>
      </c>
      <c r="F35" s="226" t="s">
        <v>292</v>
      </c>
      <c r="G35" s="234">
        <f>ROUNDDOWN(C35*2/3,-3)</f>
        <v>0</v>
      </c>
      <c r="H35" s="227" t="s">
        <v>292</v>
      </c>
      <c r="I35" s="37"/>
      <c r="J35" s="37"/>
      <c r="K35" s="37"/>
      <c r="L35" s="37"/>
      <c r="M35" s="37"/>
      <c r="N35" s="37"/>
      <c r="O35" s="37"/>
      <c r="P35" s="37"/>
      <c r="Q35" s="37"/>
    </row>
    <row r="36" spans="1:17" ht="15" customHeight="1">
      <c r="A36" s="37"/>
      <c r="B36" s="918" t="s">
        <v>1754</v>
      </c>
      <c r="C36" s="233"/>
      <c r="D36" s="221"/>
      <c r="E36" s="222" t="s">
        <v>864</v>
      </c>
      <c r="F36" s="223"/>
      <c r="G36" s="233"/>
      <c r="H36" s="224"/>
      <c r="I36" s="37"/>
      <c r="J36" s="37"/>
      <c r="K36" s="37"/>
      <c r="L36" s="37"/>
      <c r="M36" s="37"/>
      <c r="N36" s="37"/>
      <c r="O36" s="37"/>
      <c r="P36" s="37"/>
      <c r="Q36" s="37"/>
    </row>
    <row r="37" spans="1:17" ht="15" customHeight="1">
      <c r="A37" s="37"/>
      <c r="B37" s="996"/>
      <c r="C37" s="232">
        <f>様式１!J29</f>
        <v>0</v>
      </c>
      <c r="D37" s="225" t="s">
        <v>292</v>
      </c>
      <c r="E37" s="234">
        <v>0</v>
      </c>
      <c r="F37" s="226" t="s">
        <v>292</v>
      </c>
      <c r="G37" s="232">
        <f>C37</f>
        <v>0</v>
      </c>
      <c r="H37" s="227" t="s">
        <v>292</v>
      </c>
      <c r="I37" s="37"/>
      <c r="J37" s="37"/>
      <c r="K37" s="37"/>
      <c r="L37" s="37"/>
      <c r="M37" s="37"/>
      <c r="N37" s="37"/>
      <c r="O37" s="37"/>
      <c r="P37" s="37"/>
      <c r="Q37" s="37"/>
    </row>
    <row r="38" spans="1:17" ht="15" customHeight="1">
      <c r="A38" s="37"/>
      <c r="B38" s="984" t="s">
        <v>293</v>
      </c>
      <c r="C38" s="233"/>
      <c r="D38" s="221"/>
      <c r="E38" s="222" t="s">
        <v>864</v>
      </c>
      <c r="F38" s="223"/>
      <c r="G38" s="233"/>
      <c r="H38" s="224"/>
      <c r="I38" s="37"/>
      <c r="J38" s="37"/>
      <c r="K38" s="37"/>
      <c r="L38" s="37"/>
      <c r="M38" s="37"/>
      <c r="N38" s="37"/>
      <c r="O38" s="37"/>
      <c r="P38" s="37"/>
      <c r="Q38" s="37"/>
    </row>
    <row r="39" spans="1:17" ht="15" customHeight="1" thickBot="1">
      <c r="A39" s="37"/>
      <c r="B39" s="995"/>
      <c r="C39" s="445">
        <f>SUM(C23,C25,C33,C27,C29,C31,C35,C37)</f>
        <v>0</v>
      </c>
      <c r="D39" s="228" t="s">
        <v>292</v>
      </c>
      <c r="E39" s="445">
        <f>SUM(E23,E25,E33,E27,E29,E31,E35)</f>
        <v>0</v>
      </c>
      <c r="F39" s="229" t="s">
        <v>292</v>
      </c>
      <c r="G39" s="445">
        <f>SUM(G23,G25,G33,G27,G29,G31,G35,G37)</f>
        <v>0</v>
      </c>
      <c r="H39" s="230" t="s">
        <v>292</v>
      </c>
      <c r="I39" s="37"/>
      <c r="J39" s="37"/>
      <c r="K39" s="37"/>
      <c r="L39" s="37"/>
      <c r="M39" s="37"/>
      <c r="N39" s="37"/>
      <c r="O39" s="37"/>
      <c r="P39" s="37"/>
      <c r="Q39" s="37"/>
    </row>
  </sheetData>
  <sheetProtection selectLockedCells="1"/>
  <mergeCells count="25">
    <mergeCell ref="B24:B25"/>
    <mergeCell ref="B32:B33"/>
    <mergeCell ref="B34:B35"/>
    <mergeCell ref="B38:B39"/>
    <mergeCell ref="B26:B27"/>
    <mergeCell ref="B28:B29"/>
    <mergeCell ref="B30:B31"/>
    <mergeCell ref="B36:B37"/>
    <mergeCell ref="J19:M19"/>
    <mergeCell ref="C21:D21"/>
    <mergeCell ref="E21:F21"/>
    <mergeCell ref="G21:H21"/>
    <mergeCell ref="K24:Q28"/>
    <mergeCell ref="B22:B23"/>
    <mergeCell ref="F12:H12"/>
    <mergeCell ref="A9:D9"/>
    <mergeCell ref="A10:D10"/>
    <mergeCell ref="B15:H17"/>
    <mergeCell ref="A4:H4"/>
    <mergeCell ref="A5:H5"/>
    <mergeCell ref="F7:H9"/>
    <mergeCell ref="F10:H10"/>
    <mergeCell ref="F11:H11"/>
    <mergeCell ref="A11:D13"/>
    <mergeCell ref="F13:H13"/>
  </mergeCells>
  <phoneticPr fontId="1"/>
  <conditionalFormatting sqref="F7:H12 F13">
    <cfRule type="containsBlanks" dxfId="3" priority="4">
      <formula>LEN(TRIM(F7))=0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944AB904-04A6-4949-8DD9-A3C4AC5988F6}">
            <xm:f>NOT(ISERROR(SEARCH($A$9,A9)))</xm:f>
            <xm:f>$A$9</xm:f>
            <x14:dxf>
              <font>
                <color auto="1"/>
              </font>
              <fill>
                <patternFill>
                  <bgColor rgb="FFFFFF00"/>
                </patternFill>
              </fill>
            </x14:dxf>
          </x14:cfRule>
          <xm:sqref>A11 A14:D14 A9:D10</xm:sqref>
        </x14:conditionalFormatting>
        <x14:conditionalFormatting xmlns:xm="http://schemas.microsoft.com/office/excel/2006/main">
          <x14:cfRule type="containsText" priority="1" operator="containsText" id="{013CABBD-DBAB-405A-8B00-43DD617AEC69}">
            <xm:f>NOT(ISERROR(SEARCH($A$11,A11)))</xm:f>
            <xm:f>$A$11</xm:f>
            <x14:dxf>
              <font>
                <b/>
                <i val="0"/>
                <color theme="0"/>
              </font>
              <fill>
                <patternFill>
                  <bgColor rgb="FFFF0000"/>
                </patternFill>
              </fill>
            </x14:dxf>
          </x14:cfRule>
          <xm:sqref>A11 A14:D14</xm:sqref>
        </x14:conditionalFormatting>
        <x14:conditionalFormatting xmlns:xm="http://schemas.microsoft.com/office/excel/2006/main">
          <x14:cfRule type="containsText" priority="2" operator="containsText" id="{A6E9EB2F-7A41-41AA-9F65-9AE81D697D91}">
            <xm:f>NOT(ISERROR(SEARCH($A$10,A10)))</xm:f>
            <xm:f>$A$10</xm:f>
            <x14:dxf>
              <font>
                <u/>
                <color auto="1"/>
              </font>
              <fill>
                <patternFill>
                  <bgColor rgb="FFFFFF00"/>
                </patternFill>
              </fill>
            </x14:dxf>
          </x14:cfRule>
          <xm:sqref>A10:D10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F0E1-4B67-4637-B56A-98D6E4B8709A}">
  <sheetPr>
    <tabColor rgb="FF7030A0"/>
  </sheetPr>
  <dimension ref="A1:Q46"/>
  <sheetViews>
    <sheetView showGridLines="0" view="pageBreakPreview" zoomScale="85" zoomScaleNormal="100" zoomScaleSheetLayoutView="85" workbookViewId="0">
      <selection activeCell="F7" sqref="F7:H9"/>
    </sheetView>
  </sheetViews>
  <sheetFormatPr defaultRowHeight="13"/>
  <cols>
    <col min="1" max="1" width="0.58203125" style="178" customWidth="1"/>
    <col min="2" max="2" width="19.33203125" style="178" customWidth="1"/>
    <col min="3" max="3" width="18" style="178" customWidth="1"/>
    <col min="4" max="4" width="3" style="178" customWidth="1"/>
    <col min="5" max="5" width="20.08203125" style="178" customWidth="1"/>
    <col min="6" max="6" width="3.33203125" style="178" customWidth="1"/>
    <col min="7" max="7" width="19.25" style="178" customWidth="1"/>
    <col min="8" max="8" width="5.33203125" style="178" customWidth="1"/>
    <col min="9" max="9" width="6.5" style="178" customWidth="1"/>
    <col min="10" max="11" width="4.75" style="178" customWidth="1"/>
    <col min="12" max="12" width="8" style="178" customWidth="1"/>
    <col min="13" max="13" width="10.25" style="178" customWidth="1"/>
    <col min="14" max="14" width="17.5" style="178" customWidth="1"/>
    <col min="15" max="15" width="5.83203125" style="178" customWidth="1"/>
    <col min="16" max="16" width="5.75" style="178" customWidth="1"/>
    <col min="17" max="17" width="5.58203125" style="178" customWidth="1"/>
    <col min="18" max="256" width="9" style="178"/>
    <col min="257" max="257" width="0.58203125" style="178" customWidth="1"/>
    <col min="258" max="258" width="19.33203125" style="178" customWidth="1"/>
    <col min="259" max="259" width="18" style="178" customWidth="1"/>
    <col min="260" max="260" width="3" style="178" customWidth="1"/>
    <col min="261" max="261" width="20.08203125" style="178" customWidth="1"/>
    <col min="262" max="262" width="3.33203125" style="178" customWidth="1"/>
    <col min="263" max="263" width="19.25" style="178" customWidth="1"/>
    <col min="264" max="264" width="5.33203125" style="178" customWidth="1"/>
    <col min="265" max="265" width="6.5" style="178" customWidth="1"/>
    <col min="266" max="267" width="4.75" style="178" customWidth="1"/>
    <col min="268" max="268" width="8" style="178" customWidth="1"/>
    <col min="269" max="269" width="10.25" style="178" customWidth="1"/>
    <col min="270" max="270" width="17.5" style="178" customWidth="1"/>
    <col min="271" max="271" width="5.83203125" style="178" customWidth="1"/>
    <col min="272" max="272" width="5.75" style="178" customWidth="1"/>
    <col min="273" max="273" width="5.58203125" style="178" customWidth="1"/>
    <col min="274" max="512" width="9" style="178"/>
    <col min="513" max="513" width="0.58203125" style="178" customWidth="1"/>
    <col min="514" max="514" width="19.33203125" style="178" customWidth="1"/>
    <col min="515" max="515" width="18" style="178" customWidth="1"/>
    <col min="516" max="516" width="3" style="178" customWidth="1"/>
    <col min="517" max="517" width="20.08203125" style="178" customWidth="1"/>
    <col min="518" max="518" width="3.33203125" style="178" customWidth="1"/>
    <col min="519" max="519" width="19.25" style="178" customWidth="1"/>
    <col min="520" max="520" width="5.33203125" style="178" customWidth="1"/>
    <col min="521" max="521" width="6.5" style="178" customWidth="1"/>
    <col min="522" max="523" width="4.75" style="178" customWidth="1"/>
    <col min="524" max="524" width="8" style="178" customWidth="1"/>
    <col min="525" max="525" width="10.25" style="178" customWidth="1"/>
    <col min="526" max="526" width="17.5" style="178" customWidth="1"/>
    <col min="527" max="527" width="5.83203125" style="178" customWidth="1"/>
    <col min="528" max="528" width="5.75" style="178" customWidth="1"/>
    <col min="529" max="529" width="5.58203125" style="178" customWidth="1"/>
    <col min="530" max="768" width="9" style="178"/>
    <col min="769" max="769" width="0.58203125" style="178" customWidth="1"/>
    <col min="770" max="770" width="19.33203125" style="178" customWidth="1"/>
    <col min="771" max="771" width="18" style="178" customWidth="1"/>
    <col min="772" max="772" width="3" style="178" customWidth="1"/>
    <col min="773" max="773" width="20.08203125" style="178" customWidth="1"/>
    <col min="774" max="774" width="3.33203125" style="178" customWidth="1"/>
    <col min="775" max="775" width="19.25" style="178" customWidth="1"/>
    <col min="776" max="776" width="5.33203125" style="178" customWidth="1"/>
    <col min="777" max="777" width="6.5" style="178" customWidth="1"/>
    <col min="778" max="779" width="4.75" style="178" customWidth="1"/>
    <col min="780" max="780" width="8" style="178" customWidth="1"/>
    <col min="781" max="781" width="10.25" style="178" customWidth="1"/>
    <col min="782" max="782" width="17.5" style="178" customWidth="1"/>
    <col min="783" max="783" width="5.83203125" style="178" customWidth="1"/>
    <col min="784" max="784" width="5.75" style="178" customWidth="1"/>
    <col min="785" max="785" width="5.58203125" style="178" customWidth="1"/>
    <col min="786" max="1024" width="9" style="178"/>
    <col min="1025" max="1025" width="0.58203125" style="178" customWidth="1"/>
    <col min="1026" max="1026" width="19.33203125" style="178" customWidth="1"/>
    <col min="1027" max="1027" width="18" style="178" customWidth="1"/>
    <col min="1028" max="1028" width="3" style="178" customWidth="1"/>
    <col min="1029" max="1029" width="20.08203125" style="178" customWidth="1"/>
    <col min="1030" max="1030" width="3.33203125" style="178" customWidth="1"/>
    <col min="1031" max="1031" width="19.25" style="178" customWidth="1"/>
    <col min="1032" max="1032" width="5.33203125" style="178" customWidth="1"/>
    <col min="1033" max="1033" width="6.5" style="178" customWidth="1"/>
    <col min="1034" max="1035" width="4.75" style="178" customWidth="1"/>
    <col min="1036" max="1036" width="8" style="178" customWidth="1"/>
    <col min="1037" max="1037" width="10.25" style="178" customWidth="1"/>
    <col min="1038" max="1038" width="17.5" style="178" customWidth="1"/>
    <col min="1039" max="1039" width="5.83203125" style="178" customWidth="1"/>
    <col min="1040" max="1040" width="5.75" style="178" customWidth="1"/>
    <col min="1041" max="1041" width="5.58203125" style="178" customWidth="1"/>
    <col min="1042" max="1280" width="9" style="178"/>
    <col min="1281" max="1281" width="0.58203125" style="178" customWidth="1"/>
    <col min="1282" max="1282" width="19.33203125" style="178" customWidth="1"/>
    <col min="1283" max="1283" width="18" style="178" customWidth="1"/>
    <col min="1284" max="1284" width="3" style="178" customWidth="1"/>
    <col min="1285" max="1285" width="20.08203125" style="178" customWidth="1"/>
    <col min="1286" max="1286" width="3.33203125" style="178" customWidth="1"/>
    <col min="1287" max="1287" width="19.25" style="178" customWidth="1"/>
    <col min="1288" max="1288" width="5.33203125" style="178" customWidth="1"/>
    <col min="1289" max="1289" width="6.5" style="178" customWidth="1"/>
    <col min="1290" max="1291" width="4.75" style="178" customWidth="1"/>
    <col min="1292" max="1292" width="8" style="178" customWidth="1"/>
    <col min="1293" max="1293" width="10.25" style="178" customWidth="1"/>
    <col min="1294" max="1294" width="17.5" style="178" customWidth="1"/>
    <col min="1295" max="1295" width="5.83203125" style="178" customWidth="1"/>
    <col min="1296" max="1296" width="5.75" style="178" customWidth="1"/>
    <col min="1297" max="1297" width="5.58203125" style="178" customWidth="1"/>
    <col min="1298" max="1536" width="9" style="178"/>
    <col min="1537" max="1537" width="0.58203125" style="178" customWidth="1"/>
    <col min="1538" max="1538" width="19.33203125" style="178" customWidth="1"/>
    <col min="1539" max="1539" width="18" style="178" customWidth="1"/>
    <col min="1540" max="1540" width="3" style="178" customWidth="1"/>
    <col min="1541" max="1541" width="20.08203125" style="178" customWidth="1"/>
    <col min="1542" max="1542" width="3.33203125" style="178" customWidth="1"/>
    <col min="1543" max="1543" width="19.25" style="178" customWidth="1"/>
    <col min="1544" max="1544" width="5.33203125" style="178" customWidth="1"/>
    <col min="1545" max="1545" width="6.5" style="178" customWidth="1"/>
    <col min="1546" max="1547" width="4.75" style="178" customWidth="1"/>
    <col min="1548" max="1548" width="8" style="178" customWidth="1"/>
    <col min="1549" max="1549" width="10.25" style="178" customWidth="1"/>
    <col min="1550" max="1550" width="17.5" style="178" customWidth="1"/>
    <col min="1551" max="1551" width="5.83203125" style="178" customWidth="1"/>
    <col min="1552" max="1552" width="5.75" style="178" customWidth="1"/>
    <col min="1553" max="1553" width="5.58203125" style="178" customWidth="1"/>
    <col min="1554" max="1792" width="9" style="178"/>
    <col min="1793" max="1793" width="0.58203125" style="178" customWidth="1"/>
    <col min="1794" max="1794" width="19.33203125" style="178" customWidth="1"/>
    <col min="1795" max="1795" width="18" style="178" customWidth="1"/>
    <col min="1796" max="1796" width="3" style="178" customWidth="1"/>
    <col min="1797" max="1797" width="20.08203125" style="178" customWidth="1"/>
    <col min="1798" max="1798" width="3.33203125" style="178" customWidth="1"/>
    <col min="1799" max="1799" width="19.25" style="178" customWidth="1"/>
    <col min="1800" max="1800" width="5.33203125" style="178" customWidth="1"/>
    <col min="1801" max="1801" width="6.5" style="178" customWidth="1"/>
    <col min="1802" max="1803" width="4.75" style="178" customWidth="1"/>
    <col min="1804" max="1804" width="8" style="178" customWidth="1"/>
    <col min="1805" max="1805" width="10.25" style="178" customWidth="1"/>
    <col min="1806" max="1806" width="17.5" style="178" customWidth="1"/>
    <col min="1807" max="1807" width="5.83203125" style="178" customWidth="1"/>
    <col min="1808" max="1808" width="5.75" style="178" customWidth="1"/>
    <col min="1809" max="1809" width="5.58203125" style="178" customWidth="1"/>
    <col min="1810" max="2048" width="9" style="178"/>
    <col min="2049" max="2049" width="0.58203125" style="178" customWidth="1"/>
    <col min="2050" max="2050" width="19.33203125" style="178" customWidth="1"/>
    <col min="2051" max="2051" width="18" style="178" customWidth="1"/>
    <col min="2052" max="2052" width="3" style="178" customWidth="1"/>
    <col min="2053" max="2053" width="20.08203125" style="178" customWidth="1"/>
    <col min="2054" max="2054" width="3.33203125" style="178" customWidth="1"/>
    <col min="2055" max="2055" width="19.25" style="178" customWidth="1"/>
    <col min="2056" max="2056" width="5.33203125" style="178" customWidth="1"/>
    <col min="2057" max="2057" width="6.5" style="178" customWidth="1"/>
    <col min="2058" max="2059" width="4.75" style="178" customWidth="1"/>
    <col min="2060" max="2060" width="8" style="178" customWidth="1"/>
    <col min="2061" max="2061" width="10.25" style="178" customWidth="1"/>
    <col min="2062" max="2062" width="17.5" style="178" customWidth="1"/>
    <col min="2063" max="2063" width="5.83203125" style="178" customWidth="1"/>
    <col min="2064" max="2064" width="5.75" style="178" customWidth="1"/>
    <col min="2065" max="2065" width="5.58203125" style="178" customWidth="1"/>
    <col min="2066" max="2304" width="9" style="178"/>
    <col min="2305" max="2305" width="0.58203125" style="178" customWidth="1"/>
    <col min="2306" max="2306" width="19.33203125" style="178" customWidth="1"/>
    <col min="2307" max="2307" width="18" style="178" customWidth="1"/>
    <col min="2308" max="2308" width="3" style="178" customWidth="1"/>
    <col min="2309" max="2309" width="20.08203125" style="178" customWidth="1"/>
    <col min="2310" max="2310" width="3.33203125" style="178" customWidth="1"/>
    <col min="2311" max="2311" width="19.25" style="178" customWidth="1"/>
    <col min="2312" max="2312" width="5.33203125" style="178" customWidth="1"/>
    <col min="2313" max="2313" width="6.5" style="178" customWidth="1"/>
    <col min="2314" max="2315" width="4.75" style="178" customWidth="1"/>
    <col min="2316" max="2316" width="8" style="178" customWidth="1"/>
    <col min="2317" max="2317" width="10.25" style="178" customWidth="1"/>
    <col min="2318" max="2318" width="17.5" style="178" customWidth="1"/>
    <col min="2319" max="2319" width="5.83203125" style="178" customWidth="1"/>
    <col min="2320" max="2320" width="5.75" style="178" customWidth="1"/>
    <col min="2321" max="2321" width="5.58203125" style="178" customWidth="1"/>
    <col min="2322" max="2560" width="9" style="178"/>
    <col min="2561" max="2561" width="0.58203125" style="178" customWidth="1"/>
    <col min="2562" max="2562" width="19.33203125" style="178" customWidth="1"/>
    <col min="2563" max="2563" width="18" style="178" customWidth="1"/>
    <col min="2564" max="2564" width="3" style="178" customWidth="1"/>
    <col min="2565" max="2565" width="20.08203125" style="178" customWidth="1"/>
    <col min="2566" max="2566" width="3.33203125" style="178" customWidth="1"/>
    <col min="2567" max="2567" width="19.25" style="178" customWidth="1"/>
    <col min="2568" max="2568" width="5.33203125" style="178" customWidth="1"/>
    <col min="2569" max="2569" width="6.5" style="178" customWidth="1"/>
    <col min="2570" max="2571" width="4.75" style="178" customWidth="1"/>
    <col min="2572" max="2572" width="8" style="178" customWidth="1"/>
    <col min="2573" max="2573" width="10.25" style="178" customWidth="1"/>
    <col min="2574" max="2574" width="17.5" style="178" customWidth="1"/>
    <col min="2575" max="2575" width="5.83203125" style="178" customWidth="1"/>
    <col min="2576" max="2576" width="5.75" style="178" customWidth="1"/>
    <col min="2577" max="2577" width="5.58203125" style="178" customWidth="1"/>
    <col min="2578" max="2816" width="9" style="178"/>
    <col min="2817" max="2817" width="0.58203125" style="178" customWidth="1"/>
    <col min="2818" max="2818" width="19.33203125" style="178" customWidth="1"/>
    <col min="2819" max="2819" width="18" style="178" customWidth="1"/>
    <col min="2820" max="2820" width="3" style="178" customWidth="1"/>
    <col min="2821" max="2821" width="20.08203125" style="178" customWidth="1"/>
    <col min="2822" max="2822" width="3.33203125" style="178" customWidth="1"/>
    <col min="2823" max="2823" width="19.25" style="178" customWidth="1"/>
    <col min="2824" max="2824" width="5.33203125" style="178" customWidth="1"/>
    <col min="2825" max="2825" width="6.5" style="178" customWidth="1"/>
    <col min="2826" max="2827" width="4.75" style="178" customWidth="1"/>
    <col min="2828" max="2828" width="8" style="178" customWidth="1"/>
    <col min="2829" max="2829" width="10.25" style="178" customWidth="1"/>
    <col min="2830" max="2830" width="17.5" style="178" customWidth="1"/>
    <col min="2831" max="2831" width="5.83203125" style="178" customWidth="1"/>
    <col min="2832" max="2832" width="5.75" style="178" customWidth="1"/>
    <col min="2833" max="2833" width="5.58203125" style="178" customWidth="1"/>
    <col min="2834" max="3072" width="9" style="178"/>
    <col min="3073" max="3073" width="0.58203125" style="178" customWidth="1"/>
    <col min="3074" max="3074" width="19.33203125" style="178" customWidth="1"/>
    <col min="3075" max="3075" width="18" style="178" customWidth="1"/>
    <col min="3076" max="3076" width="3" style="178" customWidth="1"/>
    <col min="3077" max="3077" width="20.08203125" style="178" customWidth="1"/>
    <col min="3078" max="3078" width="3.33203125" style="178" customWidth="1"/>
    <col min="3079" max="3079" width="19.25" style="178" customWidth="1"/>
    <col min="3080" max="3080" width="5.33203125" style="178" customWidth="1"/>
    <col min="3081" max="3081" width="6.5" style="178" customWidth="1"/>
    <col min="3082" max="3083" width="4.75" style="178" customWidth="1"/>
    <col min="3084" max="3084" width="8" style="178" customWidth="1"/>
    <col min="3085" max="3085" width="10.25" style="178" customWidth="1"/>
    <col min="3086" max="3086" width="17.5" style="178" customWidth="1"/>
    <col min="3087" max="3087" width="5.83203125" style="178" customWidth="1"/>
    <col min="3088" max="3088" width="5.75" style="178" customWidth="1"/>
    <col min="3089" max="3089" width="5.58203125" style="178" customWidth="1"/>
    <col min="3090" max="3328" width="9" style="178"/>
    <col min="3329" max="3329" width="0.58203125" style="178" customWidth="1"/>
    <col min="3330" max="3330" width="19.33203125" style="178" customWidth="1"/>
    <col min="3331" max="3331" width="18" style="178" customWidth="1"/>
    <col min="3332" max="3332" width="3" style="178" customWidth="1"/>
    <col min="3333" max="3333" width="20.08203125" style="178" customWidth="1"/>
    <col min="3334" max="3334" width="3.33203125" style="178" customWidth="1"/>
    <col min="3335" max="3335" width="19.25" style="178" customWidth="1"/>
    <col min="3336" max="3336" width="5.33203125" style="178" customWidth="1"/>
    <col min="3337" max="3337" width="6.5" style="178" customWidth="1"/>
    <col min="3338" max="3339" width="4.75" style="178" customWidth="1"/>
    <col min="3340" max="3340" width="8" style="178" customWidth="1"/>
    <col min="3341" max="3341" width="10.25" style="178" customWidth="1"/>
    <col min="3342" max="3342" width="17.5" style="178" customWidth="1"/>
    <col min="3343" max="3343" width="5.83203125" style="178" customWidth="1"/>
    <col min="3344" max="3344" width="5.75" style="178" customWidth="1"/>
    <col min="3345" max="3345" width="5.58203125" style="178" customWidth="1"/>
    <col min="3346" max="3584" width="9" style="178"/>
    <col min="3585" max="3585" width="0.58203125" style="178" customWidth="1"/>
    <col min="3586" max="3586" width="19.33203125" style="178" customWidth="1"/>
    <col min="3587" max="3587" width="18" style="178" customWidth="1"/>
    <col min="3588" max="3588" width="3" style="178" customWidth="1"/>
    <col min="3589" max="3589" width="20.08203125" style="178" customWidth="1"/>
    <col min="3590" max="3590" width="3.33203125" style="178" customWidth="1"/>
    <col min="3591" max="3591" width="19.25" style="178" customWidth="1"/>
    <col min="3592" max="3592" width="5.33203125" style="178" customWidth="1"/>
    <col min="3593" max="3593" width="6.5" style="178" customWidth="1"/>
    <col min="3594" max="3595" width="4.75" style="178" customWidth="1"/>
    <col min="3596" max="3596" width="8" style="178" customWidth="1"/>
    <col min="3597" max="3597" width="10.25" style="178" customWidth="1"/>
    <col min="3598" max="3598" width="17.5" style="178" customWidth="1"/>
    <col min="3599" max="3599" width="5.83203125" style="178" customWidth="1"/>
    <col min="3600" max="3600" width="5.75" style="178" customWidth="1"/>
    <col min="3601" max="3601" width="5.58203125" style="178" customWidth="1"/>
    <col min="3602" max="3840" width="9" style="178"/>
    <col min="3841" max="3841" width="0.58203125" style="178" customWidth="1"/>
    <col min="3842" max="3842" width="19.33203125" style="178" customWidth="1"/>
    <col min="3843" max="3843" width="18" style="178" customWidth="1"/>
    <col min="3844" max="3844" width="3" style="178" customWidth="1"/>
    <col min="3845" max="3845" width="20.08203125" style="178" customWidth="1"/>
    <col min="3846" max="3846" width="3.33203125" style="178" customWidth="1"/>
    <col min="3847" max="3847" width="19.25" style="178" customWidth="1"/>
    <col min="3848" max="3848" width="5.33203125" style="178" customWidth="1"/>
    <col min="3849" max="3849" width="6.5" style="178" customWidth="1"/>
    <col min="3850" max="3851" width="4.75" style="178" customWidth="1"/>
    <col min="3852" max="3852" width="8" style="178" customWidth="1"/>
    <col min="3853" max="3853" width="10.25" style="178" customWidth="1"/>
    <col min="3854" max="3854" width="17.5" style="178" customWidth="1"/>
    <col min="3855" max="3855" width="5.83203125" style="178" customWidth="1"/>
    <col min="3856" max="3856" width="5.75" style="178" customWidth="1"/>
    <col min="3857" max="3857" width="5.58203125" style="178" customWidth="1"/>
    <col min="3858" max="4096" width="9" style="178"/>
    <col min="4097" max="4097" width="0.58203125" style="178" customWidth="1"/>
    <col min="4098" max="4098" width="19.33203125" style="178" customWidth="1"/>
    <col min="4099" max="4099" width="18" style="178" customWidth="1"/>
    <col min="4100" max="4100" width="3" style="178" customWidth="1"/>
    <col min="4101" max="4101" width="20.08203125" style="178" customWidth="1"/>
    <col min="4102" max="4102" width="3.33203125" style="178" customWidth="1"/>
    <col min="4103" max="4103" width="19.25" style="178" customWidth="1"/>
    <col min="4104" max="4104" width="5.33203125" style="178" customWidth="1"/>
    <col min="4105" max="4105" width="6.5" style="178" customWidth="1"/>
    <col min="4106" max="4107" width="4.75" style="178" customWidth="1"/>
    <col min="4108" max="4108" width="8" style="178" customWidth="1"/>
    <col min="4109" max="4109" width="10.25" style="178" customWidth="1"/>
    <col min="4110" max="4110" width="17.5" style="178" customWidth="1"/>
    <col min="4111" max="4111" width="5.83203125" style="178" customWidth="1"/>
    <col min="4112" max="4112" width="5.75" style="178" customWidth="1"/>
    <col min="4113" max="4113" width="5.58203125" style="178" customWidth="1"/>
    <col min="4114" max="4352" width="9" style="178"/>
    <col min="4353" max="4353" width="0.58203125" style="178" customWidth="1"/>
    <col min="4354" max="4354" width="19.33203125" style="178" customWidth="1"/>
    <col min="4355" max="4355" width="18" style="178" customWidth="1"/>
    <col min="4356" max="4356" width="3" style="178" customWidth="1"/>
    <col min="4357" max="4357" width="20.08203125" style="178" customWidth="1"/>
    <col min="4358" max="4358" width="3.33203125" style="178" customWidth="1"/>
    <col min="4359" max="4359" width="19.25" style="178" customWidth="1"/>
    <col min="4360" max="4360" width="5.33203125" style="178" customWidth="1"/>
    <col min="4361" max="4361" width="6.5" style="178" customWidth="1"/>
    <col min="4362" max="4363" width="4.75" style="178" customWidth="1"/>
    <col min="4364" max="4364" width="8" style="178" customWidth="1"/>
    <col min="4365" max="4365" width="10.25" style="178" customWidth="1"/>
    <col min="4366" max="4366" width="17.5" style="178" customWidth="1"/>
    <col min="4367" max="4367" width="5.83203125" style="178" customWidth="1"/>
    <col min="4368" max="4368" width="5.75" style="178" customWidth="1"/>
    <col min="4369" max="4369" width="5.58203125" style="178" customWidth="1"/>
    <col min="4370" max="4608" width="9" style="178"/>
    <col min="4609" max="4609" width="0.58203125" style="178" customWidth="1"/>
    <col min="4610" max="4610" width="19.33203125" style="178" customWidth="1"/>
    <col min="4611" max="4611" width="18" style="178" customWidth="1"/>
    <col min="4612" max="4612" width="3" style="178" customWidth="1"/>
    <col min="4613" max="4613" width="20.08203125" style="178" customWidth="1"/>
    <col min="4614" max="4614" width="3.33203125" style="178" customWidth="1"/>
    <col min="4615" max="4615" width="19.25" style="178" customWidth="1"/>
    <col min="4616" max="4616" width="5.33203125" style="178" customWidth="1"/>
    <col min="4617" max="4617" width="6.5" style="178" customWidth="1"/>
    <col min="4618" max="4619" width="4.75" style="178" customWidth="1"/>
    <col min="4620" max="4620" width="8" style="178" customWidth="1"/>
    <col min="4621" max="4621" width="10.25" style="178" customWidth="1"/>
    <col min="4622" max="4622" width="17.5" style="178" customWidth="1"/>
    <col min="4623" max="4623" width="5.83203125" style="178" customWidth="1"/>
    <col min="4624" max="4624" width="5.75" style="178" customWidth="1"/>
    <col min="4625" max="4625" width="5.58203125" style="178" customWidth="1"/>
    <col min="4626" max="4864" width="9" style="178"/>
    <col min="4865" max="4865" width="0.58203125" style="178" customWidth="1"/>
    <col min="4866" max="4866" width="19.33203125" style="178" customWidth="1"/>
    <col min="4867" max="4867" width="18" style="178" customWidth="1"/>
    <col min="4868" max="4868" width="3" style="178" customWidth="1"/>
    <col min="4869" max="4869" width="20.08203125" style="178" customWidth="1"/>
    <col min="4870" max="4870" width="3.33203125" style="178" customWidth="1"/>
    <col min="4871" max="4871" width="19.25" style="178" customWidth="1"/>
    <col min="4872" max="4872" width="5.33203125" style="178" customWidth="1"/>
    <col min="4873" max="4873" width="6.5" style="178" customWidth="1"/>
    <col min="4874" max="4875" width="4.75" style="178" customWidth="1"/>
    <col min="4876" max="4876" width="8" style="178" customWidth="1"/>
    <col min="4877" max="4877" width="10.25" style="178" customWidth="1"/>
    <col min="4878" max="4878" width="17.5" style="178" customWidth="1"/>
    <col min="4879" max="4879" width="5.83203125" style="178" customWidth="1"/>
    <col min="4880" max="4880" width="5.75" style="178" customWidth="1"/>
    <col min="4881" max="4881" width="5.58203125" style="178" customWidth="1"/>
    <col min="4882" max="5120" width="9" style="178"/>
    <col min="5121" max="5121" width="0.58203125" style="178" customWidth="1"/>
    <col min="5122" max="5122" width="19.33203125" style="178" customWidth="1"/>
    <col min="5123" max="5123" width="18" style="178" customWidth="1"/>
    <col min="5124" max="5124" width="3" style="178" customWidth="1"/>
    <col min="5125" max="5125" width="20.08203125" style="178" customWidth="1"/>
    <col min="5126" max="5126" width="3.33203125" style="178" customWidth="1"/>
    <col min="5127" max="5127" width="19.25" style="178" customWidth="1"/>
    <col min="5128" max="5128" width="5.33203125" style="178" customWidth="1"/>
    <col min="5129" max="5129" width="6.5" style="178" customWidth="1"/>
    <col min="5130" max="5131" width="4.75" style="178" customWidth="1"/>
    <col min="5132" max="5132" width="8" style="178" customWidth="1"/>
    <col min="5133" max="5133" width="10.25" style="178" customWidth="1"/>
    <col min="5134" max="5134" width="17.5" style="178" customWidth="1"/>
    <col min="5135" max="5135" width="5.83203125" style="178" customWidth="1"/>
    <col min="5136" max="5136" width="5.75" style="178" customWidth="1"/>
    <col min="5137" max="5137" width="5.58203125" style="178" customWidth="1"/>
    <col min="5138" max="5376" width="9" style="178"/>
    <col min="5377" max="5377" width="0.58203125" style="178" customWidth="1"/>
    <col min="5378" max="5378" width="19.33203125" style="178" customWidth="1"/>
    <col min="5379" max="5379" width="18" style="178" customWidth="1"/>
    <col min="5380" max="5380" width="3" style="178" customWidth="1"/>
    <col min="5381" max="5381" width="20.08203125" style="178" customWidth="1"/>
    <col min="5382" max="5382" width="3.33203125" style="178" customWidth="1"/>
    <col min="5383" max="5383" width="19.25" style="178" customWidth="1"/>
    <col min="5384" max="5384" width="5.33203125" style="178" customWidth="1"/>
    <col min="5385" max="5385" width="6.5" style="178" customWidth="1"/>
    <col min="5386" max="5387" width="4.75" style="178" customWidth="1"/>
    <col min="5388" max="5388" width="8" style="178" customWidth="1"/>
    <col min="5389" max="5389" width="10.25" style="178" customWidth="1"/>
    <col min="5390" max="5390" width="17.5" style="178" customWidth="1"/>
    <col min="5391" max="5391" width="5.83203125" style="178" customWidth="1"/>
    <col min="5392" max="5392" width="5.75" style="178" customWidth="1"/>
    <col min="5393" max="5393" width="5.58203125" style="178" customWidth="1"/>
    <col min="5394" max="5632" width="9" style="178"/>
    <col min="5633" max="5633" width="0.58203125" style="178" customWidth="1"/>
    <col min="5634" max="5634" width="19.33203125" style="178" customWidth="1"/>
    <col min="5635" max="5635" width="18" style="178" customWidth="1"/>
    <col min="5636" max="5636" width="3" style="178" customWidth="1"/>
    <col min="5637" max="5637" width="20.08203125" style="178" customWidth="1"/>
    <col min="5638" max="5638" width="3.33203125" style="178" customWidth="1"/>
    <col min="5639" max="5639" width="19.25" style="178" customWidth="1"/>
    <col min="5640" max="5640" width="5.33203125" style="178" customWidth="1"/>
    <col min="5641" max="5641" width="6.5" style="178" customWidth="1"/>
    <col min="5642" max="5643" width="4.75" style="178" customWidth="1"/>
    <col min="5644" max="5644" width="8" style="178" customWidth="1"/>
    <col min="5645" max="5645" width="10.25" style="178" customWidth="1"/>
    <col min="5646" max="5646" width="17.5" style="178" customWidth="1"/>
    <col min="5647" max="5647" width="5.83203125" style="178" customWidth="1"/>
    <col min="5648" max="5648" width="5.75" style="178" customWidth="1"/>
    <col min="5649" max="5649" width="5.58203125" style="178" customWidth="1"/>
    <col min="5650" max="5888" width="9" style="178"/>
    <col min="5889" max="5889" width="0.58203125" style="178" customWidth="1"/>
    <col min="5890" max="5890" width="19.33203125" style="178" customWidth="1"/>
    <col min="5891" max="5891" width="18" style="178" customWidth="1"/>
    <col min="5892" max="5892" width="3" style="178" customWidth="1"/>
    <col min="5893" max="5893" width="20.08203125" style="178" customWidth="1"/>
    <col min="5894" max="5894" width="3.33203125" style="178" customWidth="1"/>
    <col min="5895" max="5895" width="19.25" style="178" customWidth="1"/>
    <col min="5896" max="5896" width="5.33203125" style="178" customWidth="1"/>
    <col min="5897" max="5897" width="6.5" style="178" customWidth="1"/>
    <col min="5898" max="5899" width="4.75" style="178" customWidth="1"/>
    <col min="5900" max="5900" width="8" style="178" customWidth="1"/>
    <col min="5901" max="5901" width="10.25" style="178" customWidth="1"/>
    <col min="5902" max="5902" width="17.5" style="178" customWidth="1"/>
    <col min="5903" max="5903" width="5.83203125" style="178" customWidth="1"/>
    <col min="5904" max="5904" width="5.75" style="178" customWidth="1"/>
    <col min="5905" max="5905" width="5.58203125" style="178" customWidth="1"/>
    <col min="5906" max="6144" width="9" style="178"/>
    <col min="6145" max="6145" width="0.58203125" style="178" customWidth="1"/>
    <col min="6146" max="6146" width="19.33203125" style="178" customWidth="1"/>
    <col min="6147" max="6147" width="18" style="178" customWidth="1"/>
    <col min="6148" max="6148" width="3" style="178" customWidth="1"/>
    <col min="6149" max="6149" width="20.08203125" style="178" customWidth="1"/>
    <col min="6150" max="6150" width="3.33203125" style="178" customWidth="1"/>
    <col min="6151" max="6151" width="19.25" style="178" customWidth="1"/>
    <col min="6152" max="6152" width="5.33203125" style="178" customWidth="1"/>
    <col min="6153" max="6153" width="6.5" style="178" customWidth="1"/>
    <col min="6154" max="6155" width="4.75" style="178" customWidth="1"/>
    <col min="6156" max="6156" width="8" style="178" customWidth="1"/>
    <col min="6157" max="6157" width="10.25" style="178" customWidth="1"/>
    <col min="6158" max="6158" width="17.5" style="178" customWidth="1"/>
    <col min="6159" max="6159" width="5.83203125" style="178" customWidth="1"/>
    <col min="6160" max="6160" width="5.75" style="178" customWidth="1"/>
    <col min="6161" max="6161" width="5.58203125" style="178" customWidth="1"/>
    <col min="6162" max="6400" width="9" style="178"/>
    <col min="6401" max="6401" width="0.58203125" style="178" customWidth="1"/>
    <col min="6402" max="6402" width="19.33203125" style="178" customWidth="1"/>
    <col min="6403" max="6403" width="18" style="178" customWidth="1"/>
    <col min="6404" max="6404" width="3" style="178" customWidth="1"/>
    <col min="6405" max="6405" width="20.08203125" style="178" customWidth="1"/>
    <col min="6406" max="6406" width="3.33203125" style="178" customWidth="1"/>
    <col min="6407" max="6407" width="19.25" style="178" customWidth="1"/>
    <col min="6408" max="6408" width="5.33203125" style="178" customWidth="1"/>
    <col min="6409" max="6409" width="6.5" style="178" customWidth="1"/>
    <col min="6410" max="6411" width="4.75" style="178" customWidth="1"/>
    <col min="6412" max="6412" width="8" style="178" customWidth="1"/>
    <col min="6413" max="6413" width="10.25" style="178" customWidth="1"/>
    <col min="6414" max="6414" width="17.5" style="178" customWidth="1"/>
    <col min="6415" max="6415" width="5.83203125" style="178" customWidth="1"/>
    <col min="6416" max="6416" width="5.75" style="178" customWidth="1"/>
    <col min="6417" max="6417" width="5.58203125" style="178" customWidth="1"/>
    <col min="6418" max="6656" width="9" style="178"/>
    <col min="6657" max="6657" width="0.58203125" style="178" customWidth="1"/>
    <col min="6658" max="6658" width="19.33203125" style="178" customWidth="1"/>
    <col min="6659" max="6659" width="18" style="178" customWidth="1"/>
    <col min="6660" max="6660" width="3" style="178" customWidth="1"/>
    <col min="6661" max="6661" width="20.08203125" style="178" customWidth="1"/>
    <col min="6662" max="6662" width="3.33203125" style="178" customWidth="1"/>
    <col min="6663" max="6663" width="19.25" style="178" customWidth="1"/>
    <col min="6664" max="6664" width="5.33203125" style="178" customWidth="1"/>
    <col min="6665" max="6665" width="6.5" style="178" customWidth="1"/>
    <col min="6666" max="6667" width="4.75" style="178" customWidth="1"/>
    <col min="6668" max="6668" width="8" style="178" customWidth="1"/>
    <col min="6669" max="6669" width="10.25" style="178" customWidth="1"/>
    <col min="6670" max="6670" width="17.5" style="178" customWidth="1"/>
    <col min="6671" max="6671" width="5.83203125" style="178" customWidth="1"/>
    <col min="6672" max="6672" width="5.75" style="178" customWidth="1"/>
    <col min="6673" max="6673" width="5.58203125" style="178" customWidth="1"/>
    <col min="6674" max="6912" width="9" style="178"/>
    <col min="6913" max="6913" width="0.58203125" style="178" customWidth="1"/>
    <col min="6914" max="6914" width="19.33203125" style="178" customWidth="1"/>
    <col min="6915" max="6915" width="18" style="178" customWidth="1"/>
    <col min="6916" max="6916" width="3" style="178" customWidth="1"/>
    <col min="6917" max="6917" width="20.08203125" style="178" customWidth="1"/>
    <col min="6918" max="6918" width="3.33203125" style="178" customWidth="1"/>
    <col min="6919" max="6919" width="19.25" style="178" customWidth="1"/>
    <col min="6920" max="6920" width="5.33203125" style="178" customWidth="1"/>
    <col min="6921" max="6921" width="6.5" style="178" customWidth="1"/>
    <col min="6922" max="6923" width="4.75" style="178" customWidth="1"/>
    <col min="6924" max="6924" width="8" style="178" customWidth="1"/>
    <col min="6925" max="6925" width="10.25" style="178" customWidth="1"/>
    <col min="6926" max="6926" width="17.5" style="178" customWidth="1"/>
    <col min="6927" max="6927" width="5.83203125" style="178" customWidth="1"/>
    <col min="6928" max="6928" width="5.75" style="178" customWidth="1"/>
    <col min="6929" max="6929" width="5.58203125" style="178" customWidth="1"/>
    <col min="6930" max="7168" width="9" style="178"/>
    <col min="7169" max="7169" width="0.58203125" style="178" customWidth="1"/>
    <col min="7170" max="7170" width="19.33203125" style="178" customWidth="1"/>
    <col min="7171" max="7171" width="18" style="178" customWidth="1"/>
    <col min="7172" max="7172" width="3" style="178" customWidth="1"/>
    <col min="7173" max="7173" width="20.08203125" style="178" customWidth="1"/>
    <col min="7174" max="7174" width="3.33203125" style="178" customWidth="1"/>
    <col min="7175" max="7175" width="19.25" style="178" customWidth="1"/>
    <col min="7176" max="7176" width="5.33203125" style="178" customWidth="1"/>
    <col min="7177" max="7177" width="6.5" style="178" customWidth="1"/>
    <col min="7178" max="7179" width="4.75" style="178" customWidth="1"/>
    <col min="7180" max="7180" width="8" style="178" customWidth="1"/>
    <col min="7181" max="7181" width="10.25" style="178" customWidth="1"/>
    <col min="7182" max="7182" width="17.5" style="178" customWidth="1"/>
    <col min="7183" max="7183" width="5.83203125" style="178" customWidth="1"/>
    <col min="7184" max="7184" width="5.75" style="178" customWidth="1"/>
    <col min="7185" max="7185" width="5.58203125" style="178" customWidth="1"/>
    <col min="7186" max="7424" width="9" style="178"/>
    <col min="7425" max="7425" width="0.58203125" style="178" customWidth="1"/>
    <col min="7426" max="7426" width="19.33203125" style="178" customWidth="1"/>
    <col min="7427" max="7427" width="18" style="178" customWidth="1"/>
    <col min="7428" max="7428" width="3" style="178" customWidth="1"/>
    <col min="7429" max="7429" width="20.08203125" style="178" customWidth="1"/>
    <col min="7430" max="7430" width="3.33203125" style="178" customWidth="1"/>
    <col min="7431" max="7431" width="19.25" style="178" customWidth="1"/>
    <col min="7432" max="7432" width="5.33203125" style="178" customWidth="1"/>
    <col min="7433" max="7433" width="6.5" style="178" customWidth="1"/>
    <col min="7434" max="7435" width="4.75" style="178" customWidth="1"/>
    <col min="7436" max="7436" width="8" style="178" customWidth="1"/>
    <col min="7437" max="7437" width="10.25" style="178" customWidth="1"/>
    <col min="7438" max="7438" width="17.5" style="178" customWidth="1"/>
    <col min="7439" max="7439" width="5.83203125" style="178" customWidth="1"/>
    <col min="7440" max="7440" width="5.75" style="178" customWidth="1"/>
    <col min="7441" max="7441" width="5.58203125" style="178" customWidth="1"/>
    <col min="7442" max="7680" width="9" style="178"/>
    <col min="7681" max="7681" width="0.58203125" style="178" customWidth="1"/>
    <col min="7682" max="7682" width="19.33203125" style="178" customWidth="1"/>
    <col min="7683" max="7683" width="18" style="178" customWidth="1"/>
    <col min="7684" max="7684" width="3" style="178" customWidth="1"/>
    <col min="7685" max="7685" width="20.08203125" style="178" customWidth="1"/>
    <col min="7686" max="7686" width="3.33203125" style="178" customWidth="1"/>
    <col min="7687" max="7687" width="19.25" style="178" customWidth="1"/>
    <col min="7688" max="7688" width="5.33203125" style="178" customWidth="1"/>
    <col min="7689" max="7689" width="6.5" style="178" customWidth="1"/>
    <col min="7690" max="7691" width="4.75" style="178" customWidth="1"/>
    <col min="7692" max="7692" width="8" style="178" customWidth="1"/>
    <col min="7693" max="7693" width="10.25" style="178" customWidth="1"/>
    <col min="7694" max="7694" width="17.5" style="178" customWidth="1"/>
    <col min="7695" max="7695" width="5.83203125" style="178" customWidth="1"/>
    <col min="7696" max="7696" width="5.75" style="178" customWidth="1"/>
    <col min="7697" max="7697" width="5.58203125" style="178" customWidth="1"/>
    <col min="7698" max="7936" width="9" style="178"/>
    <col min="7937" max="7937" width="0.58203125" style="178" customWidth="1"/>
    <col min="7938" max="7938" width="19.33203125" style="178" customWidth="1"/>
    <col min="7939" max="7939" width="18" style="178" customWidth="1"/>
    <col min="7940" max="7940" width="3" style="178" customWidth="1"/>
    <col min="7941" max="7941" width="20.08203125" style="178" customWidth="1"/>
    <col min="7942" max="7942" width="3.33203125" style="178" customWidth="1"/>
    <col min="7943" max="7943" width="19.25" style="178" customWidth="1"/>
    <col min="7944" max="7944" width="5.33203125" style="178" customWidth="1"/>
    <col min="7945" max="7945" width="6.5" style="178" customWidth="1"/>
    <col min="7946" max="7947" width="4.75" style="178" customWidth="1"/>
    <col min="7948" max="7948" width="8" style="178" customWidth="1"/>
    <col min="7949" max="7949" width="10.25" style="178" customWidth="1"/>
    <col min="7950" max="7950" width="17.5" style="178" customWidth="1"/>
    <col min="7951" max="7951" width="5.83203125" style="178" customWidth="1"/>
    <col min="7952" max="7952" width="5.75" style="178" customWidth="1"/>
    <col min="7953" max="7953" width="5.58203125" style="178" customWidth="1"/>
    <col min="7954" max="8192" width="9" style="178"/>
    <col min="8193" max="8193" width="0.58203125" style="178" customWidth="1"/>
    <col min="8194" max="8194" width="19.33203125" style="178" customWidth="1"/>
    <col min="8195" max="8195" width="18" style="178" customWidth="1"/>
    <col min="8196" max="8196" width="3" style="178" customWidth="1"/>
    <col min="8197" max="8197" width="20.08203125" style="178" customWidth="1"/>
    <col min="8198" max="8198" width="3.33203125" style="178" customWidth="1"/>
    <col min="8199" max="8199" width="19.25" style="178" customWidth="1"/>
    <col min="8200" max="8200" width="5.33203125" style="178" customWidth="1"/>
    <col min="8201" max="8201" width="6.5" style="178" customWidth="1"/>
    <col min="8202" max="8203" width="4.75" style="178" customWidth="1"/>
    <col min="8204" max="8204" width="8" style="178" customWidth="1"/>
    <col min="8205" max="8205" width="10.25" style="178" customWidth="1"/>
    <col min="8206" max="8206" width="17.5" style="178" customWidth="1"/>
    <col min="8207" max="8207" width="5.83203125" style="178" customWidth="1"/>
    <col min="8208" max="8208" width="5.75" style="178" customWidth="1"/>
    <col min="8209" max="8209" width="5.58203125" style="178" customWidth="1"/>
    <col min="8210" max="8448" width="9" style="178"/>
    <col min="8449" max="8449" width="0.58203125" style="178" customWidth="1"/>
    <col min="8450" max="8450" width="19.33203125" style="178" customWidth="1"/>
    <col min="8451" max="8451" width="18" style="178" customWidth="1"/>
    <col min="8452" max="8452" width="3" style="178" customWidth="1"/>
    <col min="8453" max="8453" width="20.08203125" style="178" customWidth="1"/>
    <col min="8454" max="8454" width="3.33203125" style="178" customWidth="1"/>
    <col min="8455" max="8455" width="19.25" style="178" customWidth="1"/>
    <col min="8456" max="8456" width="5.33203125" style="178" customWidth="1"/>
    <col min="8457" max="8457" width="6.5" style="178" customWidth="1"/>
    <col min="8458" max="8459" width="4.75" style="178" customWidth="1"/>
    <col min="8460" max="8460" width="8" style="178" customWidth="1"/>
    <col min="8461" max="8461" width="10.25" style="178" customWidth="1"/>
    <col min="8462" max="8462" width="17.5" style="178" customWidth="1"/>
    <col min="8463" max="8463" width="5.83203125" style="178" customWidth="1"/>
    <col min="8464" max="8464" width="5.75" style="178" customWidth="1"/>
    <col min="8465" max="8465" width="5.58203125" style="178" customWidth="1"/>
    <col min="8466" max="8704" width="9" style="178"/>
    <col min="8705" max="8705" width="0.58203125" style="178" customWidth="1"/>
    <col min="8706" max="8706" width="19.33203125" style="178" customWidth="1"/>
    <col min="8707" max="8707" width="18" style="178" customWidth="1"/>
    <col min="8708" max="8708" width="3" style="178" customWidth="1"/>
    <col min="8709" max="8709" width="20.08203125" style="178" customWidth="1"/>
    <col min="8710" max="8710" width="3.33203125" style="178" customWidth="1"/>
    <col min="8711" max="8711" width="19.25" style="178" customWidth="1"/>
    <col min="8712" max="8712" width="5.33203125" style="178" customWidth="1"/>
    <col min="8713" max="8713" width="6.5" style="178" customWidth="1"/>
    <col min="8714" max="8715" width="4.75" style="178" customWidth="1"/>
    <col min="8716" max="8716" width="8" style="178" customWidth="1"/>
    <col min="8717" max="8717" width="10.25" style="178" customWidth="1"/>
    <col min="8718" max="8718" width="17.5" style="178" customWidth="1"/>
    <col min="8719" max="8719" width="5.83203125" style="178" customWidth="1"/>
    <col min="8720" max="8720" width="5.75" style="178" customWidth="1"/>
    <col min="8721" max="8721" width="5.58203125" style="178" customWidth="1"/>
    <col min="8722" max="8960" width="9" style="178"/>
    <col min="8961" max="8961" width="0.58203125" style="178" customWidth="1"/>
    <col min="8962" max="8962" width="19.33203125" style="178" customWidth="1"/>
    <col min="8963" max="8963" width="18" style="178" customWidth="1"/>
    <col min="8964" max="8964" width="3" style="178" customWidth="1"/>
    <col min="8965" max="8965" width="20.08203125" style="178" customWidth="1"/>
    <col min="8966" max="8966" width="3.33203125" style="178" customWidth="1"/>
    <col min="8967" max="8967" width="19.25" style="178" customWidth="1"/>
    <col min="8968" max="8968" width="5.33203125" style="178" customWidth="1"/>
    <col min="8969" max="8969" width="6.5" style="178" customWidth="1"/>
    <col min="8970" max="8971" width="4.75" style="178" customWidth="1"/>
    <col min="8972" max="8972" width="8" style="178" customWidth="1"/>
    <col min="8973" max="8973" width="10.25" style="178" customWidth="1"/>
    <col min="8974" max="8974" width="17.5" style="178" customWidth="1"/>
    <col min="8975" max="8975" width="5.83203125" style="178" customWidth="1"/>
    <col min="8976" max="8976" width="5.75" style="178" customWidth="1"/>
    <col min="8977" max="8977" width="5.58203125" style="178" customWidth="1"/>
    <col min="8978" max="9216" width="9" style="178"/>
    <col min="9217" max="9217" width="0.58203125" style="178" customWidth="1"/>
    <col min="9218" max="9218" width="19.33203125" style="178" customWidth="1"/>
    <col min="9219" max="9219" width="18" style="178" customWidth="1"/>
    <col min="9220" max="9220" width="3" style="178" customWidth="1"/>
    <col min="9221" max="9221" width="20.08203125" style="178" customWidth="1"/>
    <col min="9222" max="9222" width="3.33203125" style="178" customWidth="1"/>
    <col min="9223" max="9223" width="19.25" style="178" customWidth="1"/>
    <col min="9224" max="9224" width="5.33203125" style="178" customWidth="1"/>
    <col min="9225" max="9225" width="6.5" style="178" customWidth="1"/>
    <col min="9226" max="9227" width="4.75" style="178" customWidth="1"/>
    <col min="9228" max="9228" width="8" style="178" customWidth="1"/>
    <col min="9229" max="9229" width="10.25" style="178" customWidth="1"/>
    <col min="9230" max="9230" width="17.5" style="178" customWidth="1"/>
    <col min="9231" max="9231" width="5.83203125" style="178" customWidth="1"/>
    <col min="9232" max="9232" width="5.75" style="178" customWidth="1"/>
    <col min="9233" max="9233" width="5.58203125" style="178" customWidth="1"/>
    <col min="9234" max="9472" width="9" style="178"/>
    <col min="9473" max="9473" width="0.58203125" style="178" customWidth="1"/>
    <col min="9474" max="9474" width="19.33203125" style="178" customWidth="1"/>
    <col min="9475" max="9475" width="18" style="178" customWidth="1"/>
    <col min="9476" max="9476" width="3" style="178" customWidth="1"/>
    <col min="9477" max="9477" width="20.08203125" style="178" customWidth="1"/>
    <col min="9478" max="9478" width="3.33203125" style="178" customWidth="1"/>
    <col min="9479" max="9479" width="19.25" style="178" customWidth="1"/>
    <col min="9480" max="9480" width="5.33203125" style="178" customWidth="1"/>
    <col min="9481" max="9481" width="6.5" style="178" customWidth="1"/>
    <col min="9482" max="9483" width="4.75" style="178" customWidth="1"/>
    <col min="9484" max="9484" width="8" style="178" customWidth="1"/>
    <col min="9485" max="9485" width="10.25" style="178" customWidth="1"/>
    <col min="9486" max="9486" width="17.5" style="178" customWidth="1"/>
    <col min="9487" max="9487" width="5.83203125" style="178" customWidth="1"/>
    <col min="9488" max="9488" width="5.75" style="178" customWidth="1"/>
    <col min="9489" max="9489" width="5.58203125" style="178" customWidth="1"/>
    <col min="9490" max="9728" width="9" style="178"/>
    <col min="9729" max="9729" width="0.58203125" style="178" customWidth="1"/>
    <col min="9730" max="9730" width="19.33203125" style="178" customWidth="1"/>
    <col min="9731" max="9731" width="18" style="178" customWidth="1"/>
    <col min="9732" max="9732" width="3" style="178" customWidth="1"/>
    <col min="9733" max="9733" width="20.08203125" style="178" customWidth="1"/>
    <col min="9734" max="9734" width="3.33203125" style="178" customWidth="1"/>
    <col min="9735" max="9735" width="19.25" style="178" customWidth="1"/>
    <col min="9736" max="9736" width="5.33203125" style="178" customWidth="1"/>
    <col min="9737" max="9737" width="6.5" style="178" customWidth="1"/>
    <col min="9738" max="9739" width="4.75" style="178" customWidth="1"/>
    <col min="9740" max="9740" width="8" style="178" customWidth="1"/>
    <col min="9741" max="9741" width="10.25" style="178" customWidth="1"/>
    <col min="9742" max="9742" width="17.5" style="178" customWidth="1"/>
    <col min="9743" max="9743" width="5.83203125" style="178" customWidth="1"/>
    <col min="9744" max="9744" width="5.75" style="178" customWidth="1"/>
    <col min="9745" max="9745" width="5.58203125" style="178" customWidth="1"/>
    <col min="9746" max="9984" width="9" style="178"/>
    <col min="9985" max="9985" width="0.58203125" style="178" customWidth="1"/>
    <col min="9986" max="9986" width="19.33203125" style="178" customWidth="1"/>
    <col min="9987" max="9987" width="18" style="178" customWidth="1"/>
    <col min="9988" max="9988" width="3" style="178" customWidth="1"/>
    <col min="9989" max="9989" width="20.08203125" style="178" customWidth="1"/>
    <col min="9990" max="9990" width="3.33203125" style="178" customWidth="1"/>
    <col min="9991" max="9991" width="19.25" style="178" customWidth="1"/>
    <col min="9992" max="9992" width="5.33203125" style="178" customWidth="1"/>
    <col min="9993" max="9993" width="6.5" style="178" customWidth="1"/>
    <col min="9994" max="9995" width="4.75" style="178" customWidth="1"/>
    <col min="9996" max="9996" width="8" style="178" customWidth="1"/>
    <col min="9997" max="9997" width="10.25" style="178" customWidth="1"/>
    <col min="9998" max="9998" width="17.5" style="178" customWidth="1"/>
    <col min="9999" max="9999" width="5.83203125" style="178" customWidth="1"/>
    <col min="10000" max="10000" width="5.75" style="178" customWidth="1"/>
    <col min="10001" max="10001" width="5.58203125" style="178" customWidth="1"/>
    <col min="10002" max="10240" width="9" style="178"/>
    <col min="10241" max="10241" width="0.58203125" style="178" customWidth="1"/>
    <col min="10242" max="10242" width="19.33203125" style="178" customWidth="1"/>
    <col min="10243" max="10243" width="18" style="178" customWidth="1"/>
    <col min="10244" max="10244" width="3" style="178" customWidth="1"/>
    <col min="10245" max="10245" width="20.08203125" style="178" customWidth="1"/>
    <col min="10246" max="10246" width="3.33203125" style="178" customWidth="1"/>
    <col min="10247" max="10247" width="19.25" style="178" customWidth="1"/>
    <col min="10248" max="10248" width="5.33203125" style="178" customWidth="1"/>
    <col min="10249" max="10249" width="6.5" style="178" customWidth="1"/>
    <col min="10250" max="10251" width="4.75" style="178" customWidth="1"/>
    <col min="10252" max="10252" width="8" style="178" customWidth="1"/>
    <col min="10253" max="10253" width="10.25" style="178" customWidth="1"/>
    <col min="10254" max="10254" width="17.5" style="178" customWidth="1"/>
    <col min="10255" max="10255" width="5.83203125" style="178" customWidth="1"/>
    <col min="10256" max="10256" width="5.75" style="178" customWidth="1"/>
    <col min="10257" max="10257" width="5.58203125" style="178" customWidth="1"/>
    <col min="10258" max="10496" width="9" style="178"/>
    <col min="10497" max="10497" width="0.58203125" style="178" customWidth="1"/>
    <col min="10498" max="10498" width="19.33203125" style="178" customWidth="1"/>
    <col min="10499" max="10499" width="18" style="178" customWidth="1"/>
    <col min="10500" max="10500" width="3" style="178" customWidth="1"/>
    <col min="10501" max="10501" width="20.08203125" style="178" customWidth="1"/>
    <col min="10502" max="10502" width="3.33203125" style="178" customWidth="1"/>
    <col min="10503" max="10503" width="19.25" style="178" customWidth="1"/>
    <col min="10504" max="10504" width="5.33203125" style="178" customWidth="1"/>
    <col min="10505" max="10505" width="6.5" style="178" customWidth="1"/>
    <col min="10506" max="10507" width="4.75" style="178" customWidth="1"/>
    <col min="10508" max="10508" width="8" style="178" customWidth="1"/>
    <col min="10509" max="10509" width="10.25" style="178" customWidth="1"/>
    <col min="10510" max="10510" width="17.5" style="178" customWidth="1"/>
    <col min="10511" max="10511" width="5.83203125" style="178" customWidth="1"/>
    <col min="10512" max="10512" width="5.75" style="178" customWidth="1"/>
    <col min="10513" max="10513" width="5.58203125" style="178" customWidth="1"/>
    <col min="10514" max="10752" width="9" style="178"/>
    <col min="10753" max="10753" width="0.58203125" style="178" customWidth="1"/>
    <col min="10754" max="10754" width="19.33203125" style="178" customWidth="1"/>
    <col min="10755" max="10755" width="18" style="178" customWidth="1"/>
    <col min="10756" max="10756" width="3" style="178" customWidth="1"/>
    <col min="10757" max="10757" width="20.08203125" style="178" customWidth="1"/>
    <col min="10758" max="10758" width="3.33203125" style="178" customWidth="1"/>
    <col min="10759" max="10759" width="19.25" style="178" customWidth="1"/>
    <col min="10760" max="10760" width="5.33203125" style="178" customWidth="1"/>
    <col min="10761" max="10761" width="6.5" style="178" customWidth="1"/>
    <col min="10762" max="10763" width="4.75" style="178" customWidth="1"/>
    <col min="10764" max="10764" width="8" style="178" customWidth="1"/>
    <col min="10765" max="10765" width="10.25" style="178" customWidth="1"/>
    <col min="10766" max="10766" width="17.5" style="178" customWidth="1"/>
    <col min="10767" max="10767" width="5.83203125" style="178" customWidth="1"/>
    <col min="10768" max="10768" width="5.75" style="178" customWidth="1"/>
    <col min="10769" max="10769" width="5.58203125" style="178" customWidth="1"/>
    <col min="10770" max="11008" width="9" style="178"/>
    <col min="11009" max="11009" width="0.58203125" style="178" customWidth="1"/>
    <col min="11010" max="11010" width="19.33203125" style="178" customWidth="1"/>
    <col min="11011" max="11011" width="18" style="178" customWidth="1"/>
    <col min="11012" max="11012" width="3" style="178" customWidth="1"/>
    <col min="11013" max="11013" width="20.08203125" style="178" customWidth="1"/>
    <col min="11014" max="11014" width="3.33203125" style="178" customWidth="1"/>
    <col min="11015" max="11015" width="19.25" style="178" customWidth="1"/>
    <col min="11016" max="11016" width="5.33203125" style="178" customWidth="1"/>
    <col min="11017" max="11017" width="6.5" style="178" customWidth="1"/>
    <col min="11018" max="11019" width="4.75" style="178" customWidth="1"/>
    <col min="11020" max="11020" width="8" style="178" customWidth="1"/>
    <col min="11021" max="11021" width="10.25" style="178" customWidth="1"/>
    <col min="11022" max="11022" width="17.5" style="178" customWidth="1"/>
    <col min="11023" max="11023" width="5.83203125" style="178" customWidth="1"/>
    <col min="11024" max="11024" width="5.75" style="178" customWidth="1"/>
    <col min="11025" max="11025" width="5.58203125" style="178" customWidth="1"/>
    <col min="11026" max="11264" width="9" style="178"/>
    <col min="11265" max="11265" width="0.58203125" style="178" customWidth="1"/>
    <col min="11266" max="11266" width="19.33203125" style="178" customWidth="1"/>
    <col min="11267" max="11267" width="18" style="178" customWidth="1"/>
    <col min="11268" max="11268" width="3" style="178" customWidth="1"/>
    <col min="11269" max="11269" width="20.08203125" style="178" customWidth="1"/>
    <col min="11270" max="11270" width="3.33203125" style="178" customWidth="1"/>
    <col min="11271" max="11271" width="19.25" style="178" customWidth="1"/>
    <col min="11272" max="11272" width="5.33203125" style="178" customWidth="1"/>
    <col min="11273" max="11273" width="6.5" style="178" customWidth="1"/>
    <col min="11274" max="11275" width="4.75" style="178" customWidth="1"/>
    <col min="11276" max="11276" width="8" style="178" customWidth="1"/>
    <col min="11277" max="11277" width="10.25" style="178" customWidth="1"/>
    <col min="11278" max="11278" width="17.5" style="178" customWidth="1"/>
    <col min="11279" max="11279" width="5.83203125" style="178" customWidth="1"/>
    <col min="11280" max="11280" width="5.75" style="178" customWidth="1"/>
    <col min="11281" max="11281" width="5.58203125" style="178" customWidth="1"/>
    <col min="11282" max="11520" width="9" style="178"/>
    <col min="11521" max="11521" width="0.58203125" style="178" customWidth="1"/>
    <col min="11522" max="11522" width="19.33203125" style="178" customWidth="1"/>
    <col min="11523" max="11523" width="18" style="178" customWidth="1"/>
    <col min="11524" max="11524" width="3" style="178" customWidth="1"/>
    <col min="11525" max="11525" width="20.08203125" style="178" customWidth="1"/>
    <col min="11526" max="11526" width="3.33203125" style="178" customWidth="1"/>
    <col min="11527" max="11527" width="19.25" style="178" customWidth="1"/>
    <col min="11528" max="11528" width="5.33203125" style="178" customWidth="1"/>
    <col min="11529" max="11529" width="6.5" style="178" customWidth="1"/>
    <col min="11530" max="11531" width="4.75" style="178" customWidth="1"/>
    <col min="11532" max="11532" width="8" style="178" customWidth="1"/>
    <col min="11533" max="11533" width="10.25" style="178" customWidth="1"/>
    <col min="11534" max="11534" width="17.5" style="178" customWidth="1"/>
    <col min="11535" max="11535" width="5.83203125" style="178" customWidth="1"/>
    <col min="11536" max="11536" width="5.75" style="178" customWidth="1"/>
    <col min="11537" max="11537" width="5.58203125" style="178" customWidth="1"/>
    <col min="11538" max="11776" width="9" style="178"/>
    <col min="11777" max="11777" width="0.58203125" style="178" customWidth="1"/>
    <col min="11778" max="11778" width="19.33203125" style="178" customWidth="1"/>
    <col min="11779" max="11779" width="18" style="178" customWidth="1"/>
    <col min="11780" max="11780" width="3" style="178" customWidth="1"/>
    <col min="11781" max="11781" width="20.08203125" style="178" customWidth="1"/>
    <col min="11782" max="11782" width="3.33203125" style="178" customWidth="1"/>
    <col min="11783" max="11783" width="19.25" style="178" customWidth="1"/>
    <col min="11784" max="11784" width="5.33203125" style="178" customWidth="1"/>
    <col min="11785" max="11785" width="6.5" style="178" customWidth="1"/>
    <col min="11786" max="11787" width="4.75" style="178" customWidth="1"/>
    <col min="11788" max="11788" width="8" style="178" customWidth="1"/>
    <col min="11789" max="11789" width="10.25" style="178" customWidth="1"/>
    <col min="11790" max="11790" width="17.5" style="178" customWidth="1"/>
    <col min="11791" max="11791" width="5.83203125" style="178" customWidth="1"/>
    <col min="11792" max="11792" width="5.75" style="178" customWidth="1"/>
    <col min="11793" max="11793" width="5.58203125" style="178" customWidth="1"/>
    <col min="11794" max="12032" width="9" style="178"/>
    <col min="12033" max="12033" width="0.58203125" style="178" customWidth="1"/>
    <col min="12034" max="12034" width="19.33203125" style="178" customWidth="1"/>
    <col min="12035" max="12035" width="18" style="178" customWidth="1"/>
    <col min="12036" max="12036" width="3" style="178" customWidth="1"/>
    <col min="12037" max="12037" width="20.08203125" style="178" customWidth="1"/>
    <col min="12038" max="12038" width="3.33203125" style="178" customWidth="1"/>
    <col min="12039" max="12039" width="19.25" style="178" customWidth="1"/>
    <col min="12040" max="12040" width="5.33203125" style="178" customWidth="1"/>
    <col min="12041" max="12041" width="6.5" style="178" customWidth="1"/>
    <col min="12042" max="12043" width="4.75" style="178" customWidth="1"/>
    <col min="12044" max="12044" width="8" style="178" customWidth="1"/>
    <col min="12045" max="12045" width="10.25" style="178" customWidth="1"/>
    <col min="12046" max="12046" width="17.5" style="178" customWidth="1"/>
    <col min="12047" max="12047" width="5.83203125" style="178" customWidth="1"/>
    <col min="12048" max="12048" width="5.75" style="178" customWidth="1"/>
    <col min="12049" max="12049" width="5.58203125" style="178" customWidth="1"/>
    <col min="12050" max="12288" width="9" style="178"/>
    <col min="12289" max="12289" width="0.58203125" style="178" customWidth="1"/>
    <col min="12290" max="12290" width="19.33203125" style="178" customWidth="1"/>
    <col min="12291" max="12291" width="18" style="178" customWidth="1"/>
    <col min="12292" max="12292" width="3" style="178" customWidth="1"/>
    <col min="12293" max="12293" width="20.08203125" style="178" customWidth="1"/>
    <col min="12294" max="12294" width="3.33203125" style="178" customWidth="1"/>
    <col min="12295" max="12295" width="19.25" style="178" customWidth="1"/>
    <col min="12296" max="12296" width="5.33203125" style="178" customWidth="1"/>
    <col min="12297" max="12297" width="6.5" style="178" customWidth="1"/>
    <col min="12298" max="12299" width="4.75" style="178" customWidth="1"/>
    <col min="12300" max="12300" width="8" style="178" customWidth="1"/>
    <col min="12301" max="12301" width="10.25" style="178" customWidth="1"/>
    <col min="12302" max="12302" width="17.5" style="178" customWidth="1"/>
    <col min="12303" max="12303" width="5.83203125" style="178" customWidth="1"/>
    <col min="12304" max="12304" width="5.75" style="178" customWidth="1"/>
    <col min="12305" max="12305" width="5.58203125" style="178" customWidth="1"/>
    <col min="12306" max="12544" width="9" style="178"/>
    <col min="12545" max="12545" width="0.58203125" style="178" customWidth="1"/>
    <col min="12546" max="12546" width="19.33203125" style="178" customWidth="1"/>
    <col min="12547" max="12547" width="18" style="178" customWidth="1"/>
    <col min="12548" max="12548" width="3" style="178" customWidth="1"/>
    <col min="12549" max="12549" width="20.08203125" style="178" customWidth="1"/>
    <col min="12550" max="12550" width="3.33203125" style="178" customWidth="1"/>
    <col min="12551" max="12551" width="19.25" style="178" customWidth="1"/>
    <col min="12552" max="12552" width="5.33203125" style="178" customWidth="1"/>
    <col min="12553" max="12553" width="6.5" style="178" customWidth="1"/>
    <col min="12554" max="12555" width="4.75" style="178" customWidth="1"/>
    <col min="12556" max="12556" width="8" style="178" customWidth="1"/>
    <col min="12557" max="12557" width="10.25" style="178" customWidth="1"/>
    <col min="12558" max="12558" width="17.5" style="178" customWidth="1"/>
    <col min="12559" max="12559" width="5.83203125" style="178" customWidth="1"/>
    <col min="12560" max="12560" width="5.75" style="178" customWidth="1"/>
    <col min="12561" max="12561" width="5.58203125" style="178" customWidth="1"/>
    <col min="12562" max="12800" width="9" style="178"/>
    <col min="12801" max="12801" width="0.58203125" style="178" customWidth="1"/>
    <col min="12802" max="12802" width="19.33203125" style="178" customWidth="1"/>
    <col min="12803" max="12803" width="18" style="178" customWidth="1"/>
    <col min="12804" max="12804" width="3" style="178" customWidth="1"/>
    <col min="12805" max="12805" width="20.08203125" style="178" customWidth="1"/>
    <col min="12806" max="12806" width="3.33203125" style="178" customWidth="1"/>
    <col min="12807" max="12807" width="19.25" style="178" customWidth="1"/>
    <col min="12808" max="12808" width="5.33203125" style="178" customWidth="1"/>
    <col min="12809" max="12809" width="6.5" style="178" customWidth="1"/>
    <col min="12810" max="12811" width="4.75" style="178" customWidth="1"/>
    <col min="12812" max="12812" width="8" style="178" customWidth="1"/>
    <col min="12813" max="12813" width="10.25" style="178" customWidth="1"/>
    <col min="12814" max="12814" width="17.5" style="178" customWidth="1"/>
    <col min="12815" max="12815" width="5.83203125" style="178" customWidth="1"/>
    <col min="12816" max="12816" width="5.75" style="178" customWidth="1"/>
    <col min="12817" max="12817" width="5.58203125" style="178" customWidth="1"/>
    <col min="12818" max="13056" width="9" style="178"/>
    <col min="13057" max="13057" width="0.58203125" style="178" customWidth="1"/>
    <col min="13058" max="13058" width="19.33203125" style="178" customWidth="1"/>
    <col min="13059" max="13059" width="18" style="178" customWidth="1"/>
    <col min="13060" max="13060" width="3" style="178" customWidth="1"/>
    <col min="13061" max="13061" width="20.08203125" style="178" customWidth="1"/>
    <col min="13062" max="13062" width="3.33203125" style="178" customWidth="1"/>
    <col min="13063" max="13063" width="19.25" style="178" customWidth="1"/>
    <col min="13064" max="13064" width="5.33203125" style="178" customWidth="1"/>
    <col min="13065" max="13065" width="6.5" style="178" customWidth="1"/>
    <col min="13066" max="13067" width="4.75" style="178" customWidth="1"/>
    <col min="13068" max="13068" width="8" style="178" customWidth="1"/>
    <col min="13069" max="13069" width="10.25" style="178" customWidth="1"/>
    <col min="13070" max="13070" width="17.5" style="178" customWidth="1"/>
    <col min="13071" max="13071" width="5.83203125" style="178" customWidth="1"/>
    <col min="13072" max="13072" width="5.75" style="178" customWidth="1"/>
    <col min="13073" max="13073" width="5.58203125" style="178" customWidth="1"/>
    <col min="13074" max="13312" width="9" style="178"/>
    <col min="13313" max="13313" width="0.58203125" style="178" customWidth="1"/>
    <col min="13314" max="13314" width="19.33203125" style="178" customWidth="1"/>
    <col min="13315" max="13315" width="18" style="178" customWidth="1"/>
    <col min="13316" max="13316" width="3" style="178" customWidth="1"/>
    <col min="13317" max="13317" width="20.08203125" style="178" customWidth="1"/>
    <col min="13318" max="13318" width="3.33203125" style="178" customWidth="1"/>
    <col min="13319" max="13319" width="19.25" style="178" customWidth="1"/>
    <col min="13320" max="13320" width="5.33203125" style="178" customWidth="1"/>
    <col min="13321" max="13321" width="6.5" style="178" customWidth="1"/>
    <col min="13322" max="13323" width="4.75" style="178" customWidth="1"/>
    <col min="13324" max="13324" width="8" style="178" customWidth="1"/>
    <col min="13325" max="13325" width="10.25" style="178" customWidth="1"/>
    <col min="13326" max="13326" width="17.5" style="178" customWidth="1"/>
    <col min="13327" max="13327" width="5.83203125" style="178" customWidth="1"/>
    <col min="13328" max="13328" width="5.75" style="178" customWidth="1"/>
    <col min="13329" max="13329" width="5.58203125" style="178" customWidth="1"/>
    <col min="13330" max="13568" width="9" style="178"/>
    <col min="13569" max="13569" width="0.58203125" style="178" customWidth="1"/>
    <col min="13570" max="13570" width="19.33203125" style="178" customWidth="1"/>
    <col min="13571" max="13571" width="18" style="178" customWidth="1"/>
    <col min="13572" max="13572" width="3" style="178" customWidth="1"/>
    <col min="13573" max="13573" width="20.08203125" style="178" customWidth="1"/>
    <col min="13574" max="13574" width="3.33203125" style="178" customWidth="1"/>
    <col min="13575" max="13575" width="19.25" style="178" customWidth="1"/>
    <col min="13576" max="13576" width="5.33203125" style="178" customWidth="1"/>
    <col min="13577" max="13577" width="6.5" style="178" customWidth="1"/>
    <col min="13578" max="13579" width="4.75" style="178" customWidth="1"/>
    <col min="13580" max="13580" width="8" style="178" customWidth="1"/>
    <col min="13581" max="13581" width="10.25" style="178" customWidth="1"/>
    <col min="13582" max="13582" width="17.5" style="178" customWidth="1"/>
    <col min="13583" max="13583" width="5.83203125" style="178" customWidth="1"/>
    <col min="13584" max="13584" width="5.75" style="178" customWidth="1"/>
    <col min="13585" max="13585" width="5.58203125" style="178" customWidth="1"/>
    <col min="13586" max="13824" width="9" style="178"/>
    <col min="13825" max="13825" width="0.58203125" style="178" customWidth="1"/>
    <col min="13826" max="13826" width="19.33203125" style="178" customWidth="1"/>
    <col min="13827" max="13827" width="18" style="178" customWidth="1"/>
    <col min="13828" max="13828" width="3" style="178" customWidth="1"/>
    <col min="13829" max="13829" width="20.08203125" style="178" customWidth="1"/>
    <col min="13830" max="13830" width="3.33203125" style="178" customWidth="1"/>
    <col min="13831" max="13831" width="19.25" style="178" customWidth="1"/>
    <col min="13832" max="13832" width="5.33203125" style="178" customWidth="1"/>
    <col min="13833" max="13833" width="6.5" style="178" customWidth="1"/>
    <col min="13834" max="13835" width="4.75" style="178" customWidth="1"/>
    <col min="13836" max="13836" width="8" style="178" customWidth="1"/>
    <col min="13837" max="13837" width="10.25" style="178" customWidth="1"/>
    <col min="13838" max="13838" width="17.5" style="178" customWidth="1"/>
    <col min="13839" max="13839" width="5.83203125" style="178" customWidth="1"/>
    <col min="13840" max="13840" width="5.75" style="178" customWidth="1"/>
    <col min="13841" max="13841" width="5.58203125" style="178" customWidth="1"/>
    <col min="13842" max="14080" width="9" style="178"/>
    <col min="14081" max="14081" width="0.58203125" style="178" customWidth="1"/>
    <col min="14082" max="14082" width="19.33203125" style="178" customWidth="1"/>
    <col min="14083" max="14083" width="18" style="178" customWidth="1"/>
    <col min="14084" max="14084" width="3" style="178" customWidth="1"/>
    <col min="14085" max="14085" width="20.08203125" style="178" customWidth="1"/>
    <col min="14086" max="14086" width="3.33203125" style="178" customWidth="1"/>
    <col min="14087" max="14087" width="19.25" style="178" customWidth="1"/>
    <col min="14088" max="14088" width="5.33203125" style="178" customWidth="1"/>
    <col min="14089" max="14089" width="6.5" style="178" customWidth="1"/>
    <col min="14090" max="14091" width="4.75" style="178" customWidth="1"/>
    <col min="14092" max="14092" width="8" style="178" customWidth="1"/>
    <col min="14093" max="14093" width="10.25" style="178" customWidth="1"/>
    <col min="14094" max="14094" width="17.5" style="178" customWidth="1"/>
    <col min="14095" max="14095" width="5.83203125" style="178" customWidth="1"/>
    <col min="14096" max="14096" width="5.75" style="178" customWidth="1"/>
    <col min="14097" max="14097" width="5.58203125" style="178" customWidth="1"/>
    <col min="14098" max="14336" width="9" style="178"/>
    <col min="14337" max="14337" width="0.58203125" style="178" customWidth="1"/>
    <col min="14338" max="14338" width="19.33203125" style="178" customWidth="1"/>
    <col min="14339" max="14339" width="18" style="178" customWidth="1"/>
    <col min="14340" max="14340" width="3" style="178" customWidth="1"/>
    <col min="14341" max="14341" width="20.08203125" style="178" customWidth="1"/>
    <col min="14342" max="14342" width="3.33203125" style="178" customWidth="1"/>
    <col min="14343" max="14343" width="19.25" style="178" customWidth="1"/>
    <col min="14344" max="14344" width="5.33203125" style="178" customWidth="1"/>
    <col min="14345" max="14345" width="6.5" style="178" customWidth="1"/>
    <col min="14346" max="14347" width="4.75" style="178" customWidth="1"/>
    <col min="14348" max="14348" width="8" style="178" customWidth="1"/>
    <col min="14349" max="14349" width="10.25" style="178" customWidth="1"/>
    <col min="14350" max="14350" width="17.5" style="178" customWidth="1"/>
    <col min="14351" max="14351" width="5.83203125" style="178" customWidth="1"/>
    <col min="14352" max="14352" width="5.75" style="178" customWidth="1"/>
    <col min="14353" max="14353" width="5.58203125" style="178" customWidth="1"/>
    <col min="14354" max="14592" width="9" style="178"/>
    <col min="14593" max="14593" width="0.58203125" style="178" customWidth="1"/>
    <col min="14594" max="14594" width="19.33203125" style="178" customWidth="1"/>
    <col min="14595" max="14595" width="18" style="178" customWidth="1"/>
    <col min="14596" max="14596" width="3" style="178" customWidth="1"/>
    <col min="14597" max="14597" width="20.08203125" style="178" customWidth="1"/>
    <col min="14598" max="14598" width="3.33203125" style="178" customWidth="1"/>
    <col min="14599" max="14599" width="19.25" style="178" customWidth="1"/>
    <col min="14600" max="14600" width="5.33203125" style="178" customWidth="1"/>
    <col min="14601" max="14601" width="6.5" style="178" customWidth="1"/>
    <col min="14602" max="14603" width="4.75" style="178" customWidth="1"/>
    <col min="14604" max="14604" width="8" style="178" customWidth="1"/>
    <col min="14605" max="14605" width="10.25" style="178" customWidth="1"/>
    <col min="14606" max="14606" width="17.5" style="178" customWidth="1"/>
    <col min="14607" max="14607" width="5.83203125" style="178" customWidth="1"/>
    <col min="14608" max="14608" width="5.75" style="178" customWidth="1"/>
    <col min="14609" max="14609" width="5.58203125" style="178" customWidth="1"/>
    <col min="14610" max="14848" width="9" style="178"/>
    <col min="14849" max="14849" width="0.58203125" style="178" customWidth="1"/>
    <col min="14850" max="14850" width="19.33203125" style="178" customWidth="1"/>
    <col min="14851" max="14851" width="18" style="178" customWidth="1"/>
    <col min="14852" max="14852" width="3" style="178" customWidth="1"/>
    <col min="14853" max="14853" width="20.08203125" style="178" customWidth="1"/>
    <col min="14854" max="14854" width="3.33203125" style="178" customWidth="1"/>
    <col min="14855" max="14855" width="19.25" style="178" customWidth="1"/>
    <col min="14856" max="14856" width="5.33203125" style="178" customWidth="1"/>
    <col min="14857" max="14857" width="6.5" style="178" customWidth="1"/>
    <col min="14858" max="14859" width="4.75" style="178" customWidth="1"/>
    <col min="14860" max="14860" width="8" style="178" customWidth="1"/>
    <col min="14861" max="14861" width="10.25" style="178" customWidth="1"/>
    <col min="14862" max="14862" width="17.5" style="178" customWidth="1"/>
    <col min="14863" max="14863" width="5.83203125" style="178" customWidth="1"/>
    <col min="14864" max="14864" width="5.75" style="178" customWidth="1"/>
    <col min="14865" max="14865" width="5.58203125" style="178" customWidth="1"/>
    <col min="14866" max="15104" width="9" style="178"/>
    <col min="15105" max="15105" width="0.58203125" style="178" customWidth="1"/>
    <col min="15106" max="15106" width="19.33203125" style="178" customWidth="1"/>
    <col min="15107" max="15107" width="18" style="178" customWidth="1"/>
    <col min="15108" max="15108" width="3" style="178" customWidth="1"/>
    <col min="15109" max="15109" width="20.08203125" style="178" customWidth="1"/>
    <col min="15110" max="15110" width="3.33203125" style="178" customWidth="1"/>
    <col min="15111" max="15111" width="19.25" style="178" customWidth="1"/>
    <col min="15112" max="15112" width="5.33203125" style="178" customWidth="1"/>
    <col min="15113" max="15113" width="6.5" style="178" customWidth="1"/>
    <col min="15114" max="15115" width="4.75" style="178" customWidth="1"/>
    <col min="15116" max="15116" width="8" style="178" customWidth="1"/>
    <col min="15117" max="15117" width="10.25" style="178" customWidth="1"/>
    <col min="15118" max="15118" width="17.5" style="178" customWidth="1"/>
    <col min="15119" max="15119" width="5.83203125" style="178" customWidth="1"/>
    <col min="15120" max="15120" width="5.75" style="178" customWidth="1"/>
    <col min="15121" max="15121" width="5.58203125" style="178" customWidth="1"/>
    <col min="15122" max="15360" width="9" style="178"/>
    <col min="15361" max="15361" width="0.58203125" style="178" customWidth="1"/>
    <col min="15362" max="15362" width="19.33203125" style="178" customWidth="1"/>
    <col min="15363" max="15363" width="18" style="178" customWidth="1"/>
    <col min="15364" max="15364" width="3" style="178" customWidth="1"/>
    <col min="15365" max="15365" width="20.08203125" style="178" customWidth="1"/>
    <col min="15366" max="15366" width="3.33203125" style="178" customWidth="1"/>
    <col min="15367" max="15367" width="19.25" style="178" customWidth="1"/>
    <col min="15368" max="15368" width="5.33203125" style="178" customWidth="1"/>
    <col min="15369" max="15369" width="6.5" style="178" customWidth="1"/>
    <col min="15370" max="15371" width="4.75" style="178" customWidth="1"/>
    <col min="15372" max="15372" width="8" style="178" customWidth="1"/>
    <col min="15373" max="15373" width="10.25" style="178" customWidth="1"/>
    <col min="15374" max="15374" width="17.5" style="178" customWidth="1"/>
    <col min="15375" max="15375" width="5.83203125" style="178" customWidth="1"/>
    <col min="15376" max="15376" width="5.75" style="178" customWidth="1"/>
    <col min="15377" max="15377" width="5.58203125" style="178" customWidth="1"/>
    <col min="15378" max="15616" width="9" style="178"/>
    <col min="15617" max="15617" width="0.58203125" style="178" customWidth="1"/>
    <col min="15618" max="15618" width="19.33203125" style="178" customWidth="1"/>
    <col min="15619" max="15619" width="18" style="178" customWidth="1"/>
    <col min="15620" max="15620" width="3" style="178" customWidth="1"/>
    <col min="15621" max="15621" width="20.08203125" style="178" customWidth="1"/>
    <col min="15622" max="15622" width="3.33203125" style="178" customWidth="1"/>
    <col min="15623" max="15623" width="19.25" style="178" customWidth="1"/>
    <col min="15624" max="15624" width="5.33203125" style="178" customWidth="1"/>
    <col min="15625" max="15625" width="6.5" style="178" customWidth="1"/>
    <col min="15626" max="15627" width="4.75" style="178" customWidth="1"/>
    <col min="15628" max="15628" width="8" style="178" customWidth="1"/>
    <col min="15629" max="15629" width="10.25" style="178" customWidth="1"/>
    <col min="15630" max="15630" width="17.5" style="178" customWidth="1"/>
    <col min="15631" max="15631" width="5.83203125" style="178" customWidth="1"/>
    <col min="15632" max="15632" width="5.75" style="178" customWidth="1"/>
    <col min="15633" max="15633" width="5.58203125" style="178" customWidth="1"/>
    <col min="15634" max="15872" width="9" style="178"/>
    <col min="15873" max="15873" width="0.58203125" style="178" customWidth="1"/>
    <col min="15874" max="15874" width="19.33203125" style="178" customWidth="1"/>
    <col min="15875" max="15875" width="18" style="178" customWidth="1"/>
    <col min="15876" max="15876" width="3" style="178" customWidth="1"/>
    <col min="15877" max="15877" width="20.08203125" style="178" customWidth="1"/>
    <col min="15878" max="15878" width="3.33203125" style="178" customWidth="1"/>
    <col min="15879" max="15879" width="19.25" style="178" customWidth="1"/>
    <col min="15880" max="15880" width="5.33203125" style="178" customWidth="1"/>
    <col min="15881" max="15881" width="6.5" style="178" customWidth="1"/>
    <col min="15882" max="15883" width="4.75" style="178" customWidth="1"/>
    <col min="15884" max="15884" width="8" style="178" customWidth="1"/>
    <col min="15885" max="15885" width="10.25" style="178" customWidth="1"/>
    <col min="15886" max="15886" width="17.5" style="178" customWidth="1"/>
    <col min="15887" max="15887" width="5.83203125" style="178" customWidth="1"/>
    <col min="15888" max="15888" width="5.75" style="178" customWidth="1"/>
    <col min="15889" max="15889" width="5.58203125" style="178" customWidth="1"/>
    <col min="15890" max="16128" width="9" style="178"/>
    <col min="16129" max="16129" width="0.58203125" style="178" customWidth="1"/>
    <col min="16130" max="16130" width="19.33203125" style="178" customWidth="1"/>
    <col min="16131" max="16131" width="18" style="178" customWidth="1"/>
    <col min="16132" max="16132" width="3" style="178" customWidth="1"/>
    <col min="16133" max="16133" width="20.08203125" style="178" customWidth="1"/>
    <col min="16134" max="16134" width="3.33203125" style="178" customWidth="1"/>
    <col min="16135" max="16135" width="19.25" style="178" customWidth="1"/>
    <col min="16136" max="16136" width="5.33203125" style="178" customWidth="1"/>
    <col min="16137" max="16137" width="6.5" style="178" customWidth="1"/>
    <col min="16138" max="16139" width="4.75" style="178" customWidth="1"/>
    <col min="16140" max="16140" width="8" style="178" customWidth="1"/>
    <col min="16141" max="16141" width="10.25" style="178" customWidth="1"/>
    <col min="16142" max="16142" width="17.5" style="178" customWidth="1"/>
    <col min="16143" max="16143" width="5.83203125" style="178" customWidth="1"/>
    <col min="16144" max="16144" width="5.75" style="178" customWidth="1"/>
    <col min="16145" max="16145" width="5.58203125" style="178" customWidth="1"/>
    <col min="16146" max="16384" width="9" style="178"/>
  </cols>
  <sheetData>
    <row r="1" spans="1:17" ht="15" customHeight="1">
      <c r="A1" s="37" t="s">
        <v>1149</v>
      </c>
      <c r="B1" s="37"/>
      <c r="C1" s="37" t="s">
        <v>289</v>
      </c>
      <c r="D1" s="37"/>
      <c r="E1" s="37"/>
      <c r="F1" s="37"/>
      <c r="G1" s="37"/>
      <c r="H1" s="37" t="e">
        <f>①基本情報!Q5</f>
        <v>#N/A</v>
      </c>
      <c r="I1" s="37"/>
      <c r="J1" s="37"/>
      <c r="K1" s="37"/>
      <c r="L1" s="37"/>
      <c r="M1" s="37"/>
      <c r="N1" s="37"/>
      <c r="O1" s="37"/>
      <c r="P1" s="37"/>
      <c r="Q1" s="37"/>
    </row>
    <row r="2" spans="1:17" ht="23.15" customHeight="1">
      <c r="A2" s="37"/>
      <c r="B2" s="37"/>
      <c r="C2" s="37"/>
      <c r="D2" s="37"/>
      <c r="E2" s="37"/>
      <c r="F2" s="37"/>
      <c r="G2" s="366">
        <v>45747</v>
      </c>
      <c r="H2" s="37"/>
      <c r="I2" s="37"/>
      <c r="J2" s="37"/>
      <c r="K2" s="37"/>
      <c r="L2" s="37"/>
      <c r="M2" s="37"/>
      <c r="O2" s="37"/>
      <c r="P2" s="37"/>
      <c r="Q2" s="37"/>
    </row>
    <row r="3" spans="1:17" ht="6" customHeight="1">
      <c r="A3" s="37"/>
      <c r="B3" s="37"/>
      <c r="C3" s="37"/>
      <c r="D3" s="37"/>
      <c r="E3" s="37"/>
      <c r="F3" s="37"/>
      <c r="G3" s="37"/>
      <c r="H3" s="37"/>
      <c r="I3" s="37"/>
      <c r="J3" s="37"/>
      <c r="K3" s="37"/>
      <c r="L3" s="37"/>
      <c r="M3" s="37"/>
      <c r="N3" s="37"/>
      <c r="O3" s="37"/>
      <c r="P3" s="37"/>
      <c r="Q3" s="37"/>
    </row>
    <row r="4" spans="1:17" ht="23.15" customHeight="1">
      <c r="A4" s="37"/>
      <c r="B4" s="37"/>
      <c r="C4" s="998" t="s">
        <v>1150</v>
      </c>
      <c r="D4" s="998"/>
      <c r="E4" s="998"/>
      <c r="F4" s="37"/>
      <c r="G4" s="37"/>
      <c r="H4" s="37"/>
      <c r="I4" s="37"/>
      <c r="J4" s="37"/>
      <c r="K4" s="37"/>
      <c r="L4" s="37"/>
      <c r="M4" s="37"/>
      <c r="N4" s="37"/>
      <c r="O4" s="37"/>
      <c r="P4" s="37"/>
      <c r="Q4" s="37"/>
    </row>
    <row r="5" spans="1:17" ht="23.15" customHeight="1">
      <c r="A5" s="37"/>
      <c r="B5" s="37"/>
      <c r="C5" s="998" t="s">
        <v>1151</v>
      </c>
      <c r="D5" s="998"/>
      <c r="E5" s="998"/>
      <c r="F5" s="37"/>
      <c r="G5" s="37"/>
      <c r="H5" s="37"/>
      <c r="I5" s="37"/>
      <c r="J5" s="37"/>
      <c r="K5" s="37"/>
      <c r="L5" s="37"/>
      <c r="M5" s="37"/>
      <c r="N5" s="37"/>
      <c r="O5" s="37"/>
      <c r="P5" s="37"/>
      <c r="Q5" s="37"/>
    </row>
    <row r="6" spans="1:17" ht="5.25" customHeight="1">
      <c r="A6" s="37"/>
      <c r="B6" s="37"/>
      <c r="C6" s="37"/>
      <c r="D6" s="37"/>
      <c r="E6" s="37"/>
      <c r="F6" s="37"/>
      <c r="G6" s="37"/>
      <c r="H6" s="37"/>
      <c r="I6" s="37"/>
      <c r="J6" s="37"/>
      <c r="K6" s="37"/>
      <c r="L6" s="37"/>
      <c r="M6" s="37"/>
      <c r="N6" s="37"/>
      <c r="O6" s="37"/>
      <c r="P6" s="37"/>
      <c r="Q6" s="37"/>
    </row>
    <row r="7" spans="1:17" ht="20.25" customHeight="1">
      <c r="A7" s="37"/>
      <c r="B7" s="36" t="s">
        <v>1619</v>
      </c>
      <c r="C7" s="65"/>
      <c r="D7" s="65"/>
      <c r="E7" s="37"/>
      <c r="F7" s="888" t="e">
        <f>VLOOKUP(①基本情報!$Q$5,補助金用基本データ!$B$5:$S$58,13,0)</f>
        <v>#N/A</v>
      </c>
      <c r="G7" s="888"/>
      <c r="H7" s="888"/>
      <c r="I7" s="37"/>
      <c r="J7" s="37"/>
      <c r="K7" s="37"/>
      <c r="L7" s="37"/>
      <c r="M7" s="37"/>
      <c r="N7" s="37"/>
      <c r="O7" s="37"/>
      <c r="P7" s="37"/>
      <c r="Q7" s="37"/>
    </row>
    <row r="8" spans="1:17" ht="12.75" customHeight="1">
      <c r="A8" s="37"/>
      <c r="B8" s="37"/>
      <c r="C8" s="37"/>
      <c r="D8" s="37"/>
      <c r="E8" s="37"/>
      <c r="F8" s="889"/>
      <c r="G8" s="889"/>
      <c r="H8" s="889"/>
      <c r="I8" s="37"/>
      <c r="J8" s="37"/>
      <c r="K8" s="37"/>
      <c r="L8" s="37"/>
      <c r="M8" s="37"/>
      <c r="N8" s="37"/>
      <c r="O8" s="37"/>
      <c r="P8" s="37"/>
      <c r="Q8" s="37"/>
    </row>
    <row r="9" spans="1:17" ht="29.25" customHeight="1">
      <c r="A9" s="37"/>
      <c r="B9" s="37"/>
      <c r="C9" s="37"/>
      <c r="D9" s="37"/>
      <c r="E9" s="36" t="s">
        <v>1152</v>
      </c>
      <c r="F9" s="889"/>
      <c r="G9" s="889"/>
      <c r="H9" s="889"/>
      <c r="I9" s="37"/>
      <c r="J9" s="37"/>
      <c r="K9" s="37"/>
      <c r="L9" s="37"/>
      <c r="Q9" s="37"/>
    </row>
    <row r="10" spans="1:17" ht="18" customHeight="1">
      <c r="A10" s="37"/>
      <c r="B10" s="37"/>
      <c r="C10" s="37"/>
      <c r="D10" s="37"/>
      <c r="E10" s="36" t="s">
        <v>1153</v>
      </c>
      <c r="F10" s="999" t="e">
        <f>VLOOKUP(①基本情報!$Q$5,補助金用基本データ!$B$5:$S$58,12,0)</f>
        <v>#N/A</v>
      </c>
      <c r="G10" s="999"/>
      <c r="H10" s="999"/>
      <c r="I10" s="37"/>
      <c r="J10" s="37"/>
      <c r="K10" s="37"/>
      <c r="L10" s="37"/>
      <c r="Q10" s="37"/>
    </row>
    <row r="11" spans="1:17" ht="18" customHeight="1">
      <c r="A11" s="37"/>
      <c r="B11" s="37"/>
      <c r="C11" s="37"/>
      <c r="D11" s="37"/>
      <c r="E11" s="36" t="s">
        <v>1154</v>
      </c>
      <c r="F11" s="999" t="e">
        <f>VLOOKUP(①基本情報!$Q$5,補助金用基本データ!$B$5:$S$58,14,0)&amp;"　"&amp;VLOOKUP(①基本情報!$Q$5,補助金用基本データ!$B$5:$S$58,15,0)</f>
        <v>#N/A</v>
      </c>
      <c r="G11" s="999"/>
      <c r="H11" s="999"/>
      <c r="I11" s="997"/>
      <c r="J11" s="997"/>
      <c r="K11" s="997"/>
      <c r="L11" s="997"/>
      <c r="Q11" s="37"/>
    </row>
    <row r="12" spans="1:17" ht="18" customHeight="1">
      <c r="A12" s="37"/>
      <c r="B12" s="37"/>
      <c r="C12" s="37"/>
      <c r="D12" s="37"/>
      <c r="E12" s="582" t="s">
        <v>1155</v>
      </c>
      <c r="F12" s="999" t="e">
        <f>VLOOKUP(①基本情報!$Q$5,補助金用基本データ!$B$5:$S$58,2,0)</f>
        <v>#N/A</v>
      </c>
      <c r="G12" s="999"/>
      <c r="H12" s="999"/>
      <c r="J12" s="37" t="s">
        <v>1156</v>
      </c>
      <c r="K12" s="37"/>
      <c r="L12" s="37" t="s">
        <v>861</v>
      </c>
      <c r="Q12" s="37"/>
    </row>
    <row r="13" spans="1:17" ht="18" customHeight="1">
      <c r="A13" s="37"/>
      <c r="B13" s="37"/>
      <c r="C13" s="37"/>
      <c r="D13" s="37"/>
      <c r="E13" s="582" t="s">
        <v>1614</v>
      </c>
      <c r="F13" s="999">
        <f>①基本情報!M4</f>
        <v>0</v>
      </c>
      <c r="G13" s="999"/>
      <c r="H13" s="573"/>
      <c r="J13" s="37"/>
      <c r="K13" s="37"/>
      <c r="L13" s="37"/>
      <c r="Q13" s="37"/>
    </row>
    <row r="14" spans="1:17" ht="4.5" customHeight="1">
      <c r="A14" s="37"/>
      <c r="B14" s="37"/>
      <c r="C14" s="37"/>
      <c r="D14" s="37"/>
      <c r="E14" s="37"/>
      <c r="F14" s="37"/>
      <c r="G14" s="37"/>
      <c r="H14" s="37"/>
      <c r="I14" s="37"/>
      <c r="J14" s="37"/>
      <c r="K14" s="37"/>
      <c r="L14" s="37"/>
      <c r="M14" s="37"/>
      <c r="N14" s="37"/>
      <c r="O14" s="37"/>
      <c r="P14" s="37"/>
      <c r="Q14" s="37"/>
    </row>
    <row r="15" spans="1:17" ht="18" customHeight="1">
      <c r="B15" s="1000" t="e">
        <f>CONCATENATE("　　",I15,"付け千葉市指令こ幼運第",I16,"により交付決定のあった千葉市施設型給付対象施設保育士等配置基準改善事業補助金について、次のとおり補助金の交付決定額を変更されたく、千葉市施設型給付対象施設運営事業補助金交付要綱第９条第１項の規定に基づき申請します。")</f>
        <v>#N/A</v>
      </c>
      <c r="C15" s="1000"/>
      <c r="D15" s="1000"/>
      <c r="E15" s="1000"/>
      <c r="F15" s="1000"/>
      <c r="G15" s="1000"/>
      <c r="H15" s="1000"/>
      <c r="I15" s="37" t="e">
        <f>VLOOKUP(①基本情報!Q5,個別データ!$C$5:$GY$59,34,0)</f>
        <v>#N/A</v>
      </c>
      <c r="J15" s="37"/>
      <c r="K15" s="37"/>
      <c r="L15" s="37"/>
      <c r="M15" s="37"/>
      <c r="N15" s="37"/>
      <c r="O15" s="37"/>
      <c r="P15" s="37"/>
      <c r="Q15" s="37"/>
    </row>
    <row r="16" spans="1:17" ht="18" customHeight="1">
      <c r="B16" s="1000"/>
      <c r="C16" s="1000"/>
      <c r="D16" s="1000"/>
      <c r="E16" s="1000"/>
      <c r="F16" s="1000"/>
      <c r="G16" s="1000"/>
      <c r="H16" s="1000"/>
      <c r="I16" s="37" t="e">
        <f>VLOOKUP(①基本情報!Q5,個別データ!$C$5:$GY$59,37,0)</f>
        <v>#N/A</v>
      </c>
      <c r="J16" s="37"/>
      <c r="K16" s="37"/>
      <c r="L16" s="37"/>
      <c r="M16" s="37"/>
      <c r="N16" s="37"/>
      <c r="O16" s="37"/>
      <c r="P16" s="37"/>
      <c r="Q16" s="37"/>
    </row>
    <row r="17" spans="1:17" ht="7.5" customHeight="1">
      <c r="A17" s="37"/>
      <c r="B17" s="1000"/>
      <c r="C17" s="1000"/>
      <c r="D17" s="1000"/>
      <c r="E17" s="1000"/>
      <c r="F17" s="1000"/>
      <c r="G17" s="1000"/>
      <c r="H17" s="1000"/>
      <c r="I17" s="37"/>
      <c r="J17" s="37"/>
      <c r="K17" s="37"/>
      <c r="L17" s="37"/>
      <c r="M17" s="37"/>
      <c r="N17" s="37"/>
      <c r="O17" s="37"/>
      <c r="P17" s="37"/>
      <c r="Q17" s="37"/>
    </row>
    <row r="18" spans="1:17" ht="7.5" customHeight="1">
      <c r="A18" s="37"/>
      <c r="B18" s="37"/>
      <c r="C18" s="37"/>
      <c r="D18" s="37"/>
      <c r="E18" s="37"/>
      <c r="F18" s="37"/>
      <c r="G18" s="37"/>
      <c r="H18" s="37"/>
      <c r="I18" s="37"/>
      <c r="J18" s="37"/>
      <c r="K18" s="37"/>
      <c r="L18" s="37"/>
      <c r="M18" s="37"/>
      <c r="N18" s="37"/>
      <c r="O18" s="37"/>
      <c r="P18" s="37"/>
      <c r="Q18" s="37"/>
    </row>
    <row r="19" spans="1:17" ht="27.75" customHeight="1">
      <c r="A19" s="37" t="s">
        <v>1157</v>
      </c>
      <c r="B19" s="37"/>
      <c r="C19" s="37"/>
      <c r="D19" s="37"/>
      <c r="E19" s="218">
        <f>C39</f>
        <v>0</v>
      </c>
      <c r="F19" s="37"/>
      <c r="G19" s="203" t="s">
        <v>290</v>
      </c>
      <c r="H19" s="203"/>
      <c r="I19" s="37"/>
      <c r="J19" s="899"/>
      <c r="K19" s="899"/>
      <c r="L19" s="899"/>
      <c r="M19" s="899"/>
      <c r="O19" s="37"/>
      <c r="P19" s="37"/>
      <c r="Q19" s="37"/>
    </row>
    <row r="20" spans="1:17" ht="15" customHeight="1" thickBot="1">
      <c r="A20" s="37"/>
      <c r="B20" s="37"/>
      <c r="C20" s="37"/>
      <c r="D20" s="37"/>
      <c r="E20" s="37"/>
      <c r="F20" s="37"/>
      <c r="G20" s="37"/>
      <c r="H20" s="37"/>
      <c r="I20" s="37"/>
      <c r="J20" s="37"/>
      <c r="K20" s="37"/>
      <c r="L20" s="37"/>
      <c r="M20" s="37"/>
      <c r="N20" s="37"/>
      <c r="O20" s="37"/>
      <c r="P20" s="37"/>
      <c r="Q20" s="37"/>
    </row>
    <row r="21" spans="1:17" ht="23.25" customHeight="1">
      <c r="A21" s="37"/>
      <c r="B21" s="367" t="s">
        <v>291</v>
      </c>
      <c r="C21" s="992" t="s">
        <v>1158</v>
      </c>
      <c r="D21" s="1001"/>
      <c r="E21" s="992" t="s">
        <v>1159</v>
      </c>
      <c r="F21" s="1001"/>
      <c r="G21" s="1002" t="s">
        <v>1160</v>
      </c>
      <c r="H21" s="1003"/>
      <c r="I21" s="37"/>
      <c r="J21" s="37"/>
      <c r="K21" s="37"/>
      <c r="L21" s="37"/>
      <c r="M21" s="37"/>
      <c r="N21" s="37"/>
      <c r="O21" s="37"/>
      <c r="P21" s="37"/>
      <c r="Q21" s="37"/>
    </row>
    <row r="22" spans="1:17" ht="23.25" customHeight="1">
      <c r="A22" s="37"/>
      <c r="B22" s="1004" t="s">
        <v>1161</v>
      </c>
      <c r="C22" s="368"/>
      <c r="D22" s="369"/>
      <c r="E22" s="434" t="e">
        <f>VLOOKUP(①基本情報!Q5,個別データ!$C$5:$GN$189,34,0)</f>
        <v>#N/A</v>
      </c>
      <c r="F22" s="370"/>
      <c r="G22" s="371"/>
      <c r="H22" s="372"/>
      <c r="I22" s="37"/>
      <c r="J22" s="37"/>
      <c r="K22" s="37"/>
      <c r="L22" s="37"/>
      <c r="M22" s="37"/>
      <c r="N22" s="37"/>
      <c r="O22" s="37"/>
      <c r="P22" s="37"/>
      <c r="Q22" s="37"/>
    </row>
    <row r="23" spans="1:17" ht="23.25" customHeight="1">
      <c r="A23" s="37"/>
      <c r="B23" s="1008"/>
      <c r="C23" s="373">
        <f>⑤基本加算１!K30</f>
        <v>0</v>
      </c>
      <c r="D23" s="374" t="s">
        <v>292</v>
      </c>
      <c r="E23" s="435" t="e">
        <f>VLOOKUP(①基本情報!Q5,個別データ!$C$5:$GY$59,13,0)</f>
        <v>#N/A</v>
      </c>
      <c r="F23" s="374" t="s">
        <v>292</v>
      </c>
      <c r="G23" s="375" t="e">
        <f>C23-E23</f>
        <v>#N/A</v>
      </c>
      <c r="H23" s="376" t="s">
        <v>292</v>
      </c>
      <c r="I23" s="37"/>
      <c r="J23" s="37"/>
      <c r="K23" s="37"/>
      <c r="L23" s="37"/>
      <c r="M23" s="37"/>
      <c r="N23" s="37"/>
      <c r="O23" s="37"/>
      <c r="P23" s="37"/>
      <c r="Q23" s="37"/>
    </row>
    <row r="24" spans="1:17" ht="23.25" customHeight="1">
      <c r="A24" s="37"/>
      <c r="B24" s="1004" t="s">
        <v>1162</v>
      </c>
      <c r="C24" s="377"/>
      <c r="D24" s="369"/>
      <c r="E24" s="434" t="e">
        <f>E22</f>
        <v>#N/A</v>
      </c>
      <c r="F24" s="370"/>
      <c r="G24" s="368"/>
      <c r="H24" s="378"/>
      <c r="I24" s="37"/>
      <c r="J24" s="37"/>
      <c r="K24" s="37"/>
      <c r="L24" s="37"/>
      <c r="M24" s="37"/>
      <c r="N24" s="37"/>
      <c r="O24" s="37"/>
      <c r="P24" s="37"/>
      <c r="Q24" s="37"/>
    </row>
    <row r="25" spans="1:17" ht="23.25" customHeight="1">
      <c r="A25" s="37"/>
      <c r="B25" s="1008"/>
      <c r="C25" s="373">
        <f>⑥基本加算２!$J$30</f>
        <v>0</v>
      </c>
      <c r="D25" s="374" t="s">
        <v>292</v>
      </c>
      <c r="E25" s="435" t="e">
        <f>VLOOKUP(①基本情報!Q5,個別データ!$C$5:$GY$59,14,0)</f>
        <v>#N/A</v>
      </c>
      <c r="F25" s="374" t="s">
        <v>292</v>
      </c>
      <c r="G25" s="375" t="e">
        <f>C25-E25</f>
        <v>#N/A</v>
      </c>
      <c r="H25" s="376" t="s">
        <v>292</v>
      </c>
      <c r="I25" s="37"/>
      <c r="J25" s="37"/>
      <c r="K25" s="37"/>
      <c r="L25" s="37"/>
      <c r="M25" s="37"/>
      <c r="N25" s="37"/>
      <c r="O25" s="37"/>
      <c r="P25" s="37"/>
      <c r="Q25" s="37"/>
    </row>
    <row r="26" spans="1:17" ht="23.25" customHeight="1">
      <c r="A26" s="37"/>
      <c r="B26" s="1004" t="s">
        <v>1163</v>
      </c>
      <c r="C26" s="377"/>
      <c r="D26" s="369"/>
      <c r="E26" s="434" t="e">
        <f>E24</f>
        <v>#N/A</v>
      </c>
      <c r="F26" s="370"/>
      <c r="G26" s="368"/>
      <c r="H26" s="378"/>
      <c r="I26" s="37"/>
      <c r="J26" s="37"/>
      <c r="K26" s="37"/>
      <c r="L26" s="37"/>
      <c r="M26" s="37"/>
      <c r="N26" s="37"/>
      <c r="O26" s="37"/>
      <c r="P26" s="37"/>
      <c r="Q26" s="37"/>
    </row>
    <row r="27" spans="1:17" ht="23.25" customHeight="1">
      <c r="A27" s="37"/>
      <c r="B27" s="1008"/>
      <c r="C27" s="373">
        <f>⑦基本加算３!J30</f>
        <v>0</v>
      </c>
      <c r="D27" s="374" t="s">
        <v>292</v>
      </c>
      <c r="E27" s="435" t="e">
        <f>VLOOKUP(①基本情報!Q5,個別データ!$C$5:$GY$59,15,0)</f>
        <v>#N/A</v>
      </c>
      <c r="F27" s="374" t="s">
        <v>292</v>
      </c>
      <c r="G27" s="375" t="e">
        <f>C27-E27</f>
        <v>#N/A</v>
      </c>
      <c r="H27" s="376" t="s">
        <v>292</v>
      </c>
      <c r="I27" s="37"/>
      <c r="J27" s="37"/>
      <c r="K27" s="37"/>
      <c r="L27" s="37"/>
      <c r="M27" s="37"/>
      <c r="N27" s="37"/>
      <c r="O27" s="37"/>
      <c r="P27" s="37"/>
      <c r="Q27" s="37"/>
    </row>
    <row r="28" spans="1:17" ht="23.25" customHeight="1">
      <c r="A28" s="37"/>
      <c r="B28" s="1004" t="s">
        <v>1164</v>
      </c>
      <c r="C28" s="377"/>
      <c r="D28" s="369"/>
      <c r="E28" s="434" t="e">
        <f>E26</f>
        <v>#N/A</v>
      </c>
      <c r="F28" s="370"/>
      <c r="G28" s="368"/>
      <c r="H28" s="378"/>
      <c r="I28" s="37"/>
      <c r="J28" s="37"/>
      <c r="K28" s="37"/>
      <c r="L28" s="37"/>
      <c r="M28" s="37"/>
      <c r="N28" s="37"/>
      <c r="O28" s="37"/>
      <c r="P28" s="37"/>
      <c r="Q28" s="37"/>
    </row>
    <row r="29" spans="1:17" ht="23.25" customHeight="1">
      <c r="A29" s="37"/>
      <c r="B29" s="1009"/>
      <c r="C29" s="373">
        <f>⑧一般加算１!N78</f>
        <v>0</v>
      </c>
      <c r="D29" s="374" t="s">
        <v>292</v>
      </c>
      <c r="E29" s="435" t="e">
        <f>VLOOKUP(①基本情報!Q5,個別データ!$C$5:$GY$59,16,0)</f>
        <v>#N/A</v>
      </c>
      <c r="F29" s="374" t="s">
        <v>292</v>
      </c>
      <c r="G29" s="375" t="e">
        <f>C29-E29</f>
        <v>#N/A</v>
      </c>
      <c r="H29" s="376" t="s">
        <v>292</v>
      </c>
      <c r="I29" s="37"/>
      <c r="J29" s="37"/>
      <c r="K29" s="37"/>
      <c r="L29" s="37"/>
      <c r="M29" s="37"/>
      <c r="N29" s="37"/>
      <c r="O29" s="37"/>
      <c r="P29" s="37"/>
      <c r="Q29" s="37"/>
    </row>
    <row r="30" spans="1:17" ht="23.25" customHeight="1">
      <c r="A30" s="37"/>
      <c r="B30" s="1004" t="s">
        <v>1165</v>
      </c>
      <c r="C30" s="377"/>
      <c r="D30" s="369"/>
      <c r="E30" s="434" t="e">
        <f>E28</f>
        <v>#N/A</v>
      </c>
      <c r="F30" s="370"/>
      <c r="G30" s="368"/>
      <c r="H30" s="378"/>
      <c r="I30" s="37"/>
      <c r="J30" s="37"/>
      <c r="K30" s="37"/>
      <c r="L30" s="37"/>
      <c r="M30" s="37"/>
      <c r="N30" s="37"/>
      <c r="O30" s="37"/>
      <c r="P30" s="37"/>
      <c r="Q30" s="37"/>
    </row>
    <row r="31" spans="1:17" ht="23.25" customHeight="1">
      <c r="A31" s="37"/>
      <c r="B31" s="1009"/>
      <c r="C31" s="373">
        <f>⑨一般加算２!N78</f>
        <v>0</v>
      </c>
      <c r="D31" s="374" t="s">
        <v>292</v>
      </c>
      <c r="E31" s="435" t="e">
        <f>VLOOKUP(①基本情報!Q5,個別データ!$C$5:$GY$59,17,0)</f>
        <v>#N/A</v>
      </c>
      <c r="F31" s="374" t="s">
        <v>292</v>
      </c>
      <c r="G31" s="375" t="e">
        <f>C31-E31</f>
        <v>#N/A</v>
      </c>
      <c r="H31" s="376" t="s">
        <v>292</v>
      </c>
      <c r="I31" s="37"/>
      <c r="J31" s="37"/>
      <c r="K31" s="37"/>
      <c r="L31" s="37"/>
      <c r="M31" s="37"/>
      <c r="N31" s="37"/>
      <c r="O31" s="37"/>
      <c r="P31" s="37"/>
      <c r="Q31" s="37"/>
    </row>
    <row r="32" spans="1:17" ht="23.25" customHeight="1">
      <c r="A32" s="37"/>
      <c r="B32" s="1004" t="s">
        <v>1166</v>
      </c>
      <c r="C32" s="377"/>
      <c r="D32" s="369"/>
      <c r="E32" s="434" t="e">
        <f>E30</f>
        <v>#N/A</v>
      </c>
      <c r="F32" s="370"/>
      <c r="G32" s="368"/>
      <c r="H32" s="378"/>
      <c r="I32" s="37"/>
      <c r="J32" s="37"/>
      <c r="K32" s="37"/>
      <c r="L32" s="37"/>
      <c r="M32" s="37"/>
      <c r="N32" s="37"/>
      <c r="O32" s="37"/>
      <c r="P32" s="37"/>
      <c r="Q32" s="37"/>
    </row>
    <row r="33" spans="1:17" ht="23.25" customHeight="1">
      <c r="A33" s="37"/>
      <c r="B33" s="1005"/>
      <c r="C33" s="373">
        <f>⑩特定加算１!J138</f>
        <v>0</v>
      </c>
      <c r="D33" s="374" t="s">
        <v>292</v>
      </c>
      <c r="E33" s="435" t="e">
        <f>VLOOKUP(①基本情報!Q5,個別データ!$C$5:$GY$59,18,0)</f>
        <v>#N/A</v>
      </c>
      <c r="F33" s="374" t="s">
        <v>292</v>
      </c>
      <c r="G33" s="375" t="e">
        <f>C33-E33</f>
        <v>#N/A</v>
      </c>
      <c r="H33" s="376" t="s">
        <v>292</v>
      </c>
      <c r="I33" s="37"/>
      <c r="J33" s="37"/>
      <c r="K33" s="37"/>
      <c r="L33" s="37"/>
      <c r="M33" s="37"/>
      <c r="N33" s="37"/>
      <c r="O33" s="37"/>
      <c r="P33" s="37"/>
      <c r="Q33" s="37"/>
    </row>
    <row r="34" spans="1:17" ht="23.25" customHeight="1">
      <c r="A34" s="37"/>
      <c r="B34" s="1004" t="s">
        <v>1167</v>
      </c>
      <c r="C34" s="377"/>
      <c r="D34" s="369"/>
      <c r="E34" s="434" t="e">
        <f>E32</f>
        <v>#N/A</v>
      </c>
      <c r="F34" s="370"/>
      <c r="G34" s="368"/>
      <c r="H34" s="378"/>
      <c r="I34" s="37"/>
      <c r="J34" s="37"/>
      <c r="K34" s="37"/>
      <c r="L34" s="37"/>
      <c r="M34" s="37"/>
      <c r="N34" s="37"/>
      <c r="O34" s="37"/>
      <c r="P34" s="37"/>
      <c r="Q34" s="37"/>
    </row>
    <row r="35" spans="1:17" ht="23.25" customHeight="1">
      <c r="A35" s="37"/>
      <c r="B35" s="1005"/>
      <c r="C35" s="373">
        <f>⑪特定加算２!J66</f>
        <v>0</v>
      </c>
      <c r="D35" s="374" t="s">
        <v>292</v>
      </c>
      <c r="E35" s="435" t="e">
        <f>VLOOKUP(①基本情報!Q5,個別データ!$C$5:$GY$59,19,0)</f>
        <v>#N/A</v>
      </c>
      <c r="F35" s="374" t="s">
        <v>292</v>
      </c>
      <c r="G35" s="375" t="e">
        <f>C35-E35</f>
        <v>#N/A</v>
      </c>
      <c r="H35" s="376" t="s">
        <v>292</v>
      </c>
      <c r="I35" s="37"/>
      <c r="J35" s="37"/>
      <c r="K35" s="37"/>
      <c r="L35" s="37"/>
      <c r="M35" s="37"/>
      <c r="N35" s="37"/>
      <c r="O35" s="37"/>
      <c r="P35" s="37"/>
      <c r="Q35" s="37"/>
    </row>
    <row r="36" spans="1:17" ht="23.25" customHeight="1">
      <c r="A36" s="37"/>
      <c r="B36" s="1004" t="s">
        <v>1615</v>
      </c>
      <c r="C36" s="377"/>
      <c r="D36" s="369"/>
      <c r="E36" s="434" t="e">
        <f>E34</f>
        <v>#N/A</v>
      </c>
      <c r="F36" s="370"/>
      <c r="G36" s="368"/>
      <c r="H36" s="378"/>
      <c r="I36" s="37"/>
      <c r="J36" s="37"/>
      <c r="K36" s="37"/>
      <c r="L36" s="37"/>
      <c r="M36" s="37"/>
      <c r="N36" s="37"/>
      <c r="O36" s="37"/>
      <c r="P36" s="37"/>
      <c r="Q36" s="37"/>
    </row>
    <row r="37" spans="1:17" ht="23.25" customHeight="1">
      <c r="A37" s="37"/>
      <c r="B37" s="1005"/>
      <c r="C37" s="375">
        <f>⑫公定価格加算分!E23*-1</f>
        <v>0</v>
      </c>
      <c r="D37" s="374" t="s">
        <v>292</v>
      </c>
      <c r="E37" s="435">
        <v>0</v>
      </c>
      <c r="F37" s="374" t="s">
        <v>292</v>
      </c>
      <c r="G37" s="375">
        <f>C37-E37</f>
        <v>0</v>
      </c>
      <c r="H37" s="376" t="s">
        <v>292</v>
      </c>
      <c r="I37" s="37"/>
      <c r="J37" s="37"/>
      <c r="K37" s="37"/>
      <c r="L37" s="37"/>
      <c r="M37" s="37"/>
      <c r="N37" s="37"/>
      <c r="O37" s="37"/>
      <c r="P37" s="37"/>
      <c r="Q37" s="37"/>
    </row>
    <row r="38" spans="1:17" ht="23.25" customHeight="1">
      <c r="A38" s="37"/>
      <c r="B38" s="1006" t="s">
        <v>293</v>
      </c>
      <c r="C38" s="377"/>
      <c r="D38" s="369"/>
      <c r="E38" s="434"/>
      <c r="F38" s="370"/>
      <c r="G38" s="368"/>
      <c r="H38" s="378"/>
      <c r="I38" s="37"/>
      <c r="J38" s="37"/>
      <c r="K38" s="37"/>
      <c r="L38" s="37"/>
      <c r="M38" s="37"/>
      <c r="N38" s="37"/>
      <c r="O38" s="37"/>
      <c r="P38" s="37"/>
      <c r="Q38" s="37"/>
    </row>
    <row r="39" spans="1:17" ht="23.25" customHeight="1" thickBot="1">
      <c r="A39" s="37"/>
      <c r="B39" s="1007"/>
      <c r="C39" s="379">
        <f>SUM(C22:C37)</f>
        <v>0</v>
      </c>
      <c r="D39" s="380" t="s">
        <v>292</v>
      </c>
      <c r="E39" s="436" t="e">
        <f>SUM(E23,E25,E27,E29,E33,E31,E35,E37)</f>
        <v>#N/A</v>
      </c>
      <c r="F39" s="65" t="s">
        <v>292</v>
      </c>
      <c r="G39" s="381" t="e">
        <f>C39-E39</f>
        <v>#N/A</v>
      </c>
      <c r="H39" s="382" t="s">
        <v>292</v>
      </c>
      <c r="I39" s="37"/>
      <c r="J39" s="37"/>
      <c r="K39" s="37"/>
      <c r="L39" s="37"/>
      <c r="M39" s="37"/>
      <c r="N39" s="37"/>
      <c r="O39" s="37"/>
      <c r="P39" s="37"/>
      <c r="Q39" s="37"/>
    </row>
    <row r="40" spans="1:17" ht="13.5" customHeight="1">
      <c r="B40" s="178" t="s">
        <v>1168</v>
      </c>
      <c r="C40" s="178" t="s">
        <v>1169</v>
      </c>
      <c r="F40" s="383"/>
    </row>
    <row r="41" spans="1:17" ht="13.5" customHeight="1">
      <c r="B41" s="178" t="s">
        <v>1170</v>
      </c>
      <c r="C41" s="178" t="s">
        <v>1208</v>
      </c>
    </row>
    <row r="42" spans="1:17" ht="13.5" customHeight="1">
      <c r="B42" s="178" t="s">
        <v>1171</v>
      </c>
      <c r="C42" s="178" t="s">
        <v>1172</v>
      </c>
    </row>
    <row r="43" spans="1:17" ht="13.5" customHeight="1">
      <c r="C43" s="178" t="s">
        <v>1173</v>
      </c>
    </row>
    <row r="44" spans="1:17" ht="13.5" customHeight="1">
      <c r="C44" s="178" t="s">
        <v>1174</v>
      </c>
    </row>
    <row r="45" spans="1:17" ht="13.5" customHeight="1">
      <c r="C45" s="178" t="s">
        <v>1175</v>
      </c>
    </row>
    <row r="46" spans="1:17" ht="18" customHeight="1"/>
  </sheetData>
  <sheetProtection algorithmName="SHA-512" hashValue="GmRpsjUj8JhHVWeW7THdFB/YY50JWj9OO5WjXMKGc3s6wetSr3rNigAhhUosLd1BM35aBJKKH7saopHl7IRffw==" saltValue="cofmX/+Mr0WgHjLM2XZq8Q==" spinCount="100000" sheet="1" selectLockedCells="1"/>
  <mergeCells count="22">
    <mergeCell ref="B34:B35"/>
    <mergeCell ref="B38:B39"/>
    <mergeCell ref="B22:B23"/>
    <mergeCell ref="B24:B25"/>
    <mergeCell ref="B26:B27"/>
    <mergeCell ref="B28:B29"/>
    <mergeCell ref="B30:B31"/>
    <mergeCell ref="B32:B33"/>
    <mergeCell ref="B36:B37"/>
    <mergeCell ref="F12:H12"/>
    <mergeCell ref="B15:H17"/>
    <mergeCell ref="J19:M19"/>
    <mergeCell ref="C21:D21"/>
    <mergeCell ref="E21:F21"/>
    <mergeCell ref="G21:H21"/>
    <mergeCell ref="F13:G13"/>
    <mergeCell ref="I11:L11"/>
    <mergeCell ref="C4:E4"/>
    <mergeCell ref="C5:E5"/>
    <mergeCell ref="F7:H9"/>
    <mergeCell ref="F10:H10"/>
    <mergeCell ref="F11:H11"/>
  </mergeCells>
  <phoneticPr fontId="1"/>
  <dataValidations count="1">
    <dataValidation type="date" operator="notEqual" allowBlank="1" showInputMessage="1" showErrorMessage="1" sqref="G2" xr:uid="{C637706D-4DE2-4C1F-B0C7-B74EE8A743DC}">
      <formula1>92</formula1>
    </dataValidation>
  </dataValidations>
  <pageMargins left="0.78740157480314965" right="0.51181102362204722" top="0.98425196850393704" bottom="0.98425196850393704" header="0.51181102362204722" footer="0.51181102362204722"/>
  <pageSetup paperSize="9" scale="8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9297-21A2-499B-AB90-FA99A3094658}">
  <sheetPr>
    <tabColor rgb="FF7030A0"/>
  </sheetPr>
  <dimension ref="A1:L38"/>
  <sheetViews>
    <sheetView showGridLines="0" view="pageBreakPreview" zoomScaleNormal="100" zoomScaleSheetLayoutView="100" workbookViewId="0">
      <selection activeCell="F7" sqref="F7:H9"/>
    </sheetView>
  </sheetViews>
  <sheetFormatPr defaultRowHeight="13"/>
  <cols>
    <col min="1" max="1" width="1.08203125" style="178" customWidth="1"/>
    <col min="2" max="2" width="16.75" style="178" customWidth="1"/>
    <col min="3" max="3" width="18.75" style="178" customWidth="1"/>
    <col min="4" max="4" width="3" style="178" customWidth="1"/>
    <col min="5" max="5" width="20.33203125" style="178" customWidth="1"/>
    <col min="6" max="6" width="3.33203125" style="178" customWidth="1"/>
    <col min="7" max="7" width="19.08203125" style="178" customWidth="1"/>
    <col min="8" max="8" width="3.33203125" style="178" customWidth="1"/>
    <col min="9" max="9" width="6.5" style="178" customWidth="1"/>
    <col min="10" max="11" width="4.75" style="178" customWidth="1"/>
    <col min="12" max="12" width="8" style="178" customWidth="1"/>
    <col min="13" max="16384" width="8.6640625" style="178"/>
  </cols>
  <sheetData>
    <row r="1" spans="1:12" ht="23.15" customHeight="1">
      <c r="A1" s="37" t="s">
        <v>1176</v>
      </c>
      <c r="B1" s="37"/>
      <c r="C1" s="37" t="s">
        <v>289</v>
      </c>
      <c r="D1" s="37"/>
      <c r="E1" s="37"/>
      <c r="F1" s="37"/>
      <c r="G1" s="37"/>
      <c r="H1" s="49" t="e">
        <f>様式４!H1</f>
        <v>#N/A</v>
      </c>
      <c r="I1" s="37"/>
      <c r="J1" s="37"/>
      <c r="K1" s="37"/>
      <c r="L1" s="37"/>
    </row>
    <row r="2" spans="1:12" ht="23.15" customHeight="1">
      <c r="A2" s="37"/>
      <c r="B2" s="37"/>
      <c r="C2" s="37"/>
      <c r="D2" s="37"/>
      <c r="E2" s="37"/>
      <c r="F2" s="37"/>
      <c r="G2" s="366">
        <f>様式４!G2</f>
        <v>45747</v>
      </c>
      <c r="H2" s="37"/>
      <c r="I2" s="37"/>
      <c r="J2" s="37"/>
      <c r="K2" s="37"/>
      <c r="L2" s="37"/>
    </row>
    <row r="3" spans="1:12" ht="15" customHeight="1">
      <c r="A3" s="37"/>
      <c r="B3" s="37"/>
      <c r="C3" s="37"/>
      <c r="D3" s="37"/>
      <c r="E3" s="37"/>
      <c r="F3" s="37"/>
      <c r="G3" s="37"/>
      <c r="H3" s="37"/>
      <c r="I3" s="37"/>
      <c r="J3" s="37"/>
      <c r="K3" s="37"/>
      <c r="L3" s="37"/>
    </row>
    <row r="4" spans="1:12" ht="23.15" customHeight="1">
      <c r="A4" s="37"/>
      <c r="B4" s="37"/>
      <c r="C4" s="998" t="s">
        <v>1177</v>
      </c>
      <c r="D4" s="998"/>
      <c r="E4" s="998"/>
      <c r="F4" s="37"/>
      <c r="G4" s="37"/>
      <c r="H4" s="37"/>
      <c r="I4" s="37"/>
      <c r="J4" s="37"/>
      <c r="K4" s="37"/>
      <c r="L4" s="37"/>
    </row>
    <row r="5" spans="1:12" ht="23.15" customHeight="1">
      <c r="A5" s="37"/>
      <c r="B5" s="37"/>
      <c r="C5" s="998" t="s">
        <v>1178</v>
      </c>
      <c r="D5" s="998"/>
      <c r="E5" s="998"/>
      <c r="F5" s="37"/>
      <c r="G5" s="37"/>
      <c r="H5" s="37"/>
      <c r="I5" s="37"/>
      <c r="J5" s="37"/>
      <c r="K5" s="37"/>
      <c r="L5" s="37"/>
    </row>
    <row r="6" spans="1:12" ht="5.25" customHeight="1">
      <c r="A6" s="37"/>
      <c r="B6" s="37"/>
      <c r="C6" s="37"/>
      <c r="D6" s="37"/>
      <c r="E6" s="37"/>
      <c r="F6" s="37"/>
      <c r="G6" s="37"/>
      <c r="H6" s="37"/>
      <c r="I6" s="37"/>
      <c r="J6" s="37"/>
      <c r="K6" s="37"/>
      <c r="L6" s="37"/>
    </row>
    <row r="7" spans="1:12" ht="23.15" customHeight="1">
      <c r="A7" s="37"/>
      <c r="B7" s="36" t="s">
        <v>1619</v>
      </c>
      <c r="C7" s="65"/>
      <c r="D7" s="65"/>
      <c r="E7" s="37"/>
      <c r="F7" s="888" t="e">
        <f>IF(様式４!F7="","",様式４!F7)</f>
        <v>#N/A</v>
      </c>
      <c r="G7" s="888"/>
      <c r="H7" s="888"/>
      <c r="I7" s="37"/>
      <c r="J7" s="37"/>
      <c r="K7" s="37"/>
      <c r="L7" s="37"/>
    </row>
    <row r="8" spans="1:12" ht="5.25" customHeight="1">
      <c r="A8" s="37"/>
      <c r="B8" s="37"/>
      <c r="C8" s="37"/>
      <c r="D8" s="37"/>
      <c r="E8" s="37"/>
      <c r="F8" s="889"/>
      <c r="G8" s="889"/>
      <c r="H8" s="889"/>
      <c r="I8" s="37"/>
      <c r="J8" s="37"/>
      <c r="K8" s="37"/>
      <c r="L8" s="37"/>
    </row>
    <row r="9" spans="1:12" ht="30" customHeight="1">
      <c r="A9" s="37"/>
      <c r="B9" s="37"/>
      <c r="C9" s="37"/>
      <c r="D9" s="37"/>
      <c r="E9" s="36" t="s">
        <v>1152</v>
      </c>
      <c r="F9" s="889"/>
      <c r="G9" s="889"/>
      <c r="H9" s="889"/>
      <c r="I9" s="37"/>
      <c r="J9" s="37"/>
      <c r="K9" s="37"/>
      <c r="L9" s="37"/>
    </row>
    <row r="10" spans="1:12" ht="23.15" customHeight="1">
      <c r="A10" s="37"/>
      <c r="B10" s="37"/>
      <c r="C10" s="37"/>
      <c r="D10" s="37"/>
      <c r="E10" s="36" t="s">
        <v>1179</v>
      </c>
      <c r="F10" s="999" t="e">
        <f>IF(様式４!F10="","",様式４!F10)</f>
        <v>#N/A</v>
      </c>
      <c r="G10" s="999"/>
      <c r="H10" s="999"/>
      <c r="I10" s="37"/>
      <c r="J10" s="37"/>
      <c r="K10" s="37"/>
      <c r="L10" s="37"/>
    </row>
    <row r="11" spans="1:12" ht="23.15" customHeight="1">
      <c r="A11" s="37"/>
      <c r="B11" s="37"/>
      <c r="C11" s="37"/>
      <c r="D11" s="37"/>
      <c r="E11" s="36" t="s">
        <v>1180</v>
      </c>
      <c r="F11" s="999" t="e">
        <f>IF(様式４!F11="","",様式４!F11)</f>
        <v>#N/A</v>
      </c>
      <c r="G11" s="999"/>
      <c r="H11" s="999"/>
      <c r="I11" s="997"/>
      <c r="J11" s="997"/>
      <c r="K11" s="997"/>
      <c r="L11" s="997"/>
    </row>
    <row r="12" spans="1:12" ht="23.15" customHeight="1">
      <c r="A12" s="37"/>
      <c r="B12" s="37"/>
      <c r="C12" s="37"/>
      <c r="D12" s="37"/>
      <c r="E12" s="582" t="s">
        <v>1155</v>
      </c>
      <c r="F12" s="999" t="e">
        <f>IF(様式４!F12="","",様式４!F12)</f>
        <v>#N/A</v>
      </c>
      <c r="G12" s="999"/>
      <c r="H12" s="999"/>
      <c r="J12" s="37" t="s">
        <v>1156</v>
      </c>
      <c r="K12" s="37"/>
      <c r="L12" s="37" t="s">
        <v>861</v>
      </c>
    </row>
    <row r="13" spans="1:12" ht="23.15" customHeight="1">
      <c r="A13" s="37"/>
      <c r="B13" s="37"/>
      <c r="C13" s="37"/>
      <c r="D13" s="37"/>
      <c r="E13" s="582" t="s">
        <v>1616</v>
      </c>
      <c r="F13" s="999">
        <f>IF(様式４!F13="","",様式４!F13)</f>
        <v>0</v>
      </c>
      <c r="G13" s="999"/>
      <c r="H13" s="999"/>
      <c r="J13" s="37"/>
      <c r="K13" s="37"/>
      <c r="L13" s="37"/>
    </row>
    <row r="14" spans="1:12" ht="6" customHeight="1">
      <c r="A14" s="37"/>
      <c r="B14" s="37"/>
      <c r="C14" s="37"/>
      <c r="D14" s="37"/>
      <c r="E14" s="37"/>
      <c r="F14" s="37"/>
      <c r="G14" s="37"/>
      <c r="H14" s="37"/>
      <c r="I14" s="37"/>
      <c r="J14" s="37"/>
      <c r="K14" s="37"/>
      <c r="L14" s="37"/>
    </row>
    <row r="15" spans="1:12" ht="13.5" customHeight="1">
      <c r="B15" s="1000" t="s">
        <v>1181</v>
      </c>
      <c r="C15" s="1000"/>
      <c r="D15" s="1000"/>
      <c r="E15" s="1000"/>
      <c r="F15" s="1000"/>
      <c r="G15" s="1000"/>
      <c r="H15" s="1000"/>
      <c r="I15" s="37"/>
      <c r="J15" s="37"/>
      <c r="K15" s="37"/>
      <c r="L15" s="37"/>
    </row>
    <row r="16" spans="1:12" ht="23.15" customHeight="1">
      <c r="B16" s="1000"/>
      <c r="C16" s="1000"/>
      <c r="D16" s="1000"/>
      <c r="E16" s="1000"/>
      <c r="F16" s="1000"/>
      <c r="G16" s="1000"/>
      <c r="H16" s="1000"/>
      <c r="I16" s="37"/>
      <c r="J16" s="37"/>
      <c r="K16" s="37"/>
      <c r="L16" s="37"/>
    </row>
    <row r="17" spans="1:12" ht="23.15" customHeight="1">
      <c r="A17" s="37"/>
      <c r="B17" s="1000"/>
      <c r="C17" s="1000"/>
      <c r="D17" s="1000"/>
      <c r="E17" s="1000"/>
      <c r="F17" s="1000"/>
      <c r="G17" s="1000"/>
      <c r="H17" s="1000"/>
      <c r="I17" s="37"/>
      <c r="J17" s="37"/>
      <c r="K17" s="37"/>
      <c r="L17" s="37"/>
    </row>
    <row r="18" spans="1:12" ht="15.75" customHeight="1" thickBot="1">
      <c r="A18" s="37"/>
      <c r="B18" s="384"/>
      <c r="C18" s="384"/>
      <c r="D18" s="384"/>
      <c r="E18" s="384"/>
      <c r="F18" s="384"/>
      <c r="G18" s="384"/>
      <c r="H18" s="384"/>
      <c r="I18" s="37"/>
      <c r="J18" s="37"/>
      <c r="K18" s="37"/>
      <c r="L18" s="37"/>
    </row>
    <row r="19" spans="1:12" ht="23.15" customHeight="1">
      <c r="A19" s="37"/>
      <c r="B19" s="1010" t="s">
        <v>291</v>
      </c>
      <c r="C19" s="1012" t="s">
        <v>294</v>
      </c>
      <c r="D19" s="1013"/>
      <c r="E19" s="1012" t="s">
        <v>1182</v>
      </c>
      <c r="F19" s="1013"/>
      <c r="G19" s="1014" t="s">
        <v>1183</v>
      </c>
      <c r="H19" s="1015"/>
      <c r="I19" s="37"/>
      <c r="J19" s="37"/>
      <c r="K19" s="37"/>
      <c r="L19" s="37"/>
    </row>
    <row r="20" spans="1:12" ht="22.5" customHeight="1">
      <c r="A20" s="37"/>
      <c r="B20" s="1011"/>
      <c r="C20" s="804"/>
      <c r="D20" s="804"/>
      <c r="E20" s="804"/>
      <c r="F20" s="804"/>
      <c r="G20" s="1016"/>
      <c r="H20" s="1017"/>
      <c r="I20" s="37"/>
      <c r="J20" s="37"/>
      <c r="K20" s="37"/>
      <c r="L20" s="37"/>
    </row>
    <row r="21" spans="1:12" ht="33" customHeight="1">
      <c r="A21" s="37"/>
      <c r="B21" s="1004" t="s">
        <v>1161</v>
      </c>
      <c r="C21" s="1018">
        <f>様式４!C23</f>
        <v>0</v>
      </c>
      <c r="D21" s="369"/>
      <c r="E21" s="437" t="e">
        <f>VLOOKUP(①基本情報!Q5,個別データ!$C$5:$GY$59,35,0)&amp;"　　　　"&amp;VLOOKUP(①基本情報!Q5,個別データ!$C$5:$GY$59,36,0)</f>
        <v>#N/A</v>
      </c>
      <c r="F21" s="370"/>
      <c r="G21" s="371"/>
      <c r="H21" s="372"/>
      <c r="I21" s="37"/>
      <c r="J21" s="37"/>
      <c r="K21" s="37"/>
      <c r="L21" s="37"/>
    </row>
    <row r="22" spans="1:12" ht="27" customHeight="1">
      <c r="A22" s="37"/>
      <c r="B22" s="1008"/>
      <c r="C22" s="1019"/>
      <c r="D22" s="374" t="s">
        <v>292</v>
      </c>
      <c r="E22" s="375" t="e">
        <f>VLOOKUP(①基本情報!Q5,個別データ!$C$5:$GY$59,20,0)+VLOOKUP(①基本情報!Q5,個別データ!$C$5:$GY$59,27,0)</f>
        <v>#N/A</v>
      </c>
      <c r="F22" s="374" t="s">
        <v>292</v>
      </c>
      <c r="G22" s="375">
        <f>様式４!C23</f>
        <v>0</v>
      </c>
      <c r="H22" s="376" t="s">
        <v>292</v>
      </c>
      <c r="I22" s="37"/>
      <c r="J22" s="37"/>
      <c r="K22" s="37"/>
      <c r="L22" s="37"/>
    </row>
    <row r="23" spans="1:12" ht="33" customHeight="1">
      <c r="A23" s="37"/>
      <c r="B23" s="1004" t="s">
        <v>1162</v>
      </c>
      <c r="C23" s="1018">
        <f>様式４!C25</f>
        <v>0</v>
      </c>
      <c r="D23" s="369"/>
      <c r="E23" s="437" t="e">
        <f>E21</f>
        <v>#N/A</v>
      </c>
      <c r="F23" s="370"/>
      <c r="G23" s="368"/>
      <c r="H23" s="378"/>
      <c r="I23" s="37"/>
      <c r="J23" s="37"/>
      <c r="K23" s="37"/>
      <c r="L23" s="37"/>
    </row>
    <row r="24" spans="1:12" ht="27" customHeight="1">
      <c r="A24" s="37"/>
      <c r="B24" s="1008"/>
      <c r="C24" s="1019"/>
      <c r="D24" s="374" t="s">
        <v>292</v>
      </c>
      <c r="E24" s="375" t="e">
        <f>VLOOKUP(①基本情報!Q5,個別データ!$C$5:$GY$59,21,0)+VLOOKUP(①基本情報!Q5,個別データ!$C$5:$GY$59,28,0)</f>
        <v>#N/A</v>
      </c>
      <c r="F24" s="374" t="s">
        <v>292</v>
      </c>
      <c r="G24" s="375">
        <f>様式４!C25</f>
        <v>0</v>
      </c>
      <c r="H24" s="376" t="s">
        <v>292</v>
      </c>
      <c r="I24" s="37"/>
      <c r="J24" s="37"/>
      <c r="K24" s="37"/>
      <c r="L24" s="37"/>
    </row>
    <row r="25" spans="1:12" ht="33" customHeight="1">
      <c r="A25" s="37"/>
      <c r="B25" s="1004" t="s">
        <v>1163</v>
      </c>
      <c r="C25" s="1018">
        <f>様式４!C27</f>
        <v>0</v>
      </c>
      <c r="D25" s="369"/>
      <c r="E25" s="437" t="e">
        <f>E21</f>
        <v>#N/A</v>
      </c>
      <c r="F25" s="370"/>
      <c r="G25" s="368"/>
      <c r="H25" s="378"/>
      <c r="I25" s="37"/>
      <c r="J25" s="37"/>
      <c r="K25" s="37"/>
      <c r="L25" s="37"/>
    </row>
    <row r="26" spans="1:12" ht="27" customHeight="1">
      <c r="A26" s="37"/>
      <c r="B26" s="1008"/>
      <c r="C26" s="1019"/>
      <c r="D26" s="374" t="s">
        <v>292</v>
      </c>
      <c r="E26" s="375" t="e">
        <f>VLOOKUP(①基本情報!Q5,個別データ!$C$5:$GY$59,22,0)+VLOOKUP(①基本情報!Q5,個別データ!$C$5:$GY$59,29,0)</f>
        <v>#N/A</v>
      </c>
      <c r="F26" s="374" t="s">
        <v>292</v>
      </c>
      <c r="G26" s="375">
        <f>様式４!C27</f>
        <v>0</v>
      </c>
      <c r="H26" s="376" t="s">
        <v>292</v>
      </c>
      <c r="I26" s="37"/>
      <c r="J26" s="37"/>
      <c r="K26" s="37"/>
      <c r="L26" s="37"/>
    </row>
    <row r="27" spans="1:12" ht="33" customHeight="1">
      <c r="A27" s="37"/>
      <c r="B27" s="1004" t="s">
        <v>1164</v>
      </c>
      <c r="C27" s="1018">
        <f>様式４!C29</f>
        <v>0</v>
      </c>
      <c r="D27" s="369"/>
      <c r="E27" s="437" t="e">
        <f>E21</f>
        <v>#N/A</v>
      </c>
      <c r="F27" s="370"/>
      <c r="G27" s="368"/>
      <c r="H27" s="378"/>
      <c r="I27" s="37"/>
      <c r="J27" s="37"/>
      <c r="K27" s="37"/>
      <c r="L27" s="37"/>
    </row>
    <row r="28" spans="1:12" ht="27" customHeight="1">
      <c r="A28" s="37"/>
      <c r="B28" s="1009"/>
      <c r="C28" s="1019"/>
      <c r="D28" s="374" t="s">
        <v>292</v>
      </c>
      <c r="E28" s="375" t="e">
        <f>VLOOKUP(①基本情報!Q5,個別データ!$C$5:$GY$59,23,0)+VLOOKUP(①基本情報!Q5,個別データ!$C$5:$GY$59,30,0)</f>
        <v>#N/A</v>
      </c>
      <c r="F28" s="374" t="s">
        <v>292</v>
      </c>
      <c r="G28" s="375">
        <f>様式４!C29</f>
        <v>0</v>
      </c>
      <c r="H28" s="376" t="s">
        <v>292</v>
      </c>
      <c r="I28" s="37"/>
      <c r="J28" s="37"/>
      <c r="K28" s="37"/>
      <c r="L28" s="37"/>
    </row>
    <row r="29" spans="1:12" ht="33" customHeight="1">
      <c r="A29" s="37"/>
      <c r="B29" s="1004" t="s">
        <v>1165</v>
      </c>
      <c r="C29" s="1018">
        <f>様式４!C31</f>
        <v>0</v>
      </c>
      <c r="D29" s="369"/>
      <c r="E29" s="437" t="e">
        <f>E21</f>
        <v>#N/A</v>
      </c>
      <c r="F29" s="370"/>
      <c r="G29" s="368"/>
      <c r="H29" s="378"/>
      <c r="I29" s="37"/>
      <c r="J29" s="37"/>
      <c r="K29" s="37"/>
      <c r="L29" s="37"/>
    </row>
    <row r="30" spans="1:12" ht="27" customHeight="1">
      <c r="A30" s="37"/>
      <c r="B30" s="1009"/>
      <c r="C30" s="1019"/>
      <c r="D30" s="374" t="s">
        <v>292</v>
      </c>
      <c r="E30" s="375" t="e">
        <f>VLOOKUP(①基本情報!Q5,個別データ!$C$5:$GY$59,24,0)+VLOOKUP(①基本情報!Q5,個別データ!$C$5:$GY$59,31,0)</f>
        <v>#N/A</v>
      </c>
      <c r="F30" s="374" t="s">
        <v>292</v>
      </c>
      <c r="G30" s="375">
        <f>様式４!C31</f>
        <v>0</v>
      </c>
      <c r="H30" s="376" t="s">
        <v>292</v>
      </c>
      <c r="I30" s="37"/>
      <c r="J30" s="37"/>
      <c r="K30" s="37"/>
      <c r="L30" s="37"/>
    </row>
    <row r="31" spans="1:12" ht="33" customHeight="1">
      <c r="A31" s="37"/>
      <c r="B31" s="1004" t="s">
        <v>1166</v>
      </c>
      <c r="C31" s="1018">
        <f>様式４!C33</f>
        <v>0</v>
      </c>
      <c r="D31" s="369"/>
      <c r="E31" s="437" t="e">
        <f>E21</f>
        <v>#N/A</v>
      </c>
      <c r="F31" s="370"/>
      <c r="G31" s="368"/>
      <c r="H31" s="378"/>
      <c r="I31" s="37"/>
      <c r="J31" s="37"/>
      <c r="K31" s="37"/>
      <c r="L31" s="37"/>
    </row>
    <row r="32" spans="1:12" ht="27" customHeight="1">
      <c r="A32" s="37"/>
      <c r="B32" s="1005"/>
      <c r="C32" s="1019"/>
      <c r="D32" s="374" t="s">
        <v>292</v>
      </c>
      <c r="E32" s="375" t="e">
        <f>VLOOKUP(①基本情報!Q5,個別データ!$C$5:$GY$59,25,0)+VLOOKUP(①基本情報!Q5,個別データ!$C$5:$GY$59,32,0)</f>
        <v>#N/A</v>
      </c>
      <c r="F32" s="374" t="s">
        <v>292</v>
      </c>
      <c r="G32" s="375">
        <f>様式４!C33</f>
        <v>0</v>
      </c>
      <c r="H32" s="376" t="s">
        <v>292</v>
      </c>
      <c r="I32" s="37"/>
      <c r="J32" s="37"/>
      <c r="K32" s="37"/>
      <c r="L32" s="37"/>
    </row>
    <row r="33" spans="1:12" ht="33" customHeight="1">
      <c r="A33" s="37"/>
      <c r="B33" s="1004" t="s">
        <v>1167</v>
      </c>
      <c r="C33" s="1018">
        <f>様式４!C35</f>
        <v>0</v>
      </c>
      <c r="D33" s="369"/>
      <c r="E33" s="437" t="e">
        <f>E23</f>
        <v>#N/A</v>
      </c>
      <c r="F33" s="370"/>
      <c r="G33" s="368"/>
      <c r="H33" s="378"/>
      <c r="I33" s="37"/>
      <c r="J33" s="37"/>
      <c r="K33" s="37"/>
      <c r="L33" s="37"/>
    </row>
    <row r="34" spans="1:12" ht="27" customHeight="1">
      <c r="A34" s="37"/>
      <c r="B34" s="1005"/>
      <c r="C34" s="1019"/>
      <c r="D34" s="374" t="s">
        <v>292</v>
      </c>
      <c r="E34" s="375" t="e">
        <f>VLOOKUP(①基本情報!Q5,個別データ!$C$5:$GY$506,26,0)+VLOOKUP(①基本情報!Q5,個別データ!$C$5:$GY$59,33,0)</f>
        <v>#N/A</v>
      </c>
      <c r="F34" s="374" t="s">
        <v>292</v>
      </c>
      <c r="G34" s="375">
        <f>様式４!C35</f>
        <v>0</v>
      </c>
      <c r="H34" s="376" t="s">
        <v>292</v>
      </c>
      <c r="I34" s="37"/>
      <c r="J34" s="37"/>
      <c r="K34" s="37"/>
      <c r="L34" s="37"/>
    </row>
    <row r="35" spans="1:12" ht="27" customHeight="1">
      <c r="A35" s="37"/>
      <c r="B35" s="1004" t="s">
        <v>1615</v>
      </c>
      <c r="C35" s="1018">
        <f>様式４!C37</f>
        <v>0</v>
      </c>
      <c r="D35" s="369"/>
      <c r="E35" s="437" t="e">
        <f>E25</f>
        <v>#N/A</v>
      </c>
      <c r="F35" s="370"/>
      <c r="G35" s="368"/>
      <c r="H35" s="378"/>
      <c r="I35" s="37"/>
      <c r="J35" s="37"/>
      <c r="K35" s="37"/>
      <c r="L35" s="37"/>
    </row>
    <row r="36" spans="1:12" ht="27" customHeight="1">
      <c r="A36" s="37"/>
      <c r="B36" s="1005"/>
      <c r="C36" s="1019"/>
      <c r="D36" s="374" t="s">
        <v>292</v>
      </c>
      <c r="E36" s="375">
        <v>0</v>
      </c>
      <c r="F36" s="374" t="s">
        <v>292</v>
      </c>
      <c r="G36" s="375">
        <f>様式４!C37</f>
        <v>0</v>
      </c>
      <c r="H36" s="376" t="s">
        <v>292</v>
      </c>
      <c r="I36" s="37"/>
      <c r="J36" s="37"/>
      <c r="K36" s="37"/>
      <c r="L36" s="37"/>
    </row>
    <row r="37" spans="1:12" ht="33" customHeight="1">
      <c r="A37" s="37"/>
      <c r="B37" s="1006" t="s">
        <v>293</v>
      </c>
      <c r="C37" s="1018">
        <f>様式４!C39</f>
        <v>0</v>
      </c>
      <c r="D37" s="369"/>
      <c r="E37" s="437" t="e">
        <f>E21</f>
        <v>#N/A</v>
      </c>
      <c r="F37" s="370"/>
      <c r="G37" s="368"/>
      <c r="H37" s="378"/>
      <c r="I37" s="37"/>
      <c r="J37" s="37"/>
      <c r="K37" s="37"/>
      <c r="L37" s="37"/>
    </row>
    <row r="38" spans="1:12" ht="27" customHeight="1" thickBot="1">
      <c r="A38" s="37"/>
      <c r="B38" s="1007"/>
      <c r="C38" s="1020"/>
      <c r="D38" s="380" t="s">
        <v>292</v>
      </c>
      <c r="E38" s="381" t="e">
        <f>SUM(E22,E24,E26,E28,E30,E32,E34,E36)</f>
        <v>#N/A</v>
      </c>
      <c r="F38" s="385" t="s">
        <v>292</v>
      </c>
      <c r="G38" s="381">
        <f>様式４!C39</f>
        <v>0</v>
      </c>
      <c r="H38" s="382" t="s">
        <v>292</v>
      </c>
      <c r="I38" s="37"/>
      <c r="J38" s="37"/>
      <c r="K38" s="37"/>
      <c r="L38" s="37"/>
    </row>
  </sheetData>
  <sheetProtection algorithmName="SHA-512" hashValue="XMPRqaF/OCN5Tv67dFmih1KlvKmvjO9NH2IvGwSo6KoHYiPFMoW/DQxh6bk/v11TQtpII4kjbTtQUK41k1YyHw==" saltValue="OPqdYtR/usJ0a/xgsdrBRw==" spinCount="100000" sheet="1" selectLockedCells="1"/>
  <mergeCells count="31">
    <mergeCell ref="B27:B28"/>
    <mergeCell ref="C27:C28"/>
    <mergeCell ref="B29:B30"/>
    <mergeCell ref="C29:C30"/>
    <mergeCell ref="B31:B32"/>
    <mergeCell ref="C31:C32"/>
    <mergeCell ref="B33:B34"/>
    <mergeCell ref="C33:C34"/>
    <mergeCell ref="B37:B38"/>
    <mergeCell ref="C37:C38"/>
    <mergeCell ref="B35:B36"/>
    <mergeCell ref="C35:C36"/>
    <mergeCell ref="B21:B22"/>
    <mergeCell ref="C21:C22"/>
    <mergeCell ref="B23:B24"/>
    <mergeCell ref="C23:C24"/>
    <mergeCell ref="B25:B26"/>
    <mergeCell ref="C25:C26"/>
    <mergeCell ref="F12:H12"/>
    <mergeCell ref="B15:H17"/>
    <mergeCell ref="B19:B20"/>
    <mergeCell ref="C19:D20"/>
    <mergeCell ref="E19:F20"/>
    <mergeCell ref="G19:H20"/>
    <mergeCell ref="F13:H13"/>
    <mergeCell ref="I11:L11"/>
    <mergeCell ref="C4:E4"/>
    <mergeCell ref="C5:E5"/>
    <mergeCell ref="F7:H9"/>
    <mergeCell ref="F10:H10"/>
    <mergeCell ref="F11:H11"/>
  </mergeCells>
  <phoneticPr fontId="1"/>
  <dataValidations count="2">
    <dataValidation imeMode="halfAlpha" allowBlank="1" showInputMessage="1" showErrorMessage="1" prompt="様式４の「既交付決定額」の額を入力してください。（第２期の支払いを受けていない場合は２／３の額（千円未満切り捨て））右の余白も参照してください。_x000a__x000a_" sqref="E22 E30 E28 E26 E24 E32 E34 E36" xr:uid="{3C8F984B-4003-4923-99D7-72A3FD0FCFD6}"/>
    <dataValidation type="date" operator="notEqual" allowBlank="1" showInputMessage="1" showErrorMessage="1" sqref="G2" xr:uid="{024A30FF-3E32-4FAA-B54C-9703A71189C6}">
      <formula1>92</formula1>
    </dataValidation>
  </dataValidations>
  <pageMargins left="0.78740157480314965" right="0.78740157480314965" top="0.55118110236220474" bottom="0.51181102362204722" header="0.51181102362204722" footer="0.51181102362204722"/>
  <pageSetup paperSize="9" scale="80" orientation="portrait" blackAndWhite="1"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0DD3-4B96-4EF1-8D84-152FBAE12C83}">
  <sheetPr>
    <tabColor rgb="FF7030A0"/>
  </sheetPr>
  <dimension ref="A1:Q57"/>
  <sheetViews>
    <sheetView showGridLines="0" view="pageBreakPreview" topLeftCell="A2" zoomScaleNormal="100" zoomScaleSheetLayoutView="100" workbookViewId="0">
      <selection activeCell="F7" sqref="F7:H9"/>
    </sheetView>
  </sheetViews>
  <sheetFormatPr defaultRowHeight="13"/>
  <cols>
    <col min="1" max="1" width="1.25" style="178" customWidth="1"/>
    <col min="2" max="2" width="17.25" style="178" customWidth="1"/>
    <col min="3" max="3" width="18.75" style="178" customWidth="1"/>
    <col min="4" max="4" width="3.33203125" style="178" customWidth="1"/>
    <col min="5" max="5" width="20.33203125" style="178" customWidth="1"/>
    <col min="6" max="6" width="3.33203125" style="178" customWidth="1"/>
    <col min="7" max="7" width="18.83203125" style="178" customWidth="1"/>
    <col min="8" max="8" width="3.33203125" style="178" customWidth="1"/>
    <col min="9" max="9" width="6.5" style="178" customWidth="1"/>
    <col min="10" max="11" width="4.75" style="178" customWidth="1"/>
    <col min="12" max="12" width="8" style="178" customWidth="1"/>
    <col min="13" max="13" width="10.25" style="178" customWidth="1"/>
    <col min="14" max="14" width="17.5" style="178" customWidth="1"/>
    <col min="15" max="15" width="5.83203125" style="178" customWidth="1"/>
    <col min="16" max="16" width="5.75" style="178" customWidth="1"/>
    <col min="17" max="17" width="5.58203125" style="178" customWidth="1"/>
    <col min="18" max="256" width="9" style="178"/>
    <col min="257" max="257" width="1.25" style="178" customWidth="1"/>
    <col min="258" max="258" width="17.25" style="178" customWidth="1"/>
    <col min="259" max="259" width="18.75" style="178" customWidth="1"/>
    <col min="260" max="260" width="3.33203125" style="178" customWidth="1"/>
    <col min="261" max="261" width="20.33203125" style="178" customWidth="1"/>
    <col min="262" max="262" width="3.33203125" style="178" customWidth="1"/>
    <col min="263" max="263" width="18.83203125" style="178" customWidth="1"/>
    <col min="264" max="264" width="3.33203125" style="178" customWidth="1"/>
    <col min="265" max="265" width="6.5" style="178" customWidth="1"/>
    <col min="266" max="267" width="4.75" style="178" customWidth="1"/>
    <col min="268" max="268" width="8" style="178" customWidth="1"/>
    <col min="269" max="269" width="10.25" style="178" customWidth="1"/>
    <col min="270" max="270" width="17.5" style="178" customWidth="1"/>
    <col min="271" max="271" width="5.83203125" style="178" customWidth="1"/>
    <col min="272" max="272" width="5.75" style="178" customWidth="1"/>
    <col min="273" max="273" width="5.58203125" style="178" customWidth="1"/>
    <col min="274" max="512" width="9" style="178"/>
    <col min="513" max="513" width="1.25" style="178" customWidth="1"/>
    <col min="514" max="514" width="17.25" style="178" customWidth="1"/>
    <col min="515" max="515" width="18.75" style="178" customWidth="1"/>
    <col min="516" max="516" width="3.33203125" style="178" customWidth="1"/>
    <col min="517" max="517" width="20.33203125" style="178" customWidth="1"/>
    <col min="518" max="518" width="3.33203125" style="178" customWidth="1"/>
    <col min="519" max="519" width="18.83203125" style="178" customWidth="1"/>
    <col min="520" max="520" width="3.33203125" style="178" customWidth="1"/>
    <col min="521" max="521" width="6.5" style="178" customWidth="1"/>
    <col min="522" max="523" width="4.75" style="178" customWidth="1"/>
    <col min="524" max="524" width="8" style="178" customWidth="1"/>
    <col min="525" max="525" width="10.25" style="178" customWidth="1"/>
    <col min="526" max="526" width="17.5" style="178" customWidth="1"/>
    <col min="527" max="527" width="5.83203125" style="178" customWidth="1"/>
    <col min="528" max="528" width="5.75" style="178" customWidth="1"/>
    <col min="529" max="529" width="5.58203125" style="178" customWidth="1"/>
    <col min="530" max="768" width="9" style="178"/>
    <col min="769" max="769" width="1.25" style="178" customWidth="1"/>
    <col min="770" max="770" width="17.25" style="178" customWidth="1"/>
    <col min="771" max="771" width="18.75" style="178" customWidth="1"/>
    <col min="772" max="772" width="3.33203125" style="178" customWidth="1"/>
    <col min="773" max="773" width="20.33203125" style="178" customWidth="1"/>
    <col min="774" max="774" width="3.33203125" style="178" customWidth="1"/>
    <col min="775" max="775" width="18.83203125" style="178" customWidth="1"/>
    <col min="776" max="776" width="3.33203125" style="178" customWidth="1"/>
    <col min="777" max="777" width="6.5" style="178" customWidth="1"/>
    <col min="778" max="779" width="4.75" style="178" customWidth="1"/>
    <col min="780" max="780" width="8" style="178" customWidth="1"/>
    <col min="781" max="781" width="10.25" style="178" customWidth="1"/>
    <col min="782" max="782" width="17.5" style="178" customWidth="1"/>
    <col min="783" max="783" width="5.83203125" style="178" customWidth="1"/>
    <col min="784" max="784" width="5.75" style="178" customWidth="1"/>
    <col min="785" max="785" width="5.58203125" style="178" customWidth="1"/>
    <col min="786" max="1024" width="9" style="178"/>
    <col min="1025" max="1025" width="1.25" style="178" customWidth="1"/>
    <col min="1026" max="1026" width="17.25" style="178" customWidth="1"/>
    <col min="1027" max="1027" width="18.75" style="178" customWidth="1"/>
    <col min="1028" max="1028" width="3.33203125" style="178" customWidth="1"/>
    <col min="1029" max="1029" width="20.33203125" style="178" customWidth="1"/>
    <col min="1030" max="1030" width="3.33203125" style="178" customWidth="1"/>
    <col min="1031" max="1031" width="18.83203125" style="178" customWidth="1"/>
    <col min="1032" max="1032" width="3.33203125" style="178" customWidth="1"/>
    <col min="1033" max="1033" width="6.5" style="178" customWidth="1"/>
    <col min="1034" max="1035" width="4.75" style="178" customWidth="1"/>
    <col min="1036" max="1036" width="8" style="178" customWidth="1"/>
    <col min="1037" max="1037" width="10.25" style="178" customWidth="1"/>
    <col min="1038" max="1038" width="17.5" style="178" customWidth="1"/>
    <col min="1039" max="1039" width="5.83203125" style="178" customWidth="1"/>
    <col min="1040" max="1040" width="5.75" style="178" customWidth="1"/>
    <col min="1041" max="1041" width="5.58203125" style="178" customWidth="1"/>
    <col min="1042" max="1280" width="9" style="178"/>
    <col min="1281" max="1281" width="1.25" style="178" customWidth="1"/>
    <col min="1282" max="1282" width="17.25" style="178" customWidth="1"/>
    <col min="1283" max="1283" width="18.75" style="178" customWidth="1"/>
    <col min="1284" max="1284" width="3.33203125" style="178" customWidth="1"/>
    <col min="1285" max="1285" width="20.33203125" style="178" customWidth="1"/>
    <col min="1286" max="1286" width="3.33203125" style="178" customWidth="1"/>
    <col min="1287" max="1287" width="18.83203125" style="178" customWidth="1"/>
    <col min="1288" max="1288" width="3.33203125" style="178" customWidth="1"/>
    <col min="1289" max="1289" width="6.5" style="178" customWidth="1"/>
    <col min="1290" max="1291" width="4.75" style="178" customWidth="1"/>
    <col min="1292" max="1292" width="8" style="178" customWidth="1"/>
    <col min="1293" max="1293" width="10.25" style="178" customWidth="1"/>
    <col min="1294" max="1294" width="17.5" style="178" customWidth="1"/>
    <col min="1295" max="1295" width="5.83203125" style="178" customWidth="1"/>
    <col min="1296" max="1296" width="5.75" style="178" customWidth="1"/>
    <col min="1297" max="1297" width="5.58203125" style="178" customWidth="1"/>
    <col min="1298" max="1536" width="9" style="178"/>
    <col min="1537" max="1537" width="1.25" style="178" customWidth="1"/>
    <col min="1538" max="1538" width="17.25" style="178" customWidth="1"/>
    <col min="1539" max="1539" width="18.75" style="178" customWidth="1"/>
    <col min="1540" max="1540" width="3.33203125" style="178" customWidth="1"/>
    <col min="1541" max="1541" width="20.33203125" style="178" customWidth="1"/>
    <col min="1542" max="1542" width="3.33203125" style="178" customWidth="1"/>
    <col min="1543" max="1543" width="18.83203125" style="178" customWidth="1"/>
    <col min="1544" max="1544" width="3.33203125" style="178" customWidth="1"/>
    <col min="1545" max="1545" width="6.5" style="178" customWidth="1"/>
    <col min="1546" max="1547" width="4.75" style="178" customWidth="1"/>
    <col min="1548" max="1548" width="8" style="178" customWidth="1"/>
    <col min="1549" max="1549" width="10.25" style="178" customWidth="1"/>
    <col min="1550" max="1550" width="17.5" style="178" customWidth="1"/>
    <col min="1551" max="1551" width="5.83203125" style="178" customWidth="1"/>
    <col min="1552" max="1552" width="5.75" style="178" customWidth="1"/>
    <col min="1553" max="1553" width="5.58203125" style="178" customWidth="1"/>
    <col min="1554" max="1792" width="9" style="178"/>
    <col min="1793" max="1793" width="1.25" style="178" customWidth="1"/>
    <col min="1794" max="1794" width="17.25" style="178" customWidth="1"/>
    <col min="1795" max="1795" width="18.75" style="178" customWidth="1"/>
    <col min="1796" max="1796" width="3.33203125" style="178" customWidth="1"/>
    <col min="1797" max="1797" width="20.33203125" style="178" customWidth="1"/>
    <col min="1798" max="1798" width="3.33203125" style="178" customWidth="1"/>
    <col min="1799" max="1799" width="18.83203125" style="178" customWidth="1"/>
    <col min="1800" max="1800" width="3.33203125" style="178" customWidth="1"/>
    <col min="1801" max="1801" width="6.5" style="178" customWidth="1"/>
    <col min="1802" max="1803" width="4.75" style="178" customWidth="1"/>
    <col min="1804" max="1804" width="8" style="178" customWidth="1"/>
    <col min="1805" max="1805" width="10.25" style="178" customWidth="1"/>
    <col min="1806" max="1806" width="17.5" style="178" customWidth="1"/>
    <col min="1807" max="1807" width="5.83203125" style="178" customWidth="1"/>
    <col min="1808" max="1808" width="5.75" style="178" customWidth="1"/>
    <col min="1809" max="1809" width="5.58203125" style="178" customWidth="1"/>
    <col min="1810" max="2048" width="9" style="178"/>
    <col min="2049" max="2049" width="1.25" style="178" customWidth="1"/>
    <col min="2050" max="2050" width="17.25" style="178" customWidth="1"/>
    <col min="2051" max="2051" width="18.75" style="178" customWidth="1"/>
    <col min="2052" max="2052" width="3.33203125" style="178" customWidth="1"/>
    <col min="2053" max="2053" width="20.33203125" style="178" customWidth="1"/>
    <col min="2054" max="2054" width="3.33203125" style="178" customWidth="1"/>
    <col min="2055" max="2055" width="18.83203125" style="178" customWidth="1"/>
    <col min="2056" max="2056" width="3.33203125" style="178" customWidth="1"/>
    <col min="2057" max="2057" width="6.5" style="178" customWidth="1"/>
    <col min="2058" max="2059" width="4.75" style="178" customWidth="1"/>
    <col min="2060" max="2060" width="8" style="178" customWidth="1"/>
    <col min="2061" max="2061" width="10.25" style="178" customWidth="1"/>
    <col min="2062" max="2062" width="17.5" style="178" customWidth="1"/>
    <col min="2063" max="2063" width="5.83203125" style="178" customWidth="1"/>
    <col min="2064" max="2064" width="5.75" style="178" customWidth="1"/>
    <col min="2065" max="2065" width="5.58203125" style="178" customWidth="1"/>
    <col min="2066" max="2304" width="9" style="178"/>
    <col min="2305" max="2305" width="1.25" style="178" customWidth="1"/>
    <col min="2306" max="2306" width="17.25" style="178" customWidth="1"/>
    <col min="2307" max="2307" width="18.75" style="178" customWidth="1"/>
    <col min="2308" max="2308" width="3.33203125" style="178" customWidth="1"/>
    <col min="2309" max="2309" width="20.33203125" style="178" customWidth="1"/>
    <col min="2310" max="2310" width="3.33203125" style="178" customWidth="1"/>
    <col min="2311" max="2311" width="18.83203125" style="178" customWidth="1"/>
    <col min="2312" max="2312" width="3.33203125" style="178" customWidth="1"/>
    <col min="2313" max="2313" width="6.5" style="178" customWidth="1"/>
    <col min="2314" max="2315" width="4.75" style="178" customWidth="1"/>
    <col min="2316" max="2316" width="8" style="178" customWidth="1"/>
    <col min="2317" max="2317" width="10.25" style="178" customWidth="1"/>
    <col min="2318" max="2318" width="17.5" style="178" customWidth="1"/>
    <col min="2319" max="2319" width="5.83203125" style="178" customWidth="1"/>
    <col min="2320" max="2320" width="5.75" style="178" customWidth="1"/>
    <col min="2321" max="2321" width="5.58203125" style="178" customWidth="1"/>
    <col min="2322" max="2560" width="9" style="178"/>
    <col min="2561" max="2561" width="1.25" style="178" customWidth="1"/>
    <col min="2562" max="2562" width="17.25" style="178" customWidth="1"/>
    <col min="2563" max="2563" width="18.75" style="178" customWidth="1"/>
    <col min="2564" max="2564" width="3.33203125" style="178" customWidth="1"/>
    <col min="2565" max="2565" width="20.33203125" style="178" customWidth="1"/>
    <col min="2566" max="2566" width="3.33203125" style="178" customWidth="1"/>
    <col min="2567" max="2567" width="18.83203125" style="178" customWidth="1"/>
    <col min="2568" max="2568" width="3.33203125" style="178" customWidth="1"/>
    <col min="2569" max="2569" width="6.5" style="178" customWidth="1"/>
    <col min="2570" max="2571" width="4.75" style="178" customWidth="1"/>
    <col min="2572" max="2572" width="8" style="178" customWidth="1"/>
    <col min="2573" max="2573" width="10.25" style="178" customWidth="1"/>
    <col min="2574" max="2574" width="17.5" style="178" customWidth="1"/>
    <col min="2575" max="2575" width="5.83203125" style="178" customWidth="1"/>
    <col min="2576" max="2576" width="5.75" style="178" customWidth="1"/>
    <col min="2577" max="2577" width="5.58203125" style="178" customWidth="1"/>
    <col min="2578" max="2816" width="9" style="178"/>
    <col min="2817" max="2817" width="1.25" style="178" customWidth="1"/>
    <col min="2818" max="2818" width="17.25" style="178" customWidth="1"/>
    <col min="2819" max="2819" width="18.75" style="178" customWidth="1"/>
    <col min="2820" max="2820" width="3.33203125" style="178" customWidth="1"/>
    <col min="2821" max="2821" width="20.33203125" style="178" customWidth="1"/>
    <col min="2822" max="2822" width="3.33203125" style="178" customWidth="1"/>
    <col min="2823" max="2823" width="18.83203125" style="178" customWidth="1"/>
    <col min="2824" max="2824" width="3.33203125" style="178" customWidth="1"/>
    <col min="2825" max="2825" width="6.5" style="178" customWidth="1"/>
    <col min="2826" max="2827" width="4.75" style="178" customWidth="1"/>
    <col min="2828" max="2828" width="8" style="178" customWidth="1"/>
    <col min="2829" max="2829" width="10.25" style="178" customWidth="1"/>
    <col min="2830" max="2830" width="17.5" style="178" customWidth="1"/>
    <col min="2831" max="2831" width="5.83203125" style="178" customWidth="1"/>
    <col min="2832" max="2832" width="5.75" style="178" customWidth="1"/>
    <col min="2833" max="2833" width="5.58203125" style="178" customWidth="1"/>
    <col min="2834" max="3072" width="9" style="178"/>
    <col min="3073" max="3073" width="1.25" style="178" customWidth="1"/>
    <col min="3074" max="3074" width="17.25" style="178" customWidth="1"/>
    <col min="3075" max="3075" width="18.75" style="178" customWidth="1"/>
    <col min="3076" max="3076" width="3.33203125" style="178" customWidth="1"/>
    <col min="3077" max="3077" width="20.33203125" style="178" customWidth="1"/>
    <col min="3078" max="3078" width="3.33203125" style="178" customWidth="1"/>
    <col min="3079" max="3079" width="18.83203125" style="178" customWidth="1"/>
    <col min="3080" max="3080" width="3.33203125" style="178" customWidth="1"/>
    <col min="3081" max="3081" width="6.5" style="178" customWidth="1"/>
    <col min="3082" max="3083" width="4.75" style="178" customWidth="1"/>
    <col min="3084" max="3084" width="8" style="178" customWidth="1"/>
    <col min="3085" max="3085" width="10.25" style="178" customWidth="1"/>
    <col min="3086" max="3086" width="17.5" style="178" customWidth="1"/>
    <col min="3087" max="3087" width="5.83203125" style="178" customWidth="1"/>
    <col min="3088" max="3088" width="5.75" style="178" customWidth="1"/>
    <col min="3089" max="3089" width="5.58203125" style="178" customWidth="1"/>
    <col min="3090" max="3328" width="9" style="178"/>
    <col min="3329" max="3329" width="1.25" style="178" customWidth="1"/>
    <col min="3330" max="3330" width="17.25" style="178" customWidth="1"/>
    <col min="3331" max="3331" width="18.75" style="178" customWidth="1"/>
    <col min="3332" max="3332" width="3.33203125" style="178" customWidth="1"/>
    <col min="3333" max="3333" width="20.33203125" style="178" customWidth="1"/>
    <col min="3334" max="3334" width="3.33203125" style="178" customWidth="1"/>
    <col min="3335" max="3335" width="18.83203125" style="178" customWidth="1"/>
    <col min="3336" max="3336" width="3.33203125" style="178" customWidth="1"/>
    <col min="3337" max="3337" width="6.5" style="178" customWidth="1"/>
    <col min="3338" max="3339" width="4.75" style="178" customWidth="1"/>
    <col min="3340" max="3340" width="8" style="178" customWidth="1"/>
    <col min="3341" max="3341" width="10.25" style="178" customWidth="1"/>
    <col min="3342" max="3342" width="17.5" style="178" customWidth="1"/>
    <col min="3343" max="3343" width="5.83203125" style="178" customWidth="1"/>
    <col min="3344" max="3344" width="5.75" style="178" customWidth="1"/>
    <col min="3345" max="3345" width="5.58203125" style="178" customWidth="1"/>
    <col min="3346" max="3584" width="9" style="178"/>
    <col min="3585" max="3585" width="1.25" style="178" customWidth="1"/>
    <col min="3586" max="3586" width="17.25" style="178" customWidth="1"/>
    <col min="3587" max="3587" width="18.75" style="178" customWidth="1"/>
    <col min="3588" max="3588" width="3.33203125" style="178" customWidth="1"/>
    <col min="3589" max="3589" width="20.33203125" style="178" customWidth="1"/>
    <col min="3590" max="3590" width="3.33203125" style="178" customWidth="1"/>
    <col min="3591" max="3591" width="18.83203125" style="178" customWidth="1"/>
    <col min="3592" max="3592" width="3.33203125" style="178" customWidth="1"/>
    <col min="3593" max="3593" width="6.5" style="178" customWidth="1"/>
    <col min="3594" max="3595" width="4.75" style="178" customWidth="1"/>
    <col min="3596" max="3596" width="8" style="178" customWidth="1"/>
    <col min="3597" max="3597" width="10.25" style="178" customWidth="1"/>
    <col min="3598" max="3598" width="17.5" style="178" customWidth="1"/>
    <col min="3599" max="3599" width="5.83203125" style="178" customWidth="1"/>
    <col min="3600" max="3600" width="5.75" style="178" customWidth="1"/>
    <col min="3601" max="3601" width="5.58203125" style="178" customWidth="1"/>
    <col min="3602" max="3840" width="9" style="178"/>
    <col min="3841" max="3841" width="1.25" style="178" customWidth="1"/>
    <col min="3842" max="3842" width="17.25" style="178" customWidth="1"/>
    <col min="3843" max="3843" width="18.75" style="178" customWidth="1"/>
    <col min="3844" max="3844" width="3.33203125" style="178" customWidth="1"/>
    <col min="3845" max="3845" width="20.33203125" style="178" customWidth="1"/>
    <col min="3846" max="3846" width="3.33203125" style="178" customWidth="1"/>
    <col min="3847" max="3847" width="18.83203125" style="178" customWidth="1"/>
    <col min="3848" max="3848" width="3.33203125" style="178" customWidth="1"/>
    <col min="3849" max="3849" width="6.5" style="178" customWidth="1"/>
    <col min="3850" max="3851" width="4.75" style="178" customWidth="1"/>
    <col min="3852" max="3852" width="8" style="178" customWidth="1"/>
    <col min="3853" max="3853" width="10.25" style="178" customWidth="1"/>
    <col min="3854" max="3854" width="17.5" style="178" customWidth="1"/>
    <col min="3855" max="3855" width="5.83203125" style="178" customWidth="1"/>
    <col min="3856" max="3856" width="5.75" style="178" customWidth="1"/>
    <col min="3857" max="3857" width="5.58203125" style="178" customWidth="1"/>
    <col min="3858" max="4096" width="9" style="178"/>
    <col min="4097" max="4097" width="1.25" style="178" customWidth="1"/>
    <col min="4098" max="4098" width="17.25" style="178" customWidth="1"/>
    <col min="4099" max="4099" width="18.75" style="178" customWidth="1"/>
    <col min="4100" max="4100" width="3.33203125" style="178" customWidth="1"/>
    <col min="4101" max="4101" width="20.33203125" style="178" customWidth="1"/>
    <col min="4102" max="4102" width="3.33203125" style="178" customWidth="1"/>
    <col min="4103" max="4103" width="18.83203125" style="178" customWidth="1"/>
    <col min="4104" max="4104" width="3.33203125" style="178" customWidth="1"/>
    <col min="4105" max="4105" width="6.5" style="178" customWidth="1"/>
    <col min="4106" max="4107" width="4.75" style="178" customWidth="1"/>
    <col min="4108" max="4108" width="8" style="178" customWidth="1"/>
    <col min="4109" max="4109" width="10.25" style="178" customWidth="1"/>
    <col min="4110" max="4110" width="17.5" style="178" customWidth="1"/>
    <col min="4111" max="4111" width="5.83203125" style="178" customWidth="1"/>
    <col min="4112" max="4112" width="5.75" style="178" customWidth="1"/>
    <col min="4113" max="4113" width="5.58203125" style="178" customWidth="1"/>
    <col min="4114" max="4352" width="9" style="178"/>
    <col min="4353" max="4353" width="1.25" style="178" customWidth="1"/>
    <col min="4354" max="4354" width="17.25" style="178" customWidth="1"/>
    <col min="4355" max="4355" width="18.75" style="178" customWidth="1"/>
    <col min="4356" max="4356" width="3.33203125" style="178" customWidth="1"/>
    <col min="4357" max="4357" width="20.33203125" style="178" customWidth="1"/>
    <col min="4358" max="4358" width="3.33203125" style="178" customWidth="1"/>
    <col min="4359" max="4359" width="18.83203125" style="178" customWidth="1"/>
    <col min="4360" max="4360" width="3.33203125" style="178" customWidth="1"/>
    <col min="4361" max="4361" width="6.5" style="178" customWidth="1"/>
    <col min="4362" max="4363" width="4.75" style="178" customWidth="1"/>
    <col min="4364" max="4364" width="8" style="178" customWidth="1"/>
    <col min="4365" max="4365" width="10.25" style="178" customWidth="1"/>
    <col min="4366" max="4366" width="17.5" style="178" customWidth="1"/>
    <col min="4367" max="4367" width="5.83203125" style="178" customWidth="1"/>
    <col min="4368" max="4368" width="5.75" style="178" customWidth="1"/>
    <col min="4369" max="4369" width="5.58203125" style="178" customWidth="1"/>
    <col min="4370" max="4608" width="9" style="178"/>
    <col min="4609" max="4609" width="1.25" style="178" customWidth="1"/>
    <col min="4610" max="4610" width="17.25" style="178" customWidth="1"/>
    <col min="4611" max="4611" width="18.75" style="178" customWidth="1"/>
    <col min="4612" max="4612" width="3.33203125" style="178" customWidth="1"/>
    <col min="4613" max="4613" width="20.33203125" style="178" customWidth="1"/>
    <col min="4614" max="4614" width="3.33203125" style="178" customWidth="1"/>
    <col min="4615" max="4615" width="18.83203125" style="178" customWidth="1"/>
    <col min="4616" max="4616" width="3.33203125" style="178" customWidth="1"/>
    <col min="4617" max="4617" width="6.5" style="178" customWidth="1"/>
    <col min="4618" max="4619" width="4.75" style="178" customWidth="1"/>
    <col min="4620" max="4620" width="8" style="178" customWidth="1"/>
    <col min="4621" max="4621" width="10.25" style="178" customWidth="1"/>
    <col min="4622" max="4622" width="17.5" style="178" customWidth="1"/>
    <col min="4623" max="4623" width="5.83203125" style="178" customWidth="1"/>
    <col min="4624" max="4624" width="5.75" style="178" customWidth="1"/>
    <col min="4625" max="4625" width="5.58203125" style="178" customWidth="1"/>
    <col min="4626" max="4864" width="9" style="178"/>
    <col min="4865" max="4865" width="1.25" style="178" customWidth="1"/>
    <col min="4866" max="4866" width="17.25" style="178" customWidth="1"/>
    <col min="4867" max="4867" width="18.75" style="178" customWidth="1"/>
    <col min="4868" max="4868" width="3.33203125" style="178" customWidth="1"/>
    <col min="4869" max="4869" width="20.33203125" style="178" customWidth="1"/>
    <col min="4870" max="4870" width="3.33203125" style="178" customWidth="1"/>
    <col min="4871" max="4871" width="18.83203125" style="178" customWidth="1"/>
    <col min="4872" max="4872" width="3.33203125" style="178" customWidth="1"/>
    <col min="4873" max="4873" width="6.5" style="178" customWidth="1"/>
    <col min="4874" max="4875" width="4.75" style="178" customWidth="1"/>
    <col min="4876" max="4876" width="8" style="178" customWidth="1"/>
    <col min="4877" max="4877" width="10.25" style="178" customWidth="1"/>
    <col min="4878" max="4878" width="17.5" style="178" customWidth="1"/>
    <col min="4879" max="4879" width="5.83203125" style="178" customWidth="1"/>
    <col min="4880" max="4880" width="5.75" style="178" customWidth="1"/>
    <col min="4881" max="4881" width="5.58203125" style="178" customWidth="1"/>
    <col min="4882" max="5120" width="9" style="178"/>
    <col min="5121" max="5121" width="1.25" style="178" customWidth="1"/>
    <col min="5122" max="5122" width="17.25" style="178" customWidth="1"/>
    <col min="5123" max="5123" width="18.75" style="178" customWidth="1"/>
    <col min="5124" max="5124" width="3.33203125" style="178" customWidth="1"/>
    <col min="5125" max="5125" width="20.33203125" style="178" customWidth="1"/>
    <col min="5126" max="5126" width="3.33203125" style="178" customWidth="1"/>
    <col min="5127" max="5127" width="18.83203125" style="178" customWidth="1"/>
    <col min="5128" max="5128" width="3.33203125" style="178" customWidth="1"/>
    <col min="5129" max="5129" width="6.5" style="178" customWidth="1"/>
    <col min="5130" max="5131" width="4.75" style="178" customWidth="1"/>
    <col min="5132" max="5132" width="8" style="178" customWidth="1"/>
    <col min="5133" max="5133" width="10.25" style="178" customWidth="1"/>
    <col min="5134" max="5134" width="17.5" style="178" customWidth="1"/>
    <col min="5135" max="5135" width="5.83203125" style="178" customWidth="1"/>
    <col min="5136" max="5136" width="5.75" style="178" customWidth="1"/>
    <col min="5137" max="5137" width="5.58203125" style="178" customWidth="1"/>
    <col min="5138" max="5376" width="9" style="178"/>
    <col min="5377" max="5377" width="1.25" style="178" customWidth="1"/>
    <col min="5378" max="5378" width="17.25" style="178" customWidth="1"/>
    <col min="5379" max="5379" width="18.75" style="178" customWidth="1"/>
    <col min="5380" max="5380" width="3.33203125" style="178" customWidth="1"/>
    <col min="5381" max="5381" width="20.33203125" style="178" customWidth="1"/>
    <col min="5382" max="5382" width="3.33203125" style="178" customWidth="1"/>
    <col min="5383" max="5383" width="18.83203125" style="178" customWidth="1"/>
    <col min="5384" max="5384" width="3.33203125" style="178" customWidth="1"/>
    <col min="5385" max="5385" width="6.5" style="178" customWidth="1"/>
    <col min="5386" max="5387" width="4.75" style="178" customWidth="1"/>
    <col min="5388" max="5388" width="8" style="178" customWidth="1"/>
    <col min="5389" max="5389" width="10.25" style="178" customWidth="1"/>
    <col min="5390" max="5390" width="17.5" style="178" customWidth="1"/>
    <col min="5391" max="5391" width="5.83203125" style="178" customWidth="1"/>
    <col min="5392" max="5392" width="5.75" style="178" customWidth="1"/>
    <col min="5393" max="5393" width="5.58203125" style="178" customWidth="1"/>
    <col min="5394" max="5632" width="9" style="178"/>
    <col min="5633" max="5633" width="1.25" style="178" customWidth="1"/>
    <col min="5634" max="5634" width="17.25" style="178" customWidth="1"/>
    <col min="5635" max="5635" width="18.75" style="178" customWidth="1"/>
    <col min="5636" max="5636" width="3.33203125" style="178" customWidth="1"/>
    <col min="5637" max="5637" width="20.33203125" style="178" customWidth="1"/>
    <col min="5638" max="5638" width="3.33203125" style="178" customWidth="1"/>
    <col min="5639" max="5639" width="18.83203125" style="178" customWidth="1"/>
    <col min="5640" max="5640" width="3.33203125" style="178" customWidth="1"/>
    <col min="5641" max="5641" width="6.5" style="178" customWidth="1"/>
    <col min="5642" max="5643" width="4.75" style="178" customWidth="1"/>
    <col min="5644" max="5644" width="8" style="178" customWidth="1"/>
    <col min="5645" max="5645" width="10.25" style="178" customWidth="1"/>
    <col min="5646" max="5646" width="17.5" style="178" customWidth="1"/>
    <col min="5647" max="5647" width="5.83203125" style="178" customWidth="1"/>
    <col min="5648" max="5648" width="5.75" style="178" customWidth="1"/>
    <col min="5649" max="5649" width="5.58203125" style="178" customWidth="1"/>
    <col min="5650" max="5888" width="9" style="178"/>
    <col min="5889" max="5889" width="1.25" style="178" customWidth="1"/>
    <col min="5890" max="5890" width="17.25" style="178" customWidth="1"/>
    <col min="5891" max="5891" width="18.75" style="178" customWidth="1"/>
    <col min="5892" max="5892" width="3.33203125" style="178" customWidth="1"/>
    <col min="5893" max="5893" width="20.33203125" style="178" customWidth="1"/>
    <col min="5894" max="5894" width="3.33203125" style="178" customWidth="1"/>
    <col min="5895" max="5895" width="18.83203125" style="178" customWidth="1"/>
    <col min="5896" max="5896" width="3.33203125" style="178" customWidth="1"/>
    <col min="5897" max="5897" width="6.5" style="178" customWidth="1"/>
    <col min="5898" max="5899" width="4.75" style="178" customWidth="1"/>
    <col min="5900" max="5900" width="8" style="178" customWidth="1"/>
    <col min="5901" max="5901" width="10.25" style="178" customWidth="1"/>
    <col min="5902" max="5902" width="17.5" style="178" customWidth="1"/>
    <col min="5903" max="5903" width="5.83203125" style="178" customWidth="1"/>
    <col min="5904" max="5904" width="5.75" style="178" customWidth="1"/>
    <col min="5905" max="5905" width="5.58203125" style="178" customWidth="1"/>
    <col min="5906" max="6144" width="9" style="178"/>
    <col min="6145" max="6145" width="1.25" style="178" customWidth="1"/>
    <col min="6146" max="6146" width="17.25" style="178" customWidth="1"/>
    <col min="6147" max="6147" width="18.75" style="178" customWidth="1"/>
    <col min="6148" max="6148" width="3.33203125" style="178" customWidth="1"/>
    <col min="6149" max="6149" width="20.33203125" style="178" customWidth="1"/>
    <col min="6150" max="6150" width="3.33203125" style="178" customWidth="1"/>
    <col min="6151" max="6151" width="18.83203125" style="178" customWidth="1"/>
    <col min="6152" max="6152" width="3.33203125" style="178" customWidth="1"/>
    <col min="6153" max="6153" width="6.5" style="178" customWidth="1"/>
    <col min="6154" max="6155" width="4.75" style="178" customWidth="1"/>
    <col min="6156" max="6156" width="8" style="178" customWidth="1"/>
    <col min="6157" max="6157" width="10.25" style="178" customWidth="1"/>
    <col min="6158" max="6158" width="17.5" style="178" customWidth="1"/>
    <col min="6159" max="6159" width="5.83203125" style="178" customWidth="1"/>
    <col min="6160" max="6160" width="5.75" style="178" customWidth="1"/>
    <col min="6161" max="6161" width="5.58203125" style="178" customWidth="1"/>
    <col min="6162" max="6400" width="9" style="178"/>
    <col min="6401" max="6401" width="1.25" style="178" customWidth="1"/>
    <col min="6402" max="6402" width="17.25" style="178" customWidth="1"/>
    <col min="6403" max="6403" width="18.75" style="178" customWidth="1"/>
    <col min="6404" max="6404" width="3.33203125" style="178" customWidth="1"/>
    <col min="6405" max="6405" width="20.33203125" style="178" customWidth="1"/>
    <col min="6406" max="6406" width="3.33203125" style="178" customWidth="1"/>
    <col min="6407" max="6407" width="18.83203125" style="178" customWidth="1"/>
    <col min="6408" max="6408" width="3.33203125" style="178" customWidth="1"/>
    <col min="6409" max="6409" width="6.5" style="178" customWidth="1"/>
    <col min="6410" max="6411" width="4.75" style="178" customWidth="1"/>
    <col min="6412" max="6412" width="8" style="178" customWidth="1"/>
    <col min="6413" max="6413" width="10.25" style="178" customWidth="1"/>
    <col min="6414" max="6414" width="17.5" style="178" customWidth="1"/>
    <col min="6415" max="6415" width="5.83203125" style="178" customWidth="1"/>
    <col min="6416" max="6416" width="5.75" style="178" customWidth="1"/>
    <col min="6417" max="6417" width="5.58203125" style="178" customWidth="1"/>
    <col min="6418" max="6656" width="9" style="178"/>
    <col min="6657" max="6657" width="1.25" style="178" customWidth="1"/>
    <col min="6658" max="6658" width="17.25" style="178" customWidth="1"/>
    <col min="6659" max="6659" width="18.75" style="178" customWidth="1"/>
    <col min="6660" max="6660" width="3.33203125" style="178" customWidth="1"/>
    <col min="6661" max="6661" width="20.33203125" style="178" customWidth="1"/>
    <col min="6662" max="6662" width="3.33203125" style="178" customWidth="1"/>
    <col min="6663" max="6663" width="18.83203125" style="178" customWidth="1"/>
    <col min="6664" max="6664" width="3.33203125" style="178" customWidth="1"/>
    <col min="6665" max="6665" width="6.5" style="178" customWidth="1"/>
    <col min="6666" max="6667" width="4.75" style="178" customWidth="1"/>
    <col min="6668" max="6668" width="8" style="178" customWidth="1"/>
    <col min="6669" max="6669" width="10.25" style="178" customWidth="1"/>
    <col min="6670" max="6670" width="17.5" style="178" customWidth="1"/>
    <col min="6671" max="6671" width="5.83203125" style="178" customWidth="1"/>
    <col min="6672" max="6672" width="5.75" style="178" customWidth="1"/>
    <col min="6673" max="6673" width="5.58203125" style="178" customWidth="1"/>
    <col min="6674" max="6912" width="9" style="178"/>
    <col min="6913" max="6913" width="1.25" style="178" customWidth="1"/>
    <col min="6914" max="6914" width="17.25" style="178" customWidth="1"/>
    <col min="6915" max="6915" width="18.75" style="178" customWidth="1"/>
    <col min="6916" max="6916" width="3.33203125" style="178" customWidth="1"/>
    <col min="6917" max="6917" width="20.33203125" style="178" customWidth="1"/>
    <col min="6918" max="6918" width="3.33203125" style="178" customWidth="1"/>
    <col min="6919" max="6919" width="18.83203125" style="178" customWidth="1"/>
    <col min="6920" max="6920" width="3.33203125" style="178" customWidth="1"/>
    <col min="6921" max="6921" width="6.5" style="178" customWidth="1"/>
    <col min="6922" max="6923" width="4.75" style="178" customWidth="1"/>
    <col min="6924" max="6924" width="8" style="178" customWidth="1"/>
    <col min="6925" max="6925" width="10.25" style="178" customWidth="1"/>
    <col min="6926" max="6926" width="17.5" style="178" customWidth="1"/>
    <col min="6927" max="6927" width="5.83203125" style="178" customWidth="1"/>
    <col min="6928" max="6928" width="5.75" style="178" customWidth="1"/>
    <col min="6929" max="6929" width="5.58203125" style="178" customWidth="1"/>
    <col min="6930" max="7168" width="9" style="178"/>
    <col min="7169" max="7169" width="1.25" style="178" customWidth="1"/>
    <col min="7170" max="7170" width="17.25" style="178" customWidth="1"/>
    <col min="7171" max="7171" width="18.75" style="178" customWidth="1"/>
    <col min="7172" max="7172" width="3.33203125" style="178" customWidth="1"/>
    <col min="7173" max="7173" width="20.33203125" style="178" customWidth="1"/>
    <col min="7174" max="7174" width="3.33203125" style="178" customWidth="1"/>
    <col min="7175" max="7175" width="18.83203125" style="178" customWidth="1"/>
    <col min="7176" max="7176" width="3.33203125" style="178" customWidth="1"/>
    <col min="7177" max="7177" width="6.5" style="178" customWidth="1"/>
    <col min="7178" max="7179" width="4.75" style="178" customWidth="1"/>
    <col min="7180" max="7180" width="8" style="178" customWidth="1"/>
    <col min="7181" max="7181" width="10.25" style="178" customWidth="1"/>
    <col min="7182" max="7182" width="17.5" style="178" customWidth="1"/>
    <col min="7183" max="7183" width="5.83203125" style="178" customWidth="1"/>
    <col min="7184" max="7184" width="5.75" style="178" customWidth="1"/>
    <col min="7185" max="7185" width="5.58203125" style="178" customWidth="1"/>
    <col min="7186" max="7424" width="9" style="178"/>
    <col min="7425" max="7425" width="1.25" style="178" customWidth="1"/>
    <col min="7426" max="7426" width="17.25" style="178" customWidth="1"/>
    <col min="7427" max="7427" width="18.75" style="178" customWidth="1"/>
    <col min="7428" max="7428" width="3.33203125" style="178" customWidth="1"/>
    <col min="7429" max="7429" width="20.33203125" style="178" customWidth="1"/>
    <col min="7430" max="7430" width="3.33203125" style="178" customWidth="1"/>
    <col min="7431" max="7431" width="18.83203125" style="178" customWidth="1"/>
    <col min="7432" max="7432" width="3.33203125" style="178" customWidth="1"/>
    <col min="7433" max="7433" width="6.5" style="178" customWidth="1"/>
    <col min="7434" max="7435" width="4.75" style="178" customWidth="1"/>
    <col min="7436" max="7436" width="8" style="178" customWidth="1"/>
    <col min="7437" max="7437" width="10.25" style="178" customWidth="1"/>
    <col min="7438" max="7438" width="17.5" style="178" customWidth="1"/>
    <col min="7439" max="7439" width="5.83203125" style="178" customWidth="1"/>
    <col min="7440" max="7440" width="5.75" style="178" customWidth="1"/>
    <col min="7441" max="7441" width="5.58203125" style="178" customWidth="1"/>
    <col min="7442" max="7680" width="9" style="178"/>
    <col min="7681" max="7681" width="1.25" style="178" customWidth="1"/>
    <col min="7682" max="7682" width="17.25" style="178" customWidth="1"/>
    <col min="7683" max="7683" width="18.75" style="178" customWidth="1"/>
    <col min="7684" max="7684" width="3.33203125" style="178" customWidth="1"/>
    <col min="7685" max="7685" width="20.33203125" style="178" customWidth="1"/>
    <col min="7686" max="7686" width="3.33203125" style="178" customWidth="1"/>
    <col min="7687" max="7687" width="18.83203125" style="178" customWidth="1"/>
    <col min="7688" max="7688" width="3.33203125" style="178" customWidth="1"/>
    <col min="7689" max="7689" width="6.5" style="178" customWidth="1"/>
    <col min="7690" max="7691" width="4.75" style="178" customWidth="1"/>
    <col min="7692" max="7692" width="8" style="178" customWidth="1"/>
    <col min="7693" max="7693" width="10.25" style="178" customWidth="1"/>
    <col min="7694" max="7694" width="17.5" style="178" customWidth="1"/>
    <col min="7695" max="7695" width="5.83203125" style="178" customWidth="1"/>
    <col min="7696" max="7696" width="5.75" style="178" customWidth="1"/>
    <col min="7697" max="7697" width="5.58203125" style="178" customWidth="1"/>
    <col min="7698" max="7936" width="9" style="178"/>
    <col min="7937" max="7937" width="1.25" style="178" customWidth="1"/>
    <col min="7938" max="7938" width="17.25" style="178" customWidth="1"/>
    <col min="7939" max="7939" width="18.75" style="178" customWidth="1"/>
    <col min="7940" max="7940" width="3.33203125" style="178" customWidth="1"/>
    <col min="7941" max="7941" width="20.33203125" style="178" customWidth="1"/>
    <col min="7942" max="7942" width="3.33203125" style="178" customWidth="1"/>
    <col min="7943" max="7943" width="18.83203125" style="178" customWidth="1"/>
    <col min="7944" max="7944" width="3.33203125" style="178" customWidth="1"/>
    <col min="7945" max="7945" width="6.5" style="178" customWidth="1"/>
    <col min="7946" max="7947" width="4.75" style="178" customWidth="1"/>
    <col min="7948" max="7948" width="8" style="178" customWidth="1"/>
    <col min="7949" max="7949" width="10.25" style="178" customWidth="1"/>
    <col min="7950" max="7950" width="17.5" style="178" customWidth="1"/>
    <col min="7951" max="7951" width="5.83203125" style="178" customWidth="1"/>
    <col min="7952" max="7952" width="5.75" style="178" customWidth="1"/>
    <col min="7953" max="7953" width="5.58203125" style="178" customWidth="1"/>
    <col min="7954" max="8192" width="9" style="178"/>
    <col min="8193" max="8193" width="1.25" style="178" customWidth="1"/>
    <col min="8194" max="8194" width="17.25" style="178" customWidth="1"/>
    <col min="8195" max="8195" width="18.75" style="178" customWidth="1"/>
    <col min="8196" max="8196" width="3.33203125" style="178" customWidth="1"/>
    <col min="8197" max="8197" width="20.33203125" style="178" customWidth="1"/>
    <col min="8198" max="8198" width="3.33203125" style="178" customWidth="1"/>
    <col min="8199" max="8199" width="18.83203125" style="178" customWidth="1"/>
    <col min="8200" max="8200" width="3.33203125" style="178" customWidth="1"/>
    <col min="8201" max="8201" width="6.5" style="178" customWidth="1"/>
    <col min="8202" max="8203" width="4.75" style="178" customWidth="1"/>
    <col min="8204" max="8204" width="8" style="178" customWidth="1"/>
    <col min="8205" max="8205" width="10.25" style="178" customWidth="1"/>
    <col min="8206" max="8206" width="17.5" style="178" customWidth="1"/>
    <col min="8207" max="8207" width="5.83203125" style="178" customWidth="1"/>
    <col min="8208" max="8208" width="5.75" style="178" customWidth="1"/>
    <col min="8209" max="8209" width="5.58203125" style="178" customWidth="1"/>
    <col min="8210" max="8448" width="9" style="178"/>
    <col min="8449" max="8449" width="1.25" style="178" customWidth="1"/>
    <col min="8450" max="8450" width="17.25" style="178" customWidth="1"/>
    <col min="8451" max="8451" width="18.75" style="178" customWidth="1"/>
    <col min="8452" max="8452" width="3.33203125" style="178" customWidth="1"/>
    <col min="8453" max="8453" width="20.33203125" style="178" customWidth="1"/>
    <col min="8454" max="8454" width="3.33203125" style="178" customWidth="1"/>
    <col min="8455" max="8455" width="18.83203125" style="178" customWidth="1"/>
    <col min="8456" max="8456" width="3.33203125" style="178" customWidth="1"/>
    <col min="8457" max="8457" width="6.5" style="178" customWidth="1"/>
    <col min="8458" max="8459" width="4.75" style="178" customWidth="1"/>
    <col min="8460" max="8460" width="8" style="178" customWidth="1"/>
    <col min="8461" max="8461" width="10.25" style="178" customWidth="1"/>
    <col min="8462" max="8462" width="17.5" style="178" customWidth="1"/>
    <col min="8463" max="8463" width="5.83203125" style="178" customWidth="1"/>
    <col min="8464" max="8464" width="5.75" style="178" customWidth="1"/>
    <col min="8465" max="8465" width="5.58203125" style="178" customWidth="1"/>
    <col min="8466" max="8704" width="9" style="178"/>
    <col min="8705" max="8705" width="1.25" style="178" customWidth="1"/>
    <col min="8706" max="8706" width="17.25" style="178" customWidth="1"/>
    <col min="8707" max="8707" width="18.75" style="178" customWidth="1"/>
    <col min="8708" max="8708" width="3.33203125" style="178" customWidth="1"/>
    <col min="8709" max="8709" width="20.33203125" style="178" customWidth="1"/>
    <col min="8710" max="8710" width="3.33203125" style="178" customWidth="1"/>
    <col min="8711" max="8711" width="18.83203125" style="178" customWidth="1"/>
    <col min="8712" max="8712" width="3.33203125" style="178" customWidth="1"/>
    <col min="8713" max="8713" width="6.5" style="178" customWidth="1"/>
    <col min="8714" max="8715" width="4.75" style="178" customWidth="1"/>
    <col min="8716" max="8716" width="8" style="178" customWidth="1"/>
    <col min="8717" max="8717" width="10.25" style="178" customWidth="1"/>
    <col min="8718" max="8718" width="17.5" style="178" customWidth="1"/>
    <col min="8719" max="8719" width="5.83203125" style="178" customWidth="1"/>
    <col min="8720" max="8720" width="5.75" style="178" customWidth="1"/>
    <col min="8721" max="8721" width="5.58203125" style="178" customWidth="1"/>
    <col min="8722" max="8960" width="9" style="178"/>
    <col min="8961" max="8961" width="1.25" style="178" customWidth="1"/>
    <col min="8962" max="8962" width="17.25" style="178" customWidth="1"/>
    <col min="8963" max="8963" width="18.75" style="178" customWidth="1"/>
    <col min="8964" max="8964" width="3.33203125" style="178" customWidth="1"/>
    <col min="8965" max="8965" width="20.33203125" style="178" customWidth="1"/>
    <col min="8966" max="8966" width="3.33203125" style="178" customWidth="1"/>
    <col min="8967" max="8967" width="18.83203125" style="178" customWidth="1"/>
    <col min="8968" max="8968" width="3.33203125" style="178" customWidth="1"/>
    <col min="8969" max="8969" width="6.5" style="178" customWidth="1"/>
    <col min="8970" max="8971" width="4.75" style="178" customWidth="1"/>
    <col min="8972" max="8972" width="8" style="178" customWidth="1"/>
    <col min="8973" max="8973" width="10.25" style="178" customWidth="1"/>
    <col min="8974" max="8974" width="17.5" style="178" customWidth="1"/>
    <col min="8975" max="8975" width="5.83203125" style="178" customWidth="1"/>
    <col min="8976" max="8976" width="5.75" style="178" customWidth="1"/>
    <col min="8977" max="8977" width="5.58203125" style="178" customWidth="1"/>
    <col min="8978" max="9216" width="9" style="178"/>
    <col min="9217" max="9217" width="1.25" style="178" customWidth="1"/>
    <col min="9218" max="9218" width="17.25" style="178" customWidth="1"/>
    <col min="9219" max="9219" width="18.75" style="178" customWidth="1"/>
    <col min="9220" max="9220" width="3.33203125" style="178" customWidth="1"/>
    <col min="9221" max="9221" width="20.33203125" style="178" customWidth="1"/>
    <col min="9222" max="9222" width="3.33203125" style="178" customWidth="1"/>
    <col min="9223" max="9223" width="18.83203125" style="178" customWidth="1"/>
    <col min="9224" max="9224" width="3.33203125" style="178" customWidth="1"/>
    <col min="9225" max="9225" width="6.5" style="178" customWidth="1"/>
    <col min="9226" max="9227" width="4.75" style="178" customWidth="1"/>
    <col min="9228" max="9228" width="8" style="178" customWidth="1"/>
    <col min="9229" max="9229" width="10.25" style="178" customWidth="1"/>
    <col min="9230" max="9230" width="17.5" style="178" customWidth="1"/>
    <col min="9231" max="9231" width="5.83203125" style="178" customWidth="1"/>
    <col min="9232" max="9232" width="5.75" style="178" customWidth="1"/>
    <col min="9233" max="9233" width="5.58203125" style="178" customWidth="1"/>
    <col min="9234" max="9472" width="9" style="178"/>
    <col min="9473" max="9473" width="1.25" style="178" customWidth="1"/>
    <col min="9474" max="9474" width="17.25" style="178" customWidth="1"/>
    <col min="9475" max="9475" width="18.75" style="178" customWidth="1"/>
    <col min="9476" max="9476" width="3.33203125" style="178" customWidth="1"/>
    <col min="9477" max="9477" width="20.33203125" style="178" customWidth="1"/>
    <col min="9478" max="9478" width="3.33203125" style="178" customWidth="1"/>
    <col min="9479" max="9479" width="18.83203125" style="178" customWidth="1"/>
    <col min="9480" max="9480" width="3.33203125" style="178" customWidth="1"/>
    <col min="9481" max="9481" width="6.5" style="178" customWidth="1"/>
    <col min="9482" max="9483" width="4.75" style="178" customWidth="1"/>
    <col min="9484" max="9484" width="8" style="178" customWidth="1"/>
    <col min="9485" max="9485" width="10.25" style="178" customWidth="1"/>
    <col min="9486" max="9486" width="17.5" style="178" customWidth="1"/>
    <col min="9487" max="9487" width="5.83203125" style="178" customWidth="1"/>
    <col min="9488" max="9488" width="5.75" style="178" customWidth="1"/>
    <col min="9489" max="9489" width="5.58203125" style="178" customWidth="1"/>
    <col min="9490" max="9728" width="9" style="178"/>
    <col min="9729" max="9729" width="1.25" style="178" customWidth="1"/>
    <col min="9730" max="9730" width="17.25" style="178" customWidth="1"/>
    <col min="9731" max="9731" width="18.75" style="178" customWidth="1"/>
    <col min="9732" max="9732" width="3.33203125" style="178" customWidth="1"/>
    <col min="9733" max="9733" width="20.33203125" style="178" customWidth="1"/>
    <col min="9734" max="9734" width="3.33203125" style="178" customWidth="1"/>
    <col min="9735" max="9735" width="18.83203125" style="178" customWidth="1"/>
    <col min="9736" max="9736" width="3.33203125" style="178" customWidth="1"/>
    <col min="9737" max="9737" width="6.5" style="178" customWidth="1"/>
    <col min="9738" max="9739" width="4.75" style="178" customWidth="1"/>
    <col min="9740" max="9740" width="8" style="178" customWidth="1"/>
    <col min="9741" max="9741" width="10.25" style="178" customWidth="1"/>
    <col min="9742" max="9742" width="17.5" style="178" customWidth="1"/>
    <col min="9743" max="9743" width="5.83203125" style="178" customWidth="1"/>
    <col min="9744" max="9744" width="5.75" style="178" customWidth="1"/>
    <col min="9745" max="9745" width="5.58203125" style="178" customWidth="1"/>
    <col min="9746" max="9984" width="9" style="178"/>
    <col min="9985" max="9985" width="1.25" style="178" customWidth="1"/>
    <col min="9986" max="9986" width="17.25" style="178" customWidth="1"/>
    <col min="9987" max="9987" width="18.75" style="178" customWidth="1"/>
    <col min="9988" max="9988" width="3.33203125" style="178" customWidth="1"/>
    <col min="9989" max="9989" width="20.33203125" style="178" customWidth="1"/>
    <col min="9990" max="9990" width="3.33203125" style="178" customWidth="1"/>
    <col min="9991" max="9991" width="18.83203125" style="178" customWidth="1"/>
    <col min="9992" max="9992" width="3.33203125" style="178" customWidth="1"/>
    <col min="9993" max="9993" width="6.5" style="178" customWidth="1"/>
    <col min="9994" max="9995" width="4.75" style="178" customWidth="1"/>
    <col min="9996" max="9996" width="8" style="178" customWidth="1"/>
    <col min="9997" max="9997" width="10.25" style="178" customWidth="1"/>
    <col min="9998" max="9998" width="17.5" style="178" customWidth="1"/>
    <col min="9999" max="9999" width="5.83203125" style="178" customWidth="1"/>
    <col min="10000" max="10000" width="5.75" style="178" customWidth="1"/>
    <col min="10001" max="10001" width="5.58203125" style="178" customWidth="1"/>
    <col min="10002" max="10240" width="9" style="178"/>
    <col min="10241" max="10241" width="1.25" style="178" customWidth="1"/>
    <col min="10242" max="10242" width="17.25" style="178" customWidth="1"/>
    <col min="10243" max="10243" width="18.75" style="178" customWidth="1"/>
    <col min="10244" max="10244" width="3.33203125" style="178" customWidth="1"/>
    <col min="10245" max="10245" width="20.33203125" style="178" customWidth="1"/>
    <col min="10246" max="10246" width="3.33203125" style="178" customWidth="1"/>
    <col min="10247" max="10247" width="18.83203125" style="178" customWidth="1"/>
    <col min="10248" max="10248" width="3.33203125" style="178" customWidth="1"/>
    <col min="10249" max="10249" width="6.5" style="178" customWidth="1"/>
    <col min="10250" max="10251" width="4.75" style="178" customWidth="1"/>
    <col min="10252" max="10252" width="8" style="178" customWidth="1"/>
    <col min="10253" max="10253" width="10.25" style="178" customWidth="1"/>
    <col min="10254" max="10254" width="17.5" style="178" customWidth="1"/>
    <col min="10255" max="10255" width="5.83203125" style="178" customWidth="1"/>
    <col min="10256" max="10256" width="5.75" style="178" customWidth="1"/>
    <col min="10257" max="10257" width="5.58203125" style="178" customWidth="1"/>
    <col min="10258" max="10496" width="9" style="178"/>
    <col min="10497" max="10497" width="1.25" style="178" customWidth="1"/>
    <col min="10498" max="10498" width="17.25" style="178" customWidth="1"/>
    <col min="10499" max="10499" width="18.75" style="178" customWidth="1"/>
    <col min="10500" max="10500" width="3.33203125" style="178" customWidth="1"/>
    <col min="10501" max="10501" width="20.33203125" style="178" customWidth="1"/>
    <col min="10502" max="10502" width="3.33203125" style="178" customWidth="1"/>
    <col min="10503" max="10503" width="18.83203125" style="178" customWidth="1"/>
    <col min="10504" max="10504" width="3.33203125" style="178" customWidth="1"/>
    <col min="10505" max="10505" width="6.5" style="178" customWidth="1"/>
    <col min="10506" max="10507" width="4.75" style="178" customWidth="1"/>
    <col min="10508" max="10508" width="8" style="178" customWidth="1"/>
    <col min="10509" max="10509" width="10.25" style="178" customWidth="1"/>
    <col min="10510" max="10510" width="17.5" style="178" customWidth="1"/>
    <col min="10511" max="10511" width="5.83203125" style="178" customWidth="1"/>
    <col min="10512" max="10512" width="5.75" style="178" customWidth="1"/>
    <col min="10513" max="10513" width="5.58203125" style="178" customWidth="1"/>
    <col min="10514" max="10752" width="9" style="178"/>
    <col min="10753" max="10753" width="1.25" style="178" customWidth="1"/>
    <col min="10754" max="10754" width="17.25" style="178" customWidth="1"/>
    <col min="10755" max="10755" width="18.75" style="178" customWidth="1"/>
    <col min="10756" max="10756" width="3.33203125" style="178" customWidth="1"/>
    <col min="10757" max="10757" width="20.33203125" style="178" customWidth="1"/>
    <col min="10758" max="10758" width="3.33203125" style="178" customWidth="1"/>
    <col min="10759" max="10759" width="18.83203125" style="178" customWidth="1"/>
    <col min="10760" max="10760" width="3.33203125" style="178" customWidth="1"/>
    <col min="10761" max="10761" width="6.5" style="178" customWidth="1"/>
    <col min="10762" max="10763" width="4.75" style="178" customWidth="1"/>
    <col min="10764" max="10764" width="8" style="178" customWidth="1"/>
    <col min="10765" max="10765" width="10.25" style="178" customWidth="1"/>
    <col min="10766" max="10766" width="17.5" style="178" customWidth="1"/>
    <col min="10767" max="10767" width="5.83203125" style="178" customWidth="1"/>
    <col min="10768" max="10768" width="5.75" style="178" customWidth="1"/>
    <col min="10769" max="10769" width="5.58203125" style="178" customWidth="1"/>
    <col min="10770" max="11008" width="9" style="178"/>
    <col min="11009" max="11009" width="1.25" style="178" customWidth="1"/>
    <col min="11010" max="11010" width="17.25" style="178" customWidth="1"/>
    <col min="11011" max="11011" width="18.75" style="178" customWidth="1"/>
    <col min="11012" max="11012" width="3.33203125" style="178" customWidth="1"/>
    <col min="11013" max="11013" width="20.33203125" style="178" customWidth="1"/>
    <col min="11014" max="11014" width="3.33203125" style="178" customWidth="1"/>
    <col min="11015" max="11015" width="18.83203125" style="178" customWidth="1"/>
    <col min="11016" max="11016" width="3.33203125" style="178" customWidth="1"/>
    <col min="11017" max="11017" width="6.5" style="178" customWidth="1"/>
    <col min="11018" max="11019" width="4.75" style="178" customWidth="1"/>
    <col min="11020" max="11020" width="8" style="178" customWidth="1"/>
    <col min="11021" max="11021" width="10.25" style="178" customWidth="1"/>
    <col min="11022" max="11022" width="17.5" style="178" customWidth="1"/>
    <col min="11023" max="11023" width="5.83203125" style="178" customWidth="1"/>
    <col min="11024" max="11024" width="5.75" style="178" customWidth="1"/>
    <col min="11025" max="11025" width="5.58203125" style="178" customWidth="1"/>
    <col min="11026" max="11264" width="9" style="178"/>
    <col min="11265" max="11265" width="1.25" style="178" customWidth="1"/>
    <col min="11266" max="11266" width="17.25" style="178" customWidth="1"/>
    <col min="11267" max="11267" width="18.75" style="178" customWidth="1"/>
    <col min="11268" max="11268" width="3.33203125" style="178" customWidth="1"/>
    <col min="11269" max="11269" width="20.33203125" style="178" customWidth="1"/>
    <col min="11270" max="11270" width="3.33203125" style="178" customWidth="1"/>
    <col min="11271" max="11271" width="18.83203125" style="178" customWidth="1"/>
    <col min="11272" max="11272" width="3.33203125" style="178" customWidth="1"/>
    <col min="11273" max="11273" width="6.5" style="178" customWidth="1"/>
    <col min="11274" max="11275" width="4.75" style="178" customWidth="1"/>
    <col min="11276" max="11276" width="8" style="178" customWidth="1"/>
    <col min="11277" max="11277" width="10.25" style="178" customWidth="1"/>
    <col min="11278" max="11278" width="17.5" style="178" customWidth="1"/>
    <col min="11279" max="11279" width="5.83203125" style="178" customWidth="1"/>
    <col min="11280" max="11280" width="5.75" style="178" customWidth="1"/>
    <col min="11281" max="11281" width="5.58203125" style="178" customWidth="1"/>
    <col min="11282" max="11520" width="9" style="178"/>
    <col min="11521" max="11521" width="1.25" style="178" customWidth="1"/>
    <col min="11522" max="11522" width="17.25" style="178" customWidth="1"/>
    <col min="11523" max="11523" width="18.75" style="178" customWidth="1"/>
    <col min="11524" max="11524" width="3.33203125" style="178" customWidth="1"/>
    <col min="11525" max="11525" width="20.33203125" style="178" customWidth="1"/>
    <col min="11526" max="11526" width="3.33203125" style="178" customWidth="1"/>
    <col min="11527" max="11527" width="18.83203125" style="178" customWidth="1"/>
    <col min="11528" max="11528" width="3.33203125" style="178" customWidth="1"/>
    <col min="11529" max="11529" width="6.5" style="178" customWidth="1"/>
    <col min="11530" max="11531" width="4.75" style="178" customWidth="1"/>
    <col min="11532" max="11532" width="8" style="178" customWidth="1"/>
    <col min="11533" max="11533" width="10.25" style="178" customWidth="1"/>
    <col min="11534" max="11534" width="17.5" style="178" customWidth="1"/>
    <col min="11535" max="11535" width="5.83203125" style="178" customWidth="1"/>
    <col min="11536" max="11536" width="5.75" style="178" customWidth="1"/>
    <col min="11537" max="11537" width="5.58203125" style="178" customWidth="1"/>
    <col min="11538" max="11776" width="9" style="178"/>
    <col min="11777" max="11777" width="1.25" style="178" customWidth="1"/>
    <col min="11778" max="11778" width="17.25" style="178" customWidth="1"/>
    <col min="11779" max="11779" width="18.75" style="178" customWidth="1"/>
    <col min="11780" max="11780" width="3.33203125" style="178" customWidth="1"/>
    <col min="11781" max="11781" width="20.33203125" style="178" customWidth="1"/>
    <col min="11782" max="11782" width="3.33203125" style="178" customWidth="1"/>
    <col min="11783" max="11783" width="18.83203125" style="178" customWidth="1"/>
    <col min="11784" max="11784" width="3.33203125" style="178" customWidth="1"/>
    <col min="11785" max="11785" width="6.5" style="178" customWidth="1"/>
    <col min="11786" max="11787" width="4.75" style="178" customWidth="1"/>
    <col min="11788" max="11788" width="8" style="178" customWidth="1"/>
    <col min="11789" max="11789" width="10.25" style="178" customWidth="1"/>
    <col min="11790" max="11790" width="17.5" style="178" customWidth="1"/>
    <col min="11791" max="11791" width="5.83203125" style="178" customWidth="1"/>
    <col min="11792" max="11792" width="5.75" style="178" customWidth="1"/>
    <col min="11793" max="11793" width="5.58203125" style="178" customWidth="1"/>
    <col min="11794" max="12032" width="9" style="178"/>
    <col min="12033" max="12033" width="1.25" style="178" customWidth="1"/>
    <col min="12034" max="12034" width="17.25" style="178" customWidth="1"/>
    <col min="12035" max="12035" width="18.75" style="178" customWidth="1"/>
    <col min="12036" max="12036" width="3.33203125" style="178" customWidth="1"/>
    <col min="12037" max="12037" width="20.33203125" style="178" customWidth="1"/>
    <col min="12038" max="12038" width="3.33203125" style="178" customWidth="1"/>
    <col min="12039" max="12039" width="18.83203125" style="178" customWidth="1"/>
    <col min="12040" max="12040" width="3.33203125" style="178" customWidth="1"/>
    <col min="12041" max="12041" width="6.5" style="178" customWidth="1"/>
    <col min="12042" max="12043" width="4.75" style="178" customWidth="1"/>
    <col min="12044" max="12044" width="8" style="178" customWidth="1"/>
    <col min="12045" max="12045" width="10.25" style="178" customWidth="1"/>
    <col min="12046" max="12046" width="17.5" style="178" customWidth="1"/>
    <col min="12047" max="12047" width="5.83203125" style="178" customWidth="1"/>
    <col min="12048" max="12048" width="5.75" style="178" customWidth="1"/>
    <col min="12049" max="12049" width="5.58203125" style="178" customWidth="1"/>
    <col min="12050" max="12288" width="9" style="178"/>
    <col min="12289" max="12289" width="1.25" style="178" customWidth="1"/>
    <col min="12290" max="12290" width="17.25" style="178" customWidth="1"/>
    <col min="12291" max="12291" width="18.75" style="178" customWidth="1"/>
    <col min="12292" max="12292" width="3.33203125" style="178" customWidth="1"/>
    <col min="12293" max="12293" width="20.33203125" style="178" customWidth="1"/>
    <col min="12294" max="12294" width="3.33203125" style="178" customWidth="1"/>
    <col min="12295" max="12295" width="18.83203125" style="178" customWidth="1"/>
    <col min="12296" max="12296" width="3.33203125" style="178" customWidth="1"/>
    <col min="12297" max="12297" width="6.5" style="178" customWidth="1"/>
    <col min="12298" max="12299" width="4.75" style="178" customWidth="1"/>
    <col min="12300" max="12300" width="8" style="178" customWidth="1"/>
    <col min="12301" max="12301" width="10.25" style="178" customWidth="1"/>
    <col min="12302" max="12302" width="17.5" style="178" customWidth="1"/>
    <col min="12303" max="12303" width="5.83203125" style="178" customWidth="1"/>
    <col min="12304" max="12304" width="5.75" style="178" customWidth="1"/>
    <col min="12305" max="12305" width="5.58203125" style="178" customWidth="1"/>
    <col min="12306" max="12544" width="9" style="178"/>
    <col min="12545" max="12545" width="1.25" style="178" customWidth="1"/>
    <col min="12546" max="12546" width="17.25" style="178" customWidth="1"/>
    <col min="12547" max="12547" width="18.75" style="178" customWidth="1"/>
    <col min="12548" max="12548" width="3.33203125" style="178" customWidth="1"/>
    <col min="12549" max="12549" width="20.33203125" style="178" customWidth="1"/>
    <col min="12550" max="12550" width="3.33203125" style="178" customWidth="1"/>
    <col min="12551" max="12551" width="18.83203125" style="178" customWidth="1"/>
    <col min="12552" max="12552" width="3.33203125" style="178" customWidth="1"/>
    <col min="12553" max="12553" width="6.5" style="178" customWidth="1"/>
    <col min="12554" max="12555" width="4.75" style="178" customWidth="1"/>
    <col min="12556" max="12556" width="8" style="178" customWidth="1"/>
    <col min="12557" max="12557" width="10.25" style="178" customWidth="1"/>
    <col min="12558" max="12558" width="17.5" style="178" customWidth="1"/>
    <col min="12559" max="12559" width="5.83203125" style="178" customWidth="1"/>
    <col min="12560" max="12560" width="5.75" style="178" customWidth="1"/>
    <col min="12561" max="12561" width="5.58203125" style="178" customWidth="1"/>
    <col min="12562" max="12800" width="9" style="178"/>
    <col min="12801" max="12801" width="1.25" style="178" customWidth="1"/>
    <col min="12802" max="12802" width="17.25" style="178" customWidth="1"/>
    <col min="12803" max="12803" width="18.75" style="178" customWidth="1"/>
    <col min="12804" max="12804" width="3.33203125" style="178" customWidth="1"/>
    <col min="12805" max="12805" width="20.33203125" style="178" customWidth="1"/>
    <col min="12806" max="12806" width="3.33203125" style="178" customWidth="1"/>
    <col min="12807" max="12807" width="18.83203125" style="178" customWidth="1"/>
    <col min="12808" max="12808" width="3.33203125" style="178" customWidth="1"/>
    <col min="12809" max="12809" width="6.5" style="178" customWidth="1"/>
    <col min="12810" max="12811" width="4.75" style="178" customWidth="1"/>
    <col min="12812" max="12812" width="8" style="178" customWidth="1"/>
    <col min="12813" max="12813" width="10.25" style="178" customWidth="1"/>
    <col min="12814" max="12814" width="17.5" style="178" customWidth="1"/>
    <col min="12815" max="12815" width="5.83203125" style="178" customWidth="1"/>
    <col min="12816" max="12816" width="5.75" style="178" customWidth="1"/>
    <col min="12817" max="12817" width="5.58203125" style="178" customWidth="1"/>
    <col min="12818" max="13056" width="9" style="178"/>
    <col min="13057" max="13057" width="1.25" style="178" customWidth="1"/>
    <col min="13058" max="13058" width="17.25" style="178" customWidth="1"/>
    <col min="13059" max="13059" width="18.75" style="178" customWidth="1"/>
    <col min="13060" max="13060" width="3.33203125" style="178" customWidth="1"/>
    <col min="13061" max="13061" width="20.33203125" style="178" customWidth="1"/>
    <col min="13062" max="13062" width="3.33203125" style="178" customWidth="1"/>
    <col min="13063" max="13063" width="18.83203125" style="178" customWidth="1"/>
    <col min="13064" max="13064" width="3.33203125" style="178" customWidth="1"/>
    <col min="13065" max="13065" width="6.5" style="178" customWidth="1"/>
    <col min="13066" max="13067" width="4.75" style="178" customWidth="1"/>
    <col min="13068" max="13068" width="8" style="178" customWidth="1"/>
    <col min="13069" max="13069" width="10.25" style="178" customWidth="1"/>
    <col min="13070" max="13070" width="17.5" style="178" customWidth="1"/>
    <col min="13071" max="13071" width="5.83203125" style="178" customWidth="1"/>
    <col min="13072" max="13072" width="5.75" style="178" customWidth="1"/>
    <col min="13073" max="13073" width="5.58203125" style="178" customWidth="1"/>
    <col min="13074" max="13312" width="9" style="178"/>
    <col min="13313" max="13313" width="1.25" style="178" customWidth="1"/>
    <col min="13314" max="13314" width="17.25" style="178" customWidth="1"/>
    <col min="13315" max="13315" width="18.75" style="178" customWidth="1"/>
    <col min="13316" max="13316" width="3.33203125" style="178" customWidth="1"/>
    <col min="13317" max="13317" width="20.33203125" style="178" customWidth="1"/>
    <col min="13318" max="13318" width="3.33203125" style="178" customWidth="1"/>
    <col min="13319" max="13319" width="18.83203125" style="178" customWidth="1"/>
    <col min="13320" max="13320" width="3.33203125" style="178" customWidth="1"/>
    <col min="13321" max="13321" width="6.5" style="178" customWidth="1"/>
    <col min="13322" max="13323" width="4.75" style="178" customWidth="1"/>
    <col min="13324" max="13324" width="8" style="178" customWidth="1"/>
    <col min="13325" max="13325" width="10.25" style="178" customWidth="1"/>
    <col min="13326" max="13326" width="17.5" style="178" customWidth="1"/>
    <col min="13327" max="13327" width="5.83203125" style="178" customWidth="1"/>
    <col min="13328" max="13328" width="5.75" style="178" customWidth="1"/>
    <col min="13329" max="13329" width="5.58203125" style="178" customWidth="1"/>
    <col min="13330" max="13568" width="9" style="178"/>
    <col min="13569" max="13569" width="1.25" style="178" customWidth="1"/>
    <col min="13570" max="13570" width="17.25" style="178" customWidth="1"/>
    <col min="13571" max="13571" width="18.75" style="178" customWidth="1"/>
    <col min="13572" max="13572" width="3.33203125" style="178" customWidth="1"/>
    <col min="13573" max="13573" width="20.33203125" style="178" customWidth="1"/>
    <col min="13574" max="13574" width="3.33203125" style="178" customWidth="1"/>
    <col min="13575" max="13575" width="18.83203125" style="178" customWidth="1"/>
    <col min="13576" max="13576" width="3.33203125" style="178" customWidth="1"/>
    <col min="13577" max="13577" width="6.5" style="178" customWidth="1"/>
    <col min="13578" max="13579" width="4.75" style="178" customWidth="1"/>
    <col min="13580" max="13580" width="8" style="178" customWidth="1"/>
    <col min="13581" max="13581" width="10.25" style="178" customWidth="1"/>
    <col min="13582" max="13582" width="17.5" style="178" customWidth="1"/>
    <col min="13583" max="13583" width="5.83203125" style="178" customWidth="1"/>
    <col min="13584" max="13584" width="5.75" style="178" customWidth="1"/>
    <col min="13585" max="13585" width="5.58203125" style="178" customWidth="1"/>
    <col min="13586" max="13824" width="9" style="178"/>
    <col min="13825" max="13825" width="1.25" style="178" customWidth="1"/>
    <col min="13826" max="13826" width="17.25" style="178" customWidth="1"/>
    <col min="13827" max="13827" width="18.75" style="178" customWidth="1"/>
    <col min="13828" max="13828" width="3.33203125" style="178" customWidth="1"/>
    <col min="13829" max="13829" width="20.33203125" style="178" customWidth="1"/>
    <col min="13830" max="13830" width="3.33203125" style="178" customWidth="1"/>
    <col min="13831" max="13831" width="18.83203125" style="178" customWidth="1"/>
    <col min="13832" max="13832" width="3.33203125" style="178" customWidth="1"/>
    <col min="13833" max="13833" width="6.5" style="178" customWidth="1"/>
    <col min="13834" max="13835" width="4.75" style="178" customWidth="1"/>
    <col min="13836" max="13836" width="8" style="178" customWidth="1"/>
    <col min="13837" max="13837" width="10.25" style="178" customWidth="1"/>
    <col min="13838" max="13838" width="17.5" style="178" customWidth="1"/>
    <col min="13839" max="13839" width="5.83203125" style="178" customWidth="1"/>
    <col min="13840" max="13840" width="5.75" style="178" customWidth="1"/>
    <col min="13841" max="13841" width="5.58203125" style="178" customWidth="1"/>
    <col min="13842" max="14080" width="9" style="178"/>
    <col min="14081" max="14081" width="1.25" style="178" customWidth="1"/>
    <col min="14082" max="14082" width="17.25" style="178" customWidth="1"/>
    <col min="14083" max="14083" width="18.75" style="178" customWidth="1"/>
    <col min="14084" max="14084" width="3.33203125" style="178" customWidth="1"/>
    <col min="14085" max="14085" width="20.33203125" style="178" customWidth="1"/>
    <col min="14086" max="14086" width="3.33203125" style="178" customWidth="1"/>
    <col min="14087" max="14087" width="18.83203125" style="178" customWidth="1"/>
    <col min="14088" max="14088" width="3.33203125" style="178" customWidth="1"/>
    <col min="14089" max="14089" width="6.5" style="178" customWidth="1"/>
    <col min="14090" max="14091" width="4.75" style="178" customWidth="1"/>
    <col min="14092" max="14092" width="8" style="178" customWidth="1"/>
    <col min="14093" max="14093" width="10.25" style="178" customWidth="1"/>
    <col min="14094" max="14094" width="17.5" style="178" customWidth="1"/>
    <col min="14095" max="14095" width="5.83203125" style="178" customWidth="1"/>
    <col min="14096" max="14096" width="5.75" style="178" customWidth="1"/>
    <col min="14097" max="14097" width="5.58203125" style="178" customWidth="1"/>
    <col min="14098" max="14336" width="9" style="178"/>
    <col min="14337" max="14337" width="1.25" style="178" customWidth="1"/>
    <col min="14338" max="14338" width="17.25" style="178" customWidth="1"/>
    <col min="14339" max="14339" width="18.75" style="178" customWidth="1"/>
    <col min="14340" max="14340" width="3.33203125" style="178" customWidth="1"/>
    <col min="14341" max="14341" width="20.33203125" style="178" customWidth="1"/>
    <col min="14342" max="14342" width="3.33203125" style="178" customWidth="1"/>
    <col min="14343" max="14343" width="18.83203125" style="178" customWidth="1"/>
    <col min="14344" max="14344" width="3.33203125" style="178" customWidth="1"/>
    <col min="14345" max="14345" width="6.5" style="178" customWidth="1"/>
    <col min="14346" max="14347" width="4.75" style="178" customWidth="1"/>
    <col min="14348" max="14348" width="8" style="178" customWidth="1"/>
    <col min="14349" max="14349" width="10.25" style="178" customWidth="1"/>
    <col min="14350" max="14350" width="17.5" style="178" customWidth="1"/>
    <col min="14351" max="14351" width="5.83203125" style="178" customWidth="1"/>
    <col min="14352" max="14352" width="5.75" style="178" customWidth="1"/>
    <col min="14353" max="14353" width="5.58203125" style="178" customWidth="1"/>
    <col min="14354" max="14592" width="9" style="178"/>
    <col min="14593" max="14593" width="1.25" style="178" customWidth="1"/>
    <col min="14594" max="14594" width="17.25" style="178" customWidth="1"/>
    <col min="14595" max="14595" width="18.75" style="178" customWidth="1"/>
    <col min="14596" max="14596" width="3.33203125" style="178" customWidth="1"/>
    <col min="14597" max="14597" width="20.33203125" style="178" customWidth="1"/>
    <col min="14598" max="14598" width="3.33203125" style="178" customWidth="1"/>
    <col min="14599" max="14599" width="18.83203125" style="178" customWidth="1"/>
    <col min="14600" max="14600" width="3.33203125" style="178" customWidth="1"/>
    <col min="14601" max="14601" width="6.5" style="178" customWidth="1"/>
    <col min="14602" max="14603" width="4.75" style="178" customWidth="1"/>
    <col min="14604" max="14604" width="8" style="178" customWidth="1"/>
    <col min="14605" max="14605" width="10.25" style="178" customWidth="1"/>
    <col min="14606" max="14606" width="17.5" style="178" customWidth="1"/>
    <col min="14607" max="14607" width="5.83203125" style="178" customWidth="1"/>
    <col min="14608" max="14608" width="5.75" style="178" customWidth="1"/>
    <col min="14609" max="14609" width="5.58203125" style="178" customWidth="1"/>
    <col min="14610" max="14848" width="9" style="178"/>
    <col min="14849" max="14849" width="1.25" style="178" customWidth="1"/>
    <col min="14850" max="14850" width="17.25" style="178" customWidth="1"/>
    <col min="14851" max="14851" width="18.75" style="178" customWidth="1"/>
    <col min="14852" max="14852" width="3.33203125" style="178" customWidth="1"/>
    <col min="14853" max="14853" width="20.33203125" style="178" customWidth="1"/>
    <col min="14854" max="14854" width="3.33203125" style="178" customWidth="1"/>
    <col min="14855" max="14855" width="18.83203125" style="178" customWidth="1"/>
    <col min="14856" max="14856" width="3.33203125" style="178" customWidth="1"/>
    <col min="14857" max="14857" width="6.5" style="178" customWidth="1"/>
    <col min="14858" max="14859" width="4.75" style="178" customWidth="1"/>
    <col min="14860" max="14860" width="8" style="178" customWidth="1"/>
    <col min="14861" max="14861" width="10.25" style="178" customWidth="1"/>
    <col min="14862" max="14862" width="17.5" style="178" customWidth="1"/>
    <col min="14863" max="14863" width="5.83203125" style="178" customWidth="1"/>
    <col min="14864" max="14864" width="5.75" style="178" customWidth="1"/>
    <col min="14865" max="14865" width="5.58203125" style="178" customWidth="1"/>
    <col min="14866" max="15104" width="9" style="178"/>
    <col min="15105" max="15105" width="1.25" style="178" customWidth="1"/>
    <col min="15106" max="15106" width="17.25" style="178" customWidth="1"/>
    <col min="15107" max="15107" width="18.75" style="178" customWidth="1"/>
    <col min="15108" max="15108" width="3.33203125" style="178" customWidth="1"/>
    <col min="15109" max="15109" width="20.33203125" style="178" customWidth="1"/>
    <col min="15110" max="15110" width="3.33203125" style="178" customWidth="1"/>
    <col min="15111" max="15111" width="18.83203125" style="178" customWidth="1"/>
    <col min="15112" max="15112" width="3.33203125" style="178" customWidth="1"/>
    <col min="15113" max="15113" width="6.5" style="178" customWidth="1"/>
    <col min="15114" max="15115" width="4.75" style="178" customWidth="1"/>
    <col min="15116" max="15116" width="8" style="178" customWidth="1"/>
    <col min="15117" max="15117" width="10.25" style="178" customWidth="1"/>
    <col min="15118" max="15118" width="17.5" style="178" customWidth="1"/>
    <col min="15119" max="15119" width="5.83203125" style="178" customWidth="1"/>
    <col min="15120" max="15120" width="5.75" style="178" customWidth="1"/>
    <col min="15121" max="15121" width="5.58203125" style="178" customWidth="1"/>
    <col min="15122" max="15360" width="9" style="178"/>
    <col min="15361" max="15361" width="1.25" style="178" customWidth="1"/>
    <col min="15362" max="15362" width="17.25" style="178" customWidth="1"/>
    <col min="15363" max="15363" width="18.75" style="178" customWidth="1"/>
    <col min="15364" max="15364" width="3.33203125" style="178" customWidth="1"/>
    <col min="15365" max="15365" width="20.33203125" style="178" customWidth="1"/>
    <col min="15366" max="15366" width="3.33203125" style="178" customWidth="1"/>
    <col min="15367" max="15367" width="18.83203125" style="178" customWidth="1"/>
    <col min="15368" max="15368" width="3.33203125" style="178" customWidth="1"/>
    <col min="15369" max="15369" width="6.5" style="178" customWidth="1"/>
    <col min="15370" max="15371" width="4.75" style="178" customWidth="1"/>
    <col min="15372" max="15372" width="8" style="178" customWidth="1"/>
    <col min="15373" max="15373" width="10.25" style="178" customWidth="1"/>
    <col min="15374" max="15374" width="17.5" style="178" customWidth="1"/>
    <col min="15375" max="15375" width="5.83203125" style="178" customWidth="1"/>
    <col min="15376" max="15376" width="5.75" style="178" customWidth="1"/>
    <col min="15377" max="15377" width="5.58203125" style="178" customWidth="1"/>
    <col min="15378" max="15616" width="9" style="178"/>
    <col min="15617" max="15617" width="1.25" style="178" customWidth="1"/>
    <col min="15618" max="15618" width="17.25" style="178" customWidth="1"/>
    <col min="15619" max="15619" width="18.75" style="178" customWidth="1"/>
    <col min="15620" max="15620" width="3.33203125" style="178" customWidth="1"/>
    <col min="15621" max="15621" width="20.33203125" style="178" customWidth="1"/>
    <col min="15622" max="15622" width="3.33203125" style="178" customWidth="1"/>
    <col min="15623" max="15623" width="18.83203125" style="178" customWidth="1"/>
    <col min="15624" max="15624" width="3.33203125" style="178" customWidth="1"/>
    <col min="15625" max="15625" width="6.5" style="178" customWidth="1"/>
    <col min="15626" max="15627" width="4.75" style="178" customWidth="1"/>
    <col min="15628" max="15628" width="8" style="178" customWidth="1"/>
    <col min="15629" max="15629" width="10.25" style="178" customWidth="1"/>
    <col min="15630" max="15630" width="17.5" style="178" customWidth="1"/>
    <col min="15631" max="15631" width="5.83203125" style="178" customWidth="1"/>
    <col min="15632" max="15632" width="5.75" style="178" customWidth="1"/>
    <col min="15633" max="15633" width="5.58203125" style="178" customWidth="1"/>
    <col min="15634" max="15872" width="9" style="178"/>
    <col min="15873" max="15873" width="1.25" style="178" customWidth="1"/>
    <col min="15874" max="15874" width="17.25" style="178" customWidth="1"/>
    <col min="15875" max="15875" width="18.75" style="178" customWidth="1"/>
    <col min="15876" max="15876" width="3.33203125" style="178" customWidth="1"/>
    <col min="15877" max="15877" width="20.33203125" style="178" customWidth="1"/>
    <col min="15878" max="15878" width="3.33203125" style="178" customWidth="1"/>
    <col min="15879" max="15879" width="18.83203125" style="178" customWidth="1"/>
    <col min="15880" max="15880" width="3.33203125" style="178" customWidth="1"/>
    <col min="15881" max="15881" width="6.5" style="178" customWidth="1"/>
    <col min="15882" max="15883" width="4.75" style="178" customWidth="1"/>
    <col min="15884" max="15884" width="8" style="178" customWidth="1"/>
    <col min="15885" max="15885" width="10.25" style="178" customWidth="1"/>
    <col min="15886" max="15886" width="17.5" style="178" customWidth="1"/>
    <col min="15887" max="15887" width="5.83203125" style="178" customWidth="1"/>
    <col min="15888" max="15888" width="5.75" style="178" customWidth="1"/>
    <col min="15889" max="15889" width="5.58203125" style="178" customWidth="1"/>
    <col min="15890" max="16128" width="9" style="178"/>
    <col min="16129" max="16129" width="1.25" style="178" customWidth="1"/>
    <col min="16130" max="16130" width="17.25" style="178" customWidth="1"/>
    <col min="16131" max="16131" width="18.75" style="178" customWidth="1"/>
    <col min="16132" max="16132" width="3.33203125" style="178" customWidth="1"/>
    <col min="16133" max="16133" width="20.33203125" style="178" customWidth="1"/>
    <col min="16134" max="16134" width="3.33203125" style="178" customWidth="1"/>
    <col min="16135" max="16135" width="18.83203125" style="178" customWidth="1"/>
    <col min="16136" max="16136" width="3.33203125" style="178" customWidth="1"/>
    <col min="16137" max="16137" width="6.5" style="178" customWidth="1"/>
    <col min="16138" max="16139" width="4.75" style="178" customWidth="1"/>
    <col min="16140" max="16140" width="8" style="178" customWidth="1"/>
    <col min="16141" max="16141" width="10.25" style="178" customWidth="1"/>
    <col min="16142" max="16142" width="17.5" style="178" customWidth="1"/>
    <col min="16143" max="16143" width="5.83203125" style="178" customWidth="1"/>
    <col min="16144" max="16144" width="5.75" style="178" customWidth="1"/>
    <col min="16145" max="16145" width="5.58203125" style="178" customWidth="1"/>
    <col min="16146" max="16384" width="9" style="178"/>
  </cols>
  <sheetData>
    <row r="1" spans="1:17" ht="20.149999999999999" customHeight="1">
      <c r="A1" s="37" t="s">
        <v>1184</v>
      </c>
      <c r="B1" s="37"/>
      <c r="C1" s="37" t="s">
        <v>289</v>
      </c>
      <c r="D1" s="37"/>
      <c r="E1" s="37"/>
      <c r="F1" s="37"/>
      <c r="G1" s="37"/>
      <c r="H1" s="49" t="e">
        <f>様式６!H1</f>
        <v>#N/A</v>
      </c>
      <c r="I1" s="37"/>
      <c r="J1" s="37"/>
      <c r="K1" s="37"/>
      <c r="L1" s="37"/>
      <c r="M1" s="37"/>
      <c r="N1" s="37"/>
      <c r="O1" s="37"/>
      <c r="P1" s="37"/>
      <c r="Q1" s="37"/>
    </row>
    <row r="2" spans="1:17" ht="16.5" customHeight="1">
      <c r="A2" s="37"/>
      <c r="B2" s="37"/>
      <c r="C2" s="37"/>
      <c r="D2" s="37"/>
      <c r="E2" s="37"/>
      <c r="F2" s="37"/>
      <c r="G2" s="366">
        <f>様式６!G2</f>
        <v>45747</v>
      </c>
      <c r="H2" s="37"/>
      <c r="I2" s="37"/>
      <c r="J2" s="37"/>
      <c r="K2" s="37"/>
      <c r="L2" s="37"/>
      <c r="M2" s="37"/>
      <c r="O2" s="37"/>
      <c r="P2" s="37"/>
      <c r="Q2" s="37"/>
    </row>
    <row r="3" spans="1:17" ht="3.75" customHeight="1">
      <c r="A3" s="37"/>
      <c r="B3" s="37"/>
      <c r="C3" s="37"/>
      <c r="D3" s="37"/>
      <c r="E3" s="37"/>
      <c r="F3" s="37"/>
      <c r="G3" s="37"/>
      <c r="H3" s="37"/>
      <c r="I3" s="37"/>
      <c r="J3" s="37"/>
      <c r="K3" s="37"/>
      <c r="L3" s="37"/>
      <c r="M3" s="37"/>
      <c r="N3" s="37"/>
      <c r="O3" s="37"/>
      <c r="P3" s="37"/>
      <c r="Q3" s="37"/>
    </row>
    <row r="4" spans="1:17" ht="23.15" customHeight="1">
      <c r="A4" s="37"/>
      <c r="B4" s="37"/>
      <c r="C4" s="998" t="s">
        <v>1177</v>
      </c>
      <c r="D4" s="998"/>
      <c r="E4" s="998"/>
      <c r="F4" s="37"/>
      <c r="G4" s="37"/>
      <c r="H4" s="37"/>
      <c r="I4" s="37"/>
      <c r="J4" s="37"/>
      <c r="K4" s="37"/>
      <c r="L4" s="37"/>
      <c r="M4" s="37"/>
      <c r="N4" s="37"/>
      <c r="O4" s="37"/>
      <c r="P4" s="37"/>
      <c r="Q4" s="37"/>
    </row>
    <row r="5" spans="1:17" ht="23.15" customHeight="1">
      <c r="A5" s="37"/>
      <c r="B5" s="37"/>
      <c r="C5" s="998" t="s">
        <v>1185</v>
      </c>
      <c r="D5" s="998"/>
      <c r="E5" s="998"/>
      <c r="F5" s="37"/>
      <c r="G5" s="37"/>
      <c r="H5" s="37"/>
      <c r="I5" s="37"/>
      <c r="J5" s="37"/>
      <c r="K5" s="37"/>
      <c r="L5" s="37"/>
      <c r="M5" s="37"/>
      <c r="N5" s="37"/>
      <c r="O5" s="37"/>
      <c r="P5" s="37"/>
      <c r="Q5" s="37"/>
    </row>
    <row r="6" spans="1:17" ht="3" customHeight="1">
      <c r="A6" s="37"/>
      <c r="B6" s="37"/>
      <c r="C6" s="37"/>
      <c r="D6" s="37"/>
      <c r="E6" s="37"/>
      <c r="F6" s="37"/>
      <c r="G6" s="37"/>
      <c r="H6" s="37"/>
      <c r="I6" s="37"/>
      <c r="J6" s="37"/>
      <c r="K6" s="37"/>
      <c r="L6" s="37"/>
      <c r="M6" s="37"/>
      <c r="N6" s="37"/>
      <c r="O6" s="37"/>
      <c r="P6" s="37"/>
      <c r="Q6" s="37"/>
    </row>
    <row r="7" spans="1:17" ht="23.15" customHeight="1">
      <c r="A7" s="37"/>
      <c r="B7" s="36" t="s">
        <v>1619</v>
      </c>
      <c r="C7" s="65"/>
      <c r="D7" s="65"/>
      <c r="E7" s="37"/>
      <c r="F7" s="888" t="e">
        <f>VLOOKUP(①基本情報!$Q$5,補助金用基本データ!$B$5:$S$59,16,0)</f>
        <v>#N/A</v>
      </c>
      <c r="G7" s="888"/>
      <c r="H7" s="888"/>
      <c r="I7" s="37"/>
      <c r="J7" s="37"/>
      <c r="K7" s="37"/>
      <c r="L7" s="37"/>
      <c r="M7" s="37"/>
      <c r="N7" s="37"/>
      <c r="O7" s="37"/>
      <c r="P7" s="37"/>
      <c r="Q7" s="37"/>
    </row>
    <row r="8" spans="1:17" ht="3" customHeight="1">
      <c r="A8" s="37"/>
      <c r="B8" s="37"/>
      <c r="C8" s="37"/>
      <c r="D8" s="37"/>
      <c r="E8" s="37"/>
      <c r="F8" s="889"/>
      <c r="G8" s="889"/>
      <c r="H8" s="889"/>
      <c r="I8" s="37"/>
      <c r="J8" s="37"/>
      <c r="K8" s="37"/>
      <c r="L8" s="37"/>
      <c r="M8" s="37"/>
      <c r="N8" s="37"/>
      <c r="O8" s="37"/>
      <c r="P8" s="37"/>
      <c r="Q8" s="37"/>
    </row>
    <row r="9" spans="1:17" ht="29.25" customHeight="1">
      <c r="A9" s="37"/>
      <c r="B9" s="37"/>
      <c r="C9" s="37"/>
      <c r="D9" s="37"/>
      <c r="E9" s="36" t="s">
        <v>1186</v>
      </c>
      <c r="F9" s="889"/>
      <c r="G9" s="889"/>
      <c r="H9" s="889"/>
      <c r="I9" s="37"/>
      <c r="J9" s="37"/>
      <c r="K9" s="37"/>
      <c r="L9" s="37"/>
      <c r="Q9" s="37"/>
    </row>
    <row r="10" spans="1:17" ht="23.15" customHeight="1">
      <c r="A10" s="37"/>
      <c r="B10" s="37"/>
      <c r="C10" s="37"/>
      <c r="D10" s="37"/>
      <c r="E10" s="36" t="s">
        <v>1187</v>
      </c>
      <c r="F10" s="999" t="e">
        <f>IF(様式４!F10="","",様式４!F10)</f>
        <v>#N/A</v>
      </c>
      <c r="G10" s="999"/>
      <c r="H10" s="999"/>
      <c r="I10" s="37"/>
      <c r="J10" s="37"/>
      <c r="K10" s="37"/>
      <c r="L10" s="37"/>
      <c r="Q10" s="37"/>
    </row>
    <row r="11" spans="1:17" ht="23.15" customHeight="1">
      <c r="A11" s="37"/>
      <c r="B11" s="37"/>
      <c r="C11" s="37"/>
      <c r="D11" s="37"/>
      <c r="E11" s="36" t="s">
        <v>1154</v>
      </c>
      <c r="F11" s="999" t="e">
        <f>VLOOKUP(①基本情報!$Q$5,補助金用基本データ!$B$5:$S$59,17,0)&amp;"　"&amp;VLOOKUP(①基本情報!$Q$5,補助金用基本データ!$B$5:$S$59,18,0)</f>
        <v>#N/A</v>
      </c>
      <c r="G11" s="999"/>
      <c r="H11" s="999"/>
      <c r="I11" s="997"/>
      <c r="J11" s="997"/>
      <c r="K11" s="997"/>
      <c r="L11" s="997"/>
      <c r="Q11" s="37"/>
    </row>
    <row r="12" spans="1:17" ht="23" customHeight="1">
      <c r="A12" s="37"/>
      <c r="B12" s="37"/>
      <c r="C12" s="37"/>
      <c r="D12" s="37"/>
      <c r="E12" s="582" t="s">
        <v>1155</v>
      </c>
      <c r="F12" s="999" t="e">
        <f>IF(様式４!F12="","",様式４!F12)</f>
        <v>#N/A</v>
      </c>
      <c r="G12" s="999"/>
      <c r="H12" s="999"/>
      <c r="J12" s="37" t="s">
        <v>1156</v>
      </c>
      <c r="K12" s="37"/>
      <c r="L12" s="37" t="s">
        <v>861</v>
      </c>
      <c r="Q12" s="37"/>
    </row>
    <row r="13" spans="1:17" ht="23" customHeight="1">
      <c r="A13" s="37"/>
      <c r="B13" s="37"/>
      <c r="C13" s="37"/>
      <c r="D13" s="37"/>
      <c r="E13" s="582" t="s">
        <v>1616</v>
      </c>
      <c r="F13" s="999">
        <f>IF(様式４!F13="","",様式４!F13)</f>
        <v>0</v>
      </c>
      <c r="G13" s="999"/>
      <c r="H13" s="999"/>
      <c r="J13" s="37"/>
      <c r="K13" s="37"/>
      <c r="L13" s="37"/>
      <c r="Q13" s="37"/>
    </row>
    <row r="14" spans="1:17" ht="3" customHeight="1">
      <c r="A14" s="37"/>
      <c r="B14" s="37"/>
      <c r="C14" s="37"/>
      <c r="D14" s="37"/>
      <c r="E14" s="37"/>
      <c r="F14" s="37"/>
      <c r="G14" s="37"/>
      <c r="H14" s="37"/>
      <c r="I14" s="37"/>
      <c r="J14" s="37"/>
      <c r="K14" s="37"/>
      <c r="L14" s="37"/>
      <c r="M14" s="37"/>
      <c r="N14" s="37"/>
      <c r="O14" s="37"/>
      <c r="P14" s="37"/>
      <c r="Q14" s="37"/>
    </row>
    <row r="15" spans="1:17" ht="23.15" customHeight="1">
      <c r="B15" s="1000" t="s">
        <v>1617</v>
      </c>
      <c r="C15" s="1000"/>
      <c r="D15" s="1000"/>
      <c r="E15" s="1000"/>
      <c r="F15" s="1000"/>
      <c r="G15" s="1000"/>
      <c r="H15" s="1000"/>
      <c r="I15" s="37"/>
      <c r="J15" s="37"/>
      <c r="K15" s="37"/>
      <c r="L15" s="37"/>
      <c r="M15" s="37"/>
      <c r="N15" s="37"/>
      <c r="O15" s="37"/>
      <c r="P15" s="37"/>
      <c r="Q15" s="37"/>
    </row>
    <row r="16" spans="1:17" ht="17.25" customHeight="1">
      <c r="B16" s="1000"/>
      <c r="C16" s="1000"/>
      <c r="D16" s="1000"/>
      <c r="E16" s="1000"/>
      <c r="F16" s="1000"/>
      <c r="G16" s="1000"/>
      <c r="H16" s="1000"/>
      <c r="I16" s="37"/>
      <c r="J16" s="37"/>
      <c r="K16" s="37"/>
      <c r="L16" s="37"/>
      <c r="M16" s="37"/>
      <c r="N16" s="37"/>
      <c r="O16" s="37"/>
      <c r="P16" s="37"/>
      <c r="Q16" s="37"/>
    </row>
    <row r="17" spans="1:17" ht="13.5" customHeight="1">
      <c r="A17" s="37"/>
      <c r="B17" s="1000"/>
      <c r="C17" s="1000"/>
      <c r="D17" s="1000"/>
      <c r="E17" s="1000"/>
      <c r="F17" s="1000"/>
      <c r="G17" s="1000"/>
      <c r="H17" s="1000"/>
      <c r="I17" s="37"/>
      <c r="J17" s="37"/>
      <c r="K17" s="37"/>
      <c r="L17" s="37"/>
      <c r="M17" s="37"/>
      <c r="N17" s="37"/>
      <c r="O17" s="37"/>
      <c r="P17" s="37"/>
      <c r="Q17" s="37"/>
    </row>
    <row r="18" spans="1:17" ht="3.75" customHeight="1">
      <c r="A18" s="37"/>
      <c r="B18" s="37"/>
      <c r="C18" s="37"/>
      <c r="D18" s="37"/>
      <c r="E18" s="37"/>
      <c r="F18" s="37"/>
      <c r="G18" s="37"/>
      <c r="H18" s="37"/>
      <c r="I18" s="37"/>
      <c r="J18" s="37"/>
      <c r="K18" s="37"/>
      <c r="L18" s="37"/>
      <c r="M18" s="37"/>
      <c r="N18" s="37"/>
      <c r="O18" s="37"/>
      <c r="P18" s="37"/>
      <c r="Q18" s="37"/>
    </row>
    <row r="19" spans="1:17" ht="23.15" customHeight="1">
      <c r="A19" s="37" t="s">
        <v>1188</v>
      </c>
      <c r="B19" s="37"/>
      <c r="C19" s="37"/>
      <c r="D19" s="37"/>
      <c r="E19" s="218" t="e">
        <f>G57</f>
        <v>#N/A</v>
      </c>
      <c r="F19" s="37"/>
      <c r="G19" s="203" t="s">
        <v>290</v>
      </c>
      <c r="H19" s="203"/>
      <c r="I19" s="37"/>
      <c r="J19" s="899"/>
      <c r="K19" s="899"/>
      <c r="L19" s="899"/>
      <c r="M19" s="899"/>
      <c r="O19" s="37"/>
      <c r="P19" s="37"/>
      <c r="Q19" s="37"/>
    </row>
    <row r="20" spans="1:17" ht="7.5" customHeight="1" thickBot="1">
      <c r="A20" s="37"/>
      <c r="B20" s="37"/>
      <c r="C20" s="37"/>
      <c r="D20" s="37"/>
      <c r="E20" s="37"/>
      <c r="F20" s="37"/>
      <c r="G20" s="37"/>
      <c r="H20" s="37"/>
      <c r="I20" s="37"/>
      <c r="J20" s="37"/>
      <c r="K20" s="37"/>
      <c r="L20" s="37"/>
      <c r="M20" s="37"/>
      <c r="N20" s="37"/>
      <c r="O20" s="37"/>
      <c r="P20" s="37"/>
      <c r="Q20" s="37"/>
    </row>
    <row r="21" spans="1:17" ht="23.15" customHeight="1">
      <c r="A21" s="37"/>
      <c r="B21" s="367" t="s">
        <v>291</v>
      </c>
      <c r="C21" s="386" t="s">
        <v>1189</v>
      </c>
      <c r="D21" s="387"/>
      <c r="E21" s="388" t="s">
        <v>295</v>
      </c>
      <c r="F21" s="387"/>
      <c r="G21" s="389" t="s">
        <v>1190</v>
      </c>
      <c r="H21" s="390"/>
      <c r="I21" s="37"/>
      <c r="J21" s="37"/>
      <c r="K21" s="37"/>
      <c r="L21" s="37"/>
      <c r="M21" s="37"/>
      <c r="N21" s="37"/>
      <c r="O21" s="37"/>
      <c r="P21" s="37"/>
      <c r="Q21" s="37"/>
    </row>
    <row r="22" spans="1:17" ht="12" customHeight="1">
      <c r="A22" s="37"/>
      <c r="B22" s="1021" t="s">
        <v>1191</v>
      </c>
      <c r="C22" s="391"/>
      <c r="D22" s="392"/>
      <c r="E22" s="1024" t="e">
        <f>様式６!E21</f>
        <v>#N/A</v>
      </c>
      <c r="F22" s="393"/>
      <c r="G22" s="35"/>
      <c r="H22" s="394"/>
      <c r="I22" s="37"/>
      <c r="J22" s="37"/>
      <c r="K22" s="37"/>
      <c r="L22" s="37"/>
      <c r="M22" s="37"/>
      <c r="N22" s="37"/>
      <c r="O22" s="37"/>
      <c r="P22" s="37"/>
      <c r="Q22" s="37"/>
    </row>
    <row r="23" spans="1:17" ht="12" customHeight="1">
      <c r="A23" s="37"/>
      <c r="B23" s="1022"/>
      <c r="C23" s="395"/>
      <c r="D23" s="396"/>
      <c r="E23" s="1025"/>
      <c r="F23" s="397"/>
      <c r="G23" s="35"/>
      <c r="H23" s="394"/>
      <c r="I23" s="37"/>
      <c r="J23" s="37"/>
      <c r="K23" s="37"/>
      <c r="L23" s="37"/>
      <c r="M23" s="37"/>
      <c r="N23" s="37"/>
      <c r="O23" s="37"/>
      <c r="P23" s="37"/>
      <c r="Q23" s="37"/>
    </row>
    <row r="24" spans="1:17" ht="12" customHeight="1">
      <c r="A24" s="37"/>
      <c r="B24" s="1022"/>
      <c r="C24" s="1026">
        <f>様式６!G22</f>
        <v>0</v>
      </c>
      <c r="D24" s="37"/>
      <c r="E24" s="1025"/>
      <c r="F24" s="398"/>
      <c r="G24" s="37"/>
      <c r="H24" s="372"/>
      <c r="I24" s="37"/>
      <c r="J24" s="37"/>
      <c r="K24" s="37"/>
      <c r="L24" s="37"/>
      <c r="M24" s="37"/>
      <c r="N24" s="37"/>
      <c r="O24" s="37"/>
      <c r="P24" s="37"/>
      <c r="Q24" s="37"/>
    </row>
    <row r="25" spans="1:17" ht="25" customHeight="1">
      <c r="A25" s="37"/>
      <c r="B25" s="1023"/>
      <c r="C25" s="1019"/>
      <c r="D25" s="374" t="s">
        <v>292</v>
      </c>
      <c r="E25" s="375" t="e">
        <f>様式６!E22</f>
        <v>#N/A</v>
      </c>
      <c r="F25" s="399" t="s">
        <v>292</v>
      </c>
      <c r="G25" s="400" t="e">
        <f>C24-E25</f>
        <v>#N/A</v>
      </c>
      <c r="H25" s="376" t="s">
        <v>292</v>
      </c>
      <c r="I25" s="37"/>
      <c r="J25" s="37"/>
      <c r="K25" s="37"/>
      <c r="L25" s="37"/>
      <c r="M25" s="37"/>
      <c r="N25" s="37"/>
      <c r="O25" s="37"/>
      <c r="P25" s="37"/>
      <c r="Q25" s="37"/>
    </row>
    <row r="26" spans="1:17" ht="12" customHeight="1">
      <c r="A26" s="37"/>
      <c r="B26" s="1021" t="s">
        <v>1162</v>
      </c>
      <c r="C26" s="391"/>
      <c r="D26" s="392"/>
      <c r="E26" s="1024" t="e">
        <f>様式６!E23</f>
        <v>#N/A</v>
      </c>
      <c r="F26" s="393"/>
      <c r="G26" s="35"/>
      <c r="H26" s="394"/>
      <c r="I26" s="37"/>
      <c r="J26" s="37"/>
      <c r="K26" s="37"/>
      <c r="L26" s="37"/>
      <c r="M26" s="37"/>
      <c r="N26" s="37"/>
      <c r="O26" s="37"/>
      <c r="P26" s="37"/>
      <c r="Q26" s="37"/>
    </row>
    <row r="27" spans="1:17" ht="12" customHeight="1">
      <c r="A27" s="37"/>
      <c r="B27" s="1022"/>
      <c r="C27" s="395"/>
      <c r="D27" s="396"/>
      <c r="E27" s="1025"/>
      <c r="F27" s="397"/>
      <c r="G27" s="35"/>
      <c r="H27" s="394"/>
      <c r="I27" s="37"/>
      <c r="J27" s="37"/>
      <c r="K27" s="37"/>
      <c r="L27" s="37"/>
      <c r="M27" s="37"/>
      <c r="N27" s="37"/>
      <c r="O27" s="37"/>
      <c r="P27" s="37"/>
      <c r="Q27" s="37"/>
    </row>
    <row r="28" spans="1:17" ht="12" customHeight="1">
      <c r="A28" s="37"/>
      <c r="B28" s="1022"/>
      <c r="C28" s="1026">
        <f>様式６!G24</f>
        <v>0</v>
      </c>
      <c r="D28" s="37"/>
      <c r="E28" s="1025"/>
      <c r="F28" s="398"/>
      <c r="G28" s="37"/>
      <c r="H28" s="372"/>
      <c r="I28" s="37"/>
      <c r="J28" s="37"/>
      <c r="K28" s="37"/>
      <c r="L28" s="37"/>
      <c r="M28" s="37"/>
      <c r="N28" s="37"/>
      <c r="O28" s="37"/>
      <c r="P28" s="37"/>
      <c r="Q28" s="37"/>
    </row>
    <row r="29" spans="1:17" ht="25" customHeight="1">
      <c r="A29" s="37"/>
      <c r="B29" s="1023"/>
      <c r="C29" s="1019"/>
      <c r="D29" s="374" t="s">
        <v>292</v>
      </c>
      <c r="E29" s="375" t="e">
        <f>様式６!E24</f>
        <v>#N/A</v>
      </c>
      <c r="F29" s="399" t="s">
        <v>292</v>
      </c>
      <c r="G29" s="400" t="e">
        <f>C28-E29</f>
        <v>#N/A</v>
      </c>
      <c r="H29" s="376" t="s">
        <v>292</v>
      </c>
      <c r="I29" s="37"/>
      <c r="J29" s="37"/>
      <c r="K29" s="37"/>
      <c r="L29" s="37"/>
      <c r="M29" s="37"/>
      <c r="N29" s="37"/>
      <c r="O29" s="37"/>
      <c r="P29" s="37"/>
      <c r="Q29" s="37"/>
    </row>
    <row r="30" spans="1:17" ht="12" customHeight="1">
      <c r="A30" s="37"/>
      <c r="B30" s="1021" t="s">
        <v>1192</v>
      </c>
      <c r="C30" s="391"/>
      <c r="D30" s="392"/>
      <c r="E30" s="1024" t="e">
        <f>様式６!E25</f>
        <v>#N/A</v>
      </c>
      <c r="F30" s="393"/>
      <c r="G30" s="35"/>
      <c r="H30" s="394"/>
      <c r="I30" s="37"/>
      <c r="J30" s="37"/>
      <c r="K30" s="37"/>
      <c r="L30" s="37"/>
      <c r="M30" s="37"/>
      <c r="N30" s="37"/>
      <c r="O30" s="37"/>
      <c r="P30" s="37"/>
      <c r="Q30" s="37"/>
    </row>
    <row r="31" spans="1:17" ht="12" customHeight="1">
      <c r="A31" s="37"/>
      <c r="B31" s="1022"/>
      <c r="C31" s="395"/>
      <c r="D31" s="396"/>
      <c r="E31" s="1025"/>
      <c r="F31" s="397"/>
      <c r="G31" s="35"/>
      <c r="H31" s="394"/>
      <c r="I31" s="37"/>
      <c r="J31" s="37"/>
      <c r="K31" s="37"/>
      <c r="L31" s="37"/>
      <c r="M31" s="37"/>
      <c r="N31" s="37"/>
      <c r="O31" s="37"/>
      <c r="P31" s="37"/>
      <c r="Q31" s="37"/>
    </row>
    <row r="32" spans="1:17" ht="12" customHeight="1">
      <c r="A32" s="37"/>
      <c r="B32" s="1022"/>
      <c r="C32" s="1026">
        <f>様式６!G26</f>
        <v>0</v>
      </c>
      <c r="D32" s="37"/>
      <c r="E32" s="1025"/>
      <c r="F32" s="398"/>
      <c r="G32" s="37"/>
      <c r="H32" s="372"/>
      <c r="I32" s="37"/>
      <c r="J32" s="37"/>
      <c r="K32" s="37"/>
      <c r="L32" s="37"/>
      <c r="M32" s="37"/>
      <c r="N32" s="37"/>
      <c r="O32" s="37"/>
      <c r="P32" s="37"/>
      <c r="Q32" s="37"/>
    </row>
    <row r="33" spans="1:17" ht="25" customHeight="1">
      <c r="A33" s="37"/>
      <c r="B33" s="1023"/>
      <c r="C33" s="1019"/>
      <c r="D33" s="65" t="s">
        <v>292</v>
      </c>
      <c r="E33" s="375" t="e">
        <f>様式６!E26</f>
        <v>#N/A</v>
      </c>
      <c r="F33" s="399" t="s">
        <v>292</v>
      </c>
      <c r="G33" s="400" t="e">
        <f>C32-E33</f>
        <v>#N/A</v>
      </c>
      <c r="H33" s="376" t="s">
        <v>292</v>
      </c>
      <c r="I33" s="37"/>
      <c r="J33" s="37"/>
      <c r="K33" s="37"/>
      <c r="L33" s="37"/>
      <c r="M33" s="37"/>
      <c r="N33" s="37"/>
      <c r="O33" s="37"/>
      <c r="P33" s="37"/>
      <c r="Q33" s="37"/>
    </row>
    <row r="34" spans="1:17" ht="12" customHeight="1">
      <c r="A34" s="37"/>
      <c r="B34" s="1021" t="s">
        <v>1164</v>
      </c>
      <c r="C34" s="368"/>
      <c r="D34" s="401"/>
      <c r="E34" s="1024" t="e">
        <f>様式６!E27</f>
        <v>#N/A</v>
      </c>
      <c r="F34" s="393"/>
      <c r="G34" s="35"/>
      <c r="H34" s="394"/>
      <c r="I34" s="37"/>
      <c r="J34" s="37"/>
      <c r="K34" s="37"/>
      <c r="L34" s="37"/>
      <c r="M34" s="37"/>
      <c r="N34" s="37"/>
      <c r="O34" s="37"/>
      <c r="P34" s="37"/>
      <c r="Q34" s="37"/>
    </row>
    <row r="35" spans="1:17" ht="12" customHeight="1">
      <c r="A35" s="37"/>
      <c r="B35" s="1022"/>
      <c r="C35" s="371"/>
      <c r="D35" s="65"/>
      <c r="E35" s="1025"/>
      <c r="F35" s="397"/>
      <c r="G35" s="35"/>
      <c r="H35" s="394"/>
      <c r="I35" s="37"/>
      <c r="J35" s="37"/>
      <c r="K35" s="37"/>
      <c r="L35" s="37"/>
      <c r="M35" s="37"/>
      <c r="N35" s="37"/>
      <c r="O35" s="37"/>
      <c r="P35" s="37"/>
      <c r="Q35" s="37"/>
    </row>
    <row r="36" spans="1:17" ht="12" customHeight="1">
      <c r="A36" s="37"/>
      <c r="B36" s="1022"/>
      <c r="C36" s="1026">
        <f>様式６!G28</f>
        <v>0</v>
      </c>
      <c r="D36" s="37"/>
      <c r="E36" s="1025"/>
      <c r="F36" s="398"/>
      <c r="G36" s="37"/>
      <c r="H36" s="372"/>
      <c r="I36" s="37"/>
      <c r="J36" s="37"/>
      <c r="K36" s="37"/>
      <c r="L36" s="37"/>
      <c r="M36" s="37"/>
      <c r="N36" s="37"/>
      <c r="O36" s="37"/>
      <c r="P36" s="37"/>
      <c r="Q36" s="37"/>
    </row>
    <row r="37" spans="1:17" ht="25" customHeight="1">
      <c r="A37" s="37"/>
      <c r="B37" s="1023"/>
      <c r="C37" s="1019"/>
      <c r="D37" s="374" t="s">
        <v>292</v>
      </c>
      <c r="E37" s="375" t="e">
        <f>様式６!E28</f>
        <v>#N/A</v>
      </c>
      <c r="F37" s="399" t="s">
        <v>292</v>
      </c>
      <c r="G37" s="400" t="e">
        <f>C36-E37</f>
        <v>#N/A</v>
      </c>
      <c r="H37" s="376" t="s">
        <v>292</v>
      </c>
      <c r="I37" s="37"/>
      <c r="J37" s="37"/>
      <c r="K37" s="37"/>
      <c r="L37" s="37"/>
      <c r="M37" s="37"/>
      <c r="N37" s="37"/>
      <c r="O37" s="37"/>
      <c r="P37" s="37"/>
      <c r="Q37" s="37"/>
    </row>
    <row r="38" spans="1:17" ht="12" customHeight="1">
      <c r="A38" s="37"/>
      <c r="B38" s="1027" t="s">
        <v>1193</v>
      </c>
      <c r="C38" s="368"/>
      <c r="D38" s="402"/>
      <c r="E38" s="1024" t="e">
        <f>様式６!E29</f>
        <v>#N/A</v>
      </c>
      <c r="F38" s="393"/>
      <c r="G38" s="218"/>
      <c r="H38" s="403"/>
      <c r="I38" s="37"/>
      <c r="J38" s="37"/>
      <c r="K38" s="37"/>
      <c r="L38" s="37"/>
      <c r="M38" s="37"/>
      <c r="N38" s="37"/>
      <c r="O38" s="37"/>
      <c r="P38" s="37"/>
      <c r="Q38" s="37"/>
    </row>
    <row r="39" spans="1:17" ht="12" customHeight="1">
      <c r="A39" s="37"/>
      <c r="B39" s="1022"/>
      <c r="C39" s="371"/>
      <c r="D39" s="404"/>
      <c r="E39" s="1025"/>
      <c r="F39" s="397"/>
      <c r="G39" s="218"/>
      <c r="H39" s="403"/>
      <c r="I39" s="37"/>
      <c r="J39" s="37"/>
      <c r="K39" s="37"/>
      <c r="L39" s="37"/>
      <c r="M39" s="37"/>
      <c r="N39" s="37"/>
      <c r="O39" s="37"/>
      <c r="P39" s="37"/>
      <c r="Q39" s="37"/>
    </row>
    <row r="40" spans="1:17" ht="12" customHeight="1">
      <c r="A40" s="37"/>
      <c r="B40" s="1022"/>
      <c r="C40" s="1026">
        <f>様式６!G30</f>
        <v>0</v>
      </c>
      <c r="D40" s="405"/>
      <c r="E40" s="1025"/>
      <c r="F40" s="398"/>
      <c r="G40" s="37"/>
      <c r="H40" s="372"/>
      <c r="I40" s="37"/>
      <c r="J40" s="37"/>
      <c r="K40" s="37"/>
      <c r="L40" s="37"/>
      <c r="M40" s="37"/>
      <c r="N40" s="37"/>
      <c r="O40" s="37"/>
      <c r="P40" s="37"/>
      <c r="Q40" s="37"/>
    </row>
    <row r="41" spans="1:17" ht="25" customHeight="1">
      <c r="A41" s="37"/>
      <c r="B41" s="1023"/>
      <c r="C41" s="1019"/>
      <c r="D41" s="399" t="s">
        <v>292</v>
      </c>
      <c r="E41" s="375" t="e">
        <f>様式６!E30</f>
        <v>#N/A</v>
      </c>
      <c r="F41" s="399" t="s">
        <v>292</v>
      </c>
      <c r="G41" s="400" t="e">
        <f>C40-E41</f>
        <v>#N/A</v>
      </c>
      <c r="H41" s="376" t="s">
        <v>292</v>
      </c>
      <c r="I41" s="37"/>
      <c r="J41" s="37"/>
      <c r="K41" s="37"/>
      <c r="L41" s="37"/>
      <c r="M41" s="37"/>
      <c r="N41" s="37"/>
      <c r="O41" s="37"/>
      <c r="P41" s="37"/>
      <c r="Q41" s="37"/>
    </row>
    <row r="42" spans="1:17" ht="12" customHeight="1">
      <c r="A42" s="37"/>
      <c r="B42" s="1028" t="s">
        <v>1194</v>
      </c>
      <c r="C42" s="406"/>
      <c r="D42" s="65"/>
      <c r="E42" s="1024" t="e">
        <f>様式６!E31</f>
        <v>#N/A</v>
      </c>
      <c r="F42" s="393"/>
      <c r="G42" s="218"/>
      <c r="H42" s="403"/>
      <c r="I42" s="37"/>
      <c r="J42" s="37"/>
      <c r="K42" s="37"/>
      <c r="L42" s="37"/>
      <c r="M42" s="37"/>
      <c r="N42" s="37"/>
      <c r="O42" s="37"/>
      <c r="P42" s="37"/>
      <c r="Q42" s="37"/>
    </row>
    <row r="43" spans="1:17" ht="12" customHeight="1">
      <c r="A43" s="37"/>
      <c r="B43" s="1029"/>
      <c r="C43" s="406"/>
      <c r="D43" s="65"/>
      <c r="E43" s="1025"/>
      <c r="F43" s="397"/>
      <c r="G43" s="218"/>
      <c r="H43" s="403"/>
      <c r="I43" s="37"/>
      <c r="J43" s="37"/>
      <c r="K43" s="37"/>
      <c r="L43" s="37"/>
      <c r="M43" s="37"/>
      <c r="N43" s="37"/>
      <c r="O43" s="37"/>
      <c r="P43" s="37"/>
      <c r="Q43" s="37"/>
    </row>
    <row r="44" spans="1:17" ht="12" customHeight="1">
      <c r="A44" s="37"/>
      <c r="B44" s="1029"/>
      <c r="C44" s="1026">
        <f>様式６!G32</f>
        <v>0</v>
      </c>
      <c r="D44" s="37"/>
      <c r="E44" s="1025"/>
      <c r="F44" s="398"/>
      <c r="G44" s="37"/>
      <c r="H44" s="372"/>
      <c r="I44" s="37"/>
      <c r="J44" s="37"/>
      <c r="K44" s="37"/>
      <c r="L44" s="37"/>
      <c r="M44" s="37"/>
      <c r="N44" s="37"/>
      <c r="O44" s="37"/>
      <c r="P44" s="37"/>
      <c r="Q44" s="37"/>
    </row>
    <row r="45" spans="1:17" ht="25" customHeight="1">
      <c r="A45" s="37"/>
      <c r="B45" s="1030"/>
      <c r="C45" s="1019"/>
      <c r="D45" s="399" t="s">
        <v>292</v>
      </c>
      <c r="E45" s="375" t="e">
        <f>様式６!E32</f>
        <v>#N/A</v>
      </c>
      <c r="F45" s="399" t="s">
        <v>292</v>
      </c>
      <c r="G45" s="400" t="e">
        <f>C44-E45</f>
        <v>#N/A</v>
      </c>
      <c r="H45" s="376" t="s">
        <v>292</v>
      </c>
      <c r="I45" s="37"/>
      <c r="J45" s="37"/>
      <c r="K45" s="37"/>
      <c r="L45" s="37"/>
      <c r="M45" s="37"/>
      <c r="N45" s="37"/>
      <c r="O45" s="37"/>
      <c r="P45" s="37"/>
      <c r="Q45" s="37"/>
    </row>
    <row r="46" spans="1:17" ht="12" customHeight="1">
      <c r="A46" s="37"/>
      <c r="B46" s="1028" t="s">
        <v>1195</v>
      </c>
      <c r="C46" s="406"/>
      <c r="D46" s="65"/>
      <c r="E46" s="1024" t="e">
        <f>様式６!E37</f>
        <v>#N/A</v>
      </c>
      <c r="F46" s="393"/>
      <c r="G46" s="218"/>
      <c r="H46" s="403"/>
      <c r="I46" s="37"/>
      <c r="J46" s="37"/>
      <c r="K46" s="37"/>
      <c r="L46" s="37"/>
      <c r="M46" s="37"/>
      <c r="N46" s="37"/>
      <c r="O46" s="37"/>
      <c r="P46" s="37"/>
      <c r="Q46" s="37"/>
    </row>
    <row r="47" spans="1:17" ht="12" customHeight="1">
      <c r="A47" s="37"/>
      <c r="B47" s="1029"/>
      <c r="C47" s="406"/>
      <c r="D47" s="65"/>
      <c r="E47" s="1025"/>
      <c r="F47" s="397"/>
      <c r="G47" s="218"/>
      <c r="H47" s="403"/>
      <c r="I47" s="37"/>
      <c r="J47" s="37"/>
      <c r="K47" s="37"/>
      <c r="L47" s="37"/>
      <c r="M47" s="37"/>
      <c r="N47" s="37"/>
      <c r="O47" s="37"/>
      <c r="P47" s="37"/>
      <c r="Q47" s="37"/>
    </row>
    <row r="48" spans="1:17" ht="12" customHeight="1">
      <c r="A48" s="37"/>
      <c r="B48" s="1029"/>
      <c r="C48" s="1026">
        <f>様式６!G34</f>
        <v>0</v>
      </c>
      <c r="D48" s="37"/>
      <c r="E48" s="1025"/>
      <c r="F48" s="398"/>
      <c r="G48" s="37"/>
      <c r="H48" s="372"/>
      <c r="I48" s="37"/>
      <c r="J48" s="37"/>
      <c r="K48" s="37"/>
      <c r="L48" s="37"/>
      <c r="M48" s="37"/>
      <c r="N48" s="37"/>
      <c r="O48" s="37"/>
      <c r="P48" s="37"/>
      <c r="Q48" s="37"/>
    </row>
    <row r="49" spans="1:17" ht="25" customHeight="1">
      <c r="A49" s="37"/>
      <c r="B49" s="1030"/>
      <c r="C49" s="1019"/>
      <c r="D49" s="399" t="s">
        <v>292</v>
      </c>
      <c r="E49" s="375" t="e">
        <f>様式６!E34</f>
        <v>#N/A</v>
      </c>
      <c r="F49" s="399" t="s">
        <v>292</v>
      </c>
      <c r="G49" s="400" t="e">
        <f>C48-E49</f>
        <v>#N/A</v>
      </c>
      <c r="H49" s="376" t="s">
        <v>292</v>
      </c>
      <c r="I49" s="37"/>
      <c r="J49" s="37"/>
      <c r="K49" s="37"/>
      <c r="L49" s="37"/>
      <c r="M49" s="37"/>
      <c r="N49" s="37"/>
      <c r="O49" s="37"/>
      <c r="P49" s="37"/>
      <c r="Q49" s="37"/>
    </row>
    <row r="50" spans="1:17" ht="12" customHeight="1">
      <c r="A50" s="37"/>
      <c r="B50" s="1028" t="s">
        <v>1615</v>
      </c>
      <c r="C50" s="406"/>
      <c r="D50" s="65"/>
      <c r="E50" s="1024" t="e">
        <f>様式６!E35</f>
        <v>#N/A</v>
      </c>
      <c r="F50" s="393"/>
      <c r="G50" s="218"/>
      <c r="H50" s="403"/>
      <c r="I50" s="37"/>
      <c r="J50" s="37"/>
      <c r="K50" s="37"/>
      <c r="L50" s="37"/>
      <c r="M50" s="37"/>
      <c r="N50" s="37"/>
      <c r="O50" s="37"/>
      <c r="P50" s="37"/>
      <c r="Q50" s="37"/>
    </row>
    <row r="51" spans="1:17" ht="12" customHeight="1">
      <c r="A51" s="37"/>
      <c r="B51" s="1029"/>
      <c r="C51" s="406"/>
      <c r="D51" s="65"/>
      <c r="E51" s="1025"/>
      <c r="F51" s="397"/>
      <c r="G51" s="218"/>
      <c r="H51" s="403"/>
      <c r="I51" s="37"/>
      <c r="J51" s="37"/>
      <c r="K51" s="37"/>
      <c r="L51" s="37"/>
      <c r="M51" s="37"/>
      <c r="N51" s="37"/>
      <c r="O51" s="37"/>
      <c r="P51" s="37"/>
      <c r="Q51" s="37"/>
    </row>
    <row r="52" spans="1:17" ht="12" customHeight="1">
      <c r="A52" s="37"/>
      <c r="B52" s="1029"/>
      <c r="C52" s="1026">
        <f>様式６!G36</f>
        <v>0</v>
      </c>
      <c r="D52" s="37"/>
      <c r="E52" s="1025"/>
      <c r="F52" s="398"/>
      <c r="G52" s="37"/>
      <c r="H52" s="372"/>
      <c r="I52" s="37"/>
      <c r="J52" s="37"/>
      <c r="K52" s="37"/>
      <c r="L52" s="37"/>
      <c r="M52" s="37"/>
      <c r="N52" s="37"/>
      <c r="O52" s="37"/>
      <c r="P52" s="37"/>
      <c r="Q52" s="37"/>
    </row>
    <row r="53" spans="1:17" ht="25" customHeight="1">
      <c r="A53" s="37"/>
      <c r="B53" s="1030"/>
      <c r="C53" s="1019"/>
      <c r="D53" s="399" t="s">
        <v>292</v>
      </c>
      <c r="E53" s="375">
        <f>様式６!E36</f>
        <v>0</v>
      </c>
      <c r="F53" s="399" t="s">
        <v>292</v>
      </c>
      <c r="G53" s="400">
        <f>C52-E53</f>
        <v>0</v>
      </c>
      <c r="H53" s="376" t="s">
        <v>292</v>
      </c>
      <c r="I53" s="37"/>
      <c r="J53" s="37"/>
      <c r="K53" s="37"/>
      <c r="L53" s="37"/>
      <c r="M53" s="37"/>
      <c r="N53" s="37"/>
      <c r="O53" s="37"/>
      <c r="P53" s="37"/>
      <c r="Q53" s="37"/>
    </row>
    <row r="54" spans="1:17" ht="12" customHeight="1">
      <c r="A54" s="37"/>
      <c r="B54" s="1028" t="s">
        <v>293</v>
      </c>
      <c r="C54" s="371"/>
      <c r="D54" s="65"/>
      <c r="E54" s="1024" t="e">
        <f>E38</f>
        <v>#N/A</v>
      </c>
      <c r="F54" s="393"/>
      <c r="G54" s="218"/>
      <c r="H54" s="403"/>
      <c r="I54" s="37"/>
      <c r="J54" s="37"/>
      <c r="K54" s="37"/>
      <c r="L54" s="37"/>
      <c r="M54" s="37"/>
      <c r="N54" s="37"/>
      <c r="O54" s="37"/>
      <c r="P54" s="37"/>
      <c r="Q54" s="37"/>
    </row>
    <row r="55" spans="1:17" ht="12" customHeight="1">
      <c r="A55" s="37"/>
      <c r="B55" s="1029"/>
      <c r="C55" s="371"/>
      <c r="D55" s="65"/>
      <c r="E55" s="1025"/>
      <c r="F55" s="397"/>
      <c r="G55" s="218"/>
      <c r="H55" s="403"/>
      <c r="I55" s="37"/>
      <c r="J55" s="37"/>
      <c r="K55" s="37"/>
      <c r="L55" s="37"/>
      <c r="M55" s="37"/>
      <c r="N55" s="37"/>
      <c r="O55" s="37"/>
      <c r="P55" s="37"/>
      <c r="Q55" s="37"/>
    </row>
    <row r="56" spans="1:17" ht="12" customHeight="1">
      <c r="A56" s="37"/>
      <c r="B56" s="1029"/>
      <c r="C56" s="1026">
        <f>SUM(C24,C28,C32,C36,C40,C44,C48,C52)</f>
        <v>0</v>
      </c>
      <c r="D56" s="37"/>
      <c r="E56" s="1025"/>
      <c r="F56" s="398"/>
      <c r="G56" s="37"/>
      <c r="H56" s="372"/>
      <c r="I56" s="37"/>
      <c r="J56" s="37"/>
      <c r="K56" s="37"/>
      <c r="L56" s="37"/>
      <c r="M56" s="37"/>
      <c r="N56" s="37"/>
      <c r="O56" s="37"/>
      <c r="P56" s="37"/>
      <c r="Q56" s="37"/>
    </row>
    <row r="57" spans="1:17" ht="27" customHeight="1" thickBot="1">
      <c r="A57" s="37"/>
      <c r="B57" s="1031"/>
      <c r="C57" s="1020"/>
      <c r="D57" s="380" t="s">
        <v>292</v>
      </c>
      <c r="E57" s="381" t="e">
        <f>様式６!E38</f>
        <v>#N/A</v>
      </c>
      <c r="F57" s="385" t="s">
        <v>292</v>
      </c>
      <c r="G57" s="407" t="e">
        <f>C56-E57</f>
        <v>#N/A</v>
      </c>
      <c r="H57" s="382" t="s">
        <v>292</v>
      </c>
      <c r="I57" s="37"/>
      <c r="J57" s="37"/>
      <c r="K57" s="37"/>
      <c r="L57" s="37"/>
      <c r="M57" s="37"/>
      <c r="N57" s="37"/>
      <c r="O57" s="37"/>
      <c r="P57" s="37"/>
      <c r="Q57" s="37"/>
    </row>
  </sheetData>
  <sheetProtection algorithmName="SHA-512" hashValue="HH1K3eir/NKD56Fh3SK1R0NOGRXHcIqdU7nryYHS3I9M+hgiCeXmgR8rwxua+pfYyt5mZg6B6V826lyHen7ZVA==" saltValue="xIYYiZ5jhzmWcNW/ga211g==" spinCount="100000" sheet="1" selectLockedCells="1"/>
  <mergeCells count="37">
    <mergeCell ref="B50:B53"/>
    <mergeCell ref="E50:E52"/>
    <mergeCell ref="C52:C53"/>
    <mergeCell ref="B54:B57"/>
    <mergeCell ref="E54:E56"/>
    <mergeCell ref="C56:C57"/>
    <mergeCell ref="B42:B45"/>
    <mergeCell ref="E42:E44"/>
    <mergeCell ref="C44:C45"/>
    <mergeCell ref="B46:B49"/>
    <mergeCell ref="E46:E48"/>
    <mergeCell ref="C48:C49"/>
    <mergeCell ref="B34:B37"/>
    <mergeCell ref="E34:E36"/>
    <mergeCell ref="C36:C37"/>
    <mergeCell ref="B38:B41"/>
    <mergeCell ref="E38:E40"/>
    <mergeCell ref="C40:C41"/>
    <mergeCell ref="B26:B29"/>
    <mergeCell ref="E26:E28"/>
    <mergeCell ref="C28:C29"/>
    <mergeCell ref="B30:B33"/>
    <mergeCell ref="E30:E32"/>
    <mergeCell ref="C32:C33"/>
    <mergeCell ref="F12:H12"/>
    <mergeCell ref="B15:H17"/>
    <mergeCell ref="J19:M19"/>
    <mergeCell ref="B22:B25"/>
    <mergeCell ref="E22:E24"/>
    <mergeCell ref="C24:C25"/>
    <mergeCell ref="F13:H13"/>
    <mergeCell ref="I11:L11"/>
    <mergeCell ref="C4:E4"/>
    <mergeCell ref="C5:E5"/>
    <mergeCell ref="F7:H9"/>
    <mergeCell ref="F10:H10"/>
    <mergeCell ref="F11:H11"/>
  </mergeCells>
  <phoneticPr fontId="1"/>
  <conditionalFormatting sqref="F7:H7 F10:H11">
    <cfRule type="containsBlanks" dxfId="2" priority="2">
      <formula>LEN(TRIM(F7))=0</formula>
    </cfRule>
  </conditionalFormatting>
  <conditionalFormatting sqref="G2">
    <cfRule type="containsBlanks" dxfId="1" priority="1">
      <formula>LEN(TRIM(G2))=0</formula>
    </cfRule>
  </conditionalFormatting>
  <dataValidations count="1">
    <dataValidation type="date" operator="notEqual" allowBlank="1" showInputMessage="1" showErrorMessage="1" sqref="G2" xr:uid="{676FFAA7-6B13-4790-AE56-6E382E1A751D}">
      <formula1>92</formula1>
    </dataValidation>
  </dataValidations>
  <pageMargins left="0.78740157480314965" right="0.78740157480314965" top="0.98425196850393704" bottom="0.98425196850393704" header="0.51181102362204722" footer="0.51181102362204722"/>
  <pageSetup paperSize="9" scale="72" orientation="portrait" blackAndWhite="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1315C-07A8-43E8-8657-9079E86E2CC1}">
  <sheetPr>
    <tabColor rgb="FF7030A0"/>
  </sheetPr>
  <dimension ref="A1:AA30"/>
  <sheetViews>
    <sheetView view="pageBreakPreview" zoomScale="80" zoomScaleNormal="70" zoomScaleSheetLayoutView="80" workbookViewId="0">
      <selection activeCell="C10" sqref="C10:D12"/>
    </sheetView>
  </sheetViews>
  <sheetFormatPr defaultColWidth="3.33203125" defaultRowHeight="14"/>
  <cols>
    <col min="1" max="1" width="22.5" style="408" customWidth="1"/>
    <col min="2" max="3" width="19.75" style="408" customWidth="1"/>
    <col min="4" max="4" width="26.83203125" style="408" customWidth="1"/>
    <col min="5" max="5" width="3.58203125" style="408" customWidth="1"/>
    <col min="6" max="6" width="14.75" style="408" bestFit="1" customWidth="1"/>
    <col min="7" max="7" width="10.5" style="408" customWidth="1"/>
    <col min="8" max="8" width="11.33203125" style="408" bestFit="1" customWidth="1"/>
    <col min="9" max="238" width="3.33203125" style="408"/>
    <col min="239" max="260" width="3.83203125" style="408" customWidth="1"/>
    <col min="261" max="261" width="3.58203125" style="408" customWidth="1"/>
    <col min="262" max="494" width="3.33203125" style="408"/>
    <col min="495" max="516" width="3.83203125" style="408" customWidth="1"/>
    <col min="517" max="517" width="3.58203125" style="408" customWidth="1"/>
    <col min="518" max="750" width="3.33203125" style="408"/>
    <col min="751" max="772" width="3.83203125" style="408" customWidth="1"/>
    <col min="773" max="773" width="3.58203125" style="408" customWidth="1"/>
    <col min="774" max="1006" width="3.33203125" style="408"/>
    <col min="1007" max="1028" width="3.83203125" style="408" customWidth="1"/>
    <col min="1029" max="1029" width="3.58203125" style="408" customWidth="1"/>
    <col min="1030" max="1262" width="3.33203125" style="408"/>
    <col min="1263" max="1284" width="3.83203125" style="408" customWidth="1"/>
    <col min="1285" max="1285" width="3.58203125" style="408" customWidth="1"/>
    <col min="1286" max="1518" width="3.33203125" style="408"/>
    <col min="1519" max="1540" width="3.83203125" style="408" customWidth="1"/>
    <col min="1541" max="1541" width="3.58203125" style="408" customWidth="1"/>
    <col min="1542" max="1774" width="3.33203125" style="408"/>
    <col min="1775" max="1796" width="3.83203125" style="408" customWidth="1"/>
    <col min="1797" max="1797" width="3.58203125" style="408" customWidth="1"/>
    <col min="1798" max="2030" width="3.33203125" style="408"/>
    <col min="2031" max="2052" width="3.83203125" style="408" customWidth="1"/>
    <col min="2053" max="2053" width="3.58203125" style="408" customWidth="1"/>
    <col min="2054" max="2286" width="3.33203125" style="408"/>
    <col min="2287" max="2308" width="3.83203125" style="408" customWidth="1"/>
    <col min="2309" max="2309" width="3.58203125" style="408" customWidth="1"/>
    <col min="2310" max="2542" width="3.33203125" style="408"/>
    <col min="2543" max="2564" width="3.83203125" style="408" customWidth="1"/>
    <col min="2565" max="2565" width="3.58203125" style="408" customWidth="1"/>
    <col min="2566" max="2798" width="3.33203125" style="408"/>
    <col min="2799" max="2820" width="3.83203125" style="408" customWidth="1"/>
    <col min="2821" max="2821" width="3.58203125" style="408" customWidth="1"/>
    <col min="2822" max="3054" width="3.33203125" style="408"/>
    <col min="3055" max="3076" width="3.83203125" style="408" customWidth="1"/>
    <col min="3077" max="3077" width="3.58203125" style="408" customWidth="1"/>
    <col min="3078" max="3310" width="3.33203125" style="408"/>
    <col min="3311" max="3332" width="3.83203125" style="408" customWidth="1"/>
    <col min="3333" max="3333" width="3.58203125" style="408" customWidth="1"/>
    <col min="3334" max="3566" width="3.33203125" style="408"/>
    <col min="3567" max="3588" width="3.83203125" style="408" customWidth="1"/>
    <col min="3589" max="3589" width="3.58203125" style="408" customWidth="1"/>
    <col min="3590" max="3822" width="3.33203125" style="408"/>
    <col min="3823" max="3844" width="3.83203125" style="408" customWidth="1"/>
    <col min="3845" max="3845" width="3.58203125" style="408" customWidth="1"/>
    <col min="3846" max="4078" width="3.33203125" style="408"/>
    <col min="4079" max="4100" width="3.83203125" style="408" customWidth="1"/>
    <col min="4101" max="4101" width="3.58203125" style="408" customWidth="1"/>
    <col min="4102" max="4334" width="3.33203125" style="408"/>
    <col min="4335" max="4356" width="3.83203125" style="408" customWidth="1"/>
    <col min="4357" max="4357" width="3.58203125" style="408" customWidth="1"/>
    <col min="4358" max="4590" width="3.33203125" style="408"/>
    <col min="4591" max="4612" width="3.83203125" style="408" customWidth="1"/>
    <col min="4613" max="4613" width="3.58203125" style="408" customWidth="1"/>
    <col min="4614" max="4846" width="3.33203125" style="408"/>
    <col min="4847" max="4868" width="3.83203125" style="408" customWidth="1"/>
    <col min="4869" max="4869" width="3.58203125" style="408" customWidth="1"/>
    <col min="4870" max="5102" width="3.33203125" style="408"/>
    <col min="5103" max="5124" width="3.83203125" style="408" customWidth="1"/>
    <col min="5125" max="5125" width="3.58203125" style="408" customWidth="1"/>
    <col min="5126" max="5358" width="3.33203125" style="408"/>
    <col min="5359" max="5380" width="3.83203125" style="408" customWidth="1"/>
    <col min="5381" max="5381" width="3.58203125" style="408" customWidth="1"/>
    <col min="5382" max="5614" width="3.33203125" style="408"/>
    <col min="5615" max="5636" width="3.83203125" style="408" customWidth="1"/>
    <col min="5637" max="5637" width="3.58203125" style="408" customWidth="1"/>
    <col min="5638" max="5870" width="3.33203125" style="408"/>
    <col min="5871" max="5892" width="3.83203125" style="408" customWidth="1"/>
    <col min="5893" max="5893" width="3.58203125" style="408" customWidth="1"/>
    <col min="5894" max="6126" width="3.33203125" style="408"/>
    <col min="6127" max="6148" width="3.83203125" style="408" customWidth="1"/>
    <col min="6149" max="6149" width="3.58203125" style="408" customWidth="1"/>
    <col min="6150" max="6382" width="3.33203125" style="408"/>
    <col min="6383" max="6404" width="3.83203125" style="408" customWidth="1"/>
    <col min="6405" max="6405" width="3.58203125" style="408" customWidth="1"/>
    <col min="6406" max="6638" width="3.33203125" style="408"/>
    <col min="6639" max="6660" width="3.83203125" style="408" customWidth="1"/>
    <col min="6661" max="6661" width="3.58203125" style="408" customWidth="1"/>
    <col min="6662" max="6894" width="3.33203125" style="408"/>
    <col min="6895" max="6916" width="3.83203125" style="408" customWidth="1"/>
    <col min="6917" max="6917" width="3.58203125" style="408" customWidth="1"/>
    <col min="6918" max="7150" width="3.33203125" style="408"/>
    <col min="7151" max="7172" width="3.83203125" style="408" customWidth="1"/>
    <col min="7173" max="7173" width="3.58203125" style="408" customWidth="1"/>
    <col min="7174" max="7406" width="3.33203125" style="408"/>
    <col min="7407" max="7428" width="3.83203125" style="408" customWidth="1"/>
    <col min="7429" max="7429" width="3.58203125" style="408" customWidth="1"/>
    <col min="7430" max="7662" width="3.33203125" style="408"/>
    <col min="7663" max="7684" width="3.83203125" style="408" customWidth="1"/>
    <col min="7685" max="7685" width="3.58203125" style="408" customWidth="1"/>
    <col min="7686" max="7918" width="3.33203125" style="408"/>
    <col min="7919" max="7940" width="3.83203125" style="408" customWidth="1"/>
    <col min="7941" max="7941" width="3.58203125" style="408" customWidth="1"/>
    <col min="7942" max="8174" width="3.33203125" style="408"/>
    <col min="8175" max="8196" width="3.83203125" style="408" customWidth="1"/>
    <col min="8197" max="8197" width="3.58203125" style="408" customWidth="1"/>
    <col min="8198" max="8430" width="3.33203125" style="408"/>
    <col min="8431" max="8452" width="3.83203125" style="408" customWidth="1"/>
    <col min="8453" max="8453" width="3.58203125" style="408" customWidth="1"/>
    <col min="8454" max="8686" width="3.33203125" style="408"/>
    <col min="8687" max="8708" width="3.83203125" style="408" customWidth="1"/>
    <col min="8709" max="8709" width="3.58203125" style="408" customWidth="1"/>
    <col min="8710" max="8942" width="3.33203125" style="408"/>
    <col min="8943" max="8964" width="3.83203125" style="408" customWidth="1"/>
    <col min="8965" max="8965" width="3.58203125" style="408" customWidth="1"/>
    <col min="8966" max="9198" width="3.33203125" style="408"/>
    <col min="9199" max="9220" width="3.83203125" style="408" customWidth="1"/>
    <col min="9221" max="9221" width="3.58203125" style="408" customWidth="1"/>
    <col min="9222" max="9454" width="3.33203125" style="408"/>
    <col min="9455" max="9476" width="3.83203125" style="408" customWidth="1"/>
    <col min="9477" max="9477" width="3.58203125" style="408" customWidth="1"/>
    <col min="9478" max="9710" width="3.33203125" style="408"/>
    <col min="9711" max="9732" width="3.83203125" style="408" customWidth="1"/>
    <col min="9733" max="9733" width="3.58203125" style="408" customWidth="1"/>
    <col min="9734" max="9966" width="3.33203125" style="408"/>
    <col min="9967" max="9988" width="3.83203125" style="408" customWidth="1"/>
    <col min="9989" max="9989" width="3.58203125" style="408" customWidth="1"/>
    <col min="9990" max="10222" width="3.33203125" style="408"/>
    <col min="10223" max="10244" width="3.83203125" style="408" customWidth="1"/>
    <col min="10245" max="10245" width="3.58203125" style="408" customWidth="1"/>
    <col min="10246" max="10478" width="3.33203125" style="408"/>
    <col min="10479" max="10500" width="3.83203125" style="408" customWidth="1"/>
    <col min="10501" max="10501" width="3.58203125" style="408" customWidth="1"/>
    <col min="10502" max="10734" width="3.33203125" style="408"/>
    <col min="10735" max="10756" width="3.83203125" style="408" customWidth="1"/>
    <col min="10757" max="10757" width="3.58203125" style="408" customWidth="1"/>
    <col min="10758" max="10990" width="3.33203125" style="408"/>
    <col min="10991" max="11012" width="3.83203125" style="408" customWidth="1"/>
    <col min="11013" max="11013" width="3.58203125" style="408" customWidth="1"/>
    <col min="11014" max="11246" width="3.33203125" style="408"/>
    <col min="11247" max="11268" width="3.83203125" style="408" customWidth="1"/>
    <col min="11269" max="11269" width="3.58203125" style="408" customWidth="1"/>
    <col min="11270" max="11502" width="3.33203125" style="408"/>
    <col min="11503" max="11524" width="3.83203125" style="408" customWidth="1"/>
    <col min="11525" max="11525" width="3.58203125" style="408" customWidth="1"/>
    <col min="11526" max="11758" width="3.33203125" style="408"/>
    <col min="11759" max="11780" width="3.83203125" style="408" customWidth="1"/>
    <col min="11781" max="11781" width="3.58203125" style="408" customWidth="1"/>
    <col min="11782" max="12014" width="3.33203125" style="408"/>
    <col min="12015" max="12036" width="3.83203125" style="408" customWidth="1"/>
    <col min="12037" max="12037" width="3.58203125" style="408" customWidth="1"/>
    <col min="12038" max="12270" width="3.33203125" style="408"/>
    <col min="12271" max="12292" width="3.83203125" style="408" customWidth="1"/>
    <col min="12293" max="12293" width="3.58203125" style="408" customWidth="1"/>
    <col min="12294" max="12526" width="3.33203125" style="408"/>
    <col min="12527" max="12548" width="3.83203125" style="408" customWidth="1"/>
    <col min="12549" max="12549" width="3.58203125" style="408" customWidth="1"/>
    <col min="12550" max="12782" width="3.33203125" style="408"/>
    <col min="12783" max="12804" width="3.83203125" style="408" customWidth="1"/>
    <col min="12805" max="12805" width="3.58203125" style="408" customWidth="1"/>
    <col min="12806" max="13038" width="3.33203125" style="408"/>
    <col min="13039" max="13060" width="3.83203125" style="408" customWidth="1"/>
    <col min="13061" max="13061" width="3.58203125" style="408" customWidth="1"/>
    <col min="13062" max="13294" width="3.33203125" style="408"/>
    <col min="13295" max="13316" width="3.83203125" style="408" customWidth="1"/>
    <col min="13317" max="13317" width="3.58203125" style="408" customWidth="1"/>
    <col min="13318" max="13550" width="3.33203125" style="408"/>
    <col min="13551" max="13572" width="3.83203125" style="408" customWidth="1"/>
    <col min="13573" max="13573" width="3.58203125" style="408" customWidth="1"/>
    <col min="13574" max="13806" width="3.33203125" style="408"/>
    <col min="13807" max="13828" width="3.83203125" style="408" customWidth="1"/>
    <col min="13829" max="13829" width="3.58203125" style="408" customWidth="1"/>
    <col min="13830" max="14062" width="3.33203125" style="408"/>
    <col min="14063" max="14084" width="3.83203125" style="408" customWidth="1"/>
    <col min="14085" max="14085" width="3.58203125" style="408" customWidth="1"/>
    <col min="14086" max="14318" width="3.33203125" style="408"/>
    <col min="14319" max="14340" width="3.83203125" style="408" customWidth="1"/>
    <col min="14341" max="14341" width="3.58203125" style="408" customWidth="1"/>
    <col min="14342" max="14574" width="3.33203125" style="408"/>
    <col min="14575" max="14596" width="3.83203125" style="408" customWidth="1"/>
    <col min="14597" max="14597" width="3.58203125" style="408" customWidth="1"/>
    <col min="14598" max="14830" width="3.33203125" style="408"/>
    <col min="14831" max="14852" width="3.83203125" style="408" customWidth="1"/>
    <col min="14853" max="14853" width="3.58203125" style="408" customWidth="1"/>
    <col min="14854" max="15086" width="3.33203125" style="408"/>
    <col min="15087" max="15108" width="3.83203125" style="408" customWidth="1"/>
    <col min="15109" max="15109" width="3.58203125" style="408" customWidth="1"/>
    <col min="15110" max="15342" width="3.33203125" style="408"/>
    <col min="15343" max="15364" width="3.83203125" style="408" customWidth="1"/>
    <col min="15365" max="15365" width="3.58203125" style="408" customWidth="1"/>
    <col min="15366" max="15598" width="3.33203125" style="408"/>
    <col min="15599" max="15620" width="3.83203125" style="408" customWidth="1"/>
    <col min="15621" max="15621" width="3.58203125" style="408" customWidth="1"/>
    <col min="15622" max="15854" width="3.33203125" style="408"/>
    <col min="15855" max="15876" width="3.83203125" style="408" customWidth="1"/>
    <col min="15877" max="15877" width="3.58203125" style="408" customWidth="1"/>
    <col min="15878" max="16110" width="3.33203125" style="408"/>
    <col min="16111" max="16132" width="3.83203125" style="408" customWidth="1"/>
    <col min="16133" max="16133" width="3.58203125" style="408" customWidth="1"/>
    <col min="16134" max="16384" width="3.33203125" style="408"/>
  </cols>
  <sheetData>
    <row r="1" spans="1:27" ht="21.75" customHeight="1">
      <c r="D1" s="408" t="e">
        <f>様式８!H1</f>
        <v>#N/A</v>
      </c>
      <c r="E1" s="1033"/>
      <c r="F1" s="1033"/>
    </row>
    <row r="2" spans="1:27" ht="21.75" customHeight="1">
      <c r="E2" s="1033"/>
      <c r="F2" s="1033"/>
    </row>
    <row r="3" spans="1:27" ht="21.75" customHeight="1">
      <c r="D3" s="409">
        <f>様式６!G2</f>
        <v>45747</v>
      </c>
    </row>
    <row r="4" spans="1:27" ht="21.75" customHeight="1"/>
    <row r="5" spans="1:27" ht="21.75" customHeight="1">
      <c r="A5" s="1034" t="s">
        <v>1196</v>
      </c>
      <c r="B5" s="1034"/>
      <c r="C5" s="1034"/>
      <c r="D5" s="1034"/>
      <c r="E5" s="410"/>
      <c r="I5" s="411"/>
    </row>
    <row r="6" spans="1:27" ht="21.75" customHeight="1">
      <c r="A6" s="1034" t="s">
        <v>1197</v>
      </c>
      <c r="B6" s="1034"/>
      <c r="C6" s="1034"/>
      <c r="D6" s="1034"/>
      <c r="E6" s="410"/>
      <c r="F6" s="412"/>
    </row>
    <row r="7" spans="1:27" ht="21.75" customHeight="1">
      <c r="E7" s="412"/>
      <c r="F7" s="412"/>
      <c r="G7" s="412"/>
    </row>
    <row r="8" spans="1:27" ht="21.75" customHeight="1">
      <c r="B8" s="413"/>
      <c r="C8" s="413"/>
      <c r="D8" s="413"/>
    </row>
    <row r="9" spans="1:27" ht="21.75" customHeight="1">
      <c r="A9" s="408" t="s">
        <v>1198</v>
      </c>
    </row>
    <row r="10" spans="1:27" ht="21.75" customHeight="1">
      <c r="C10" s="1035" t="e">
        <f>IF(様式８!F7="","",様式８!F7)</f>
        <v>#N/A</v>
      </c>
      <c r="D10" s="1035"/>
    </row>
    <row r="11" spans="1:27" ht="21.75" customHeight="1">
      <c r="C11" s="889"/>
      <c r="D11" s="889"/>
    </row>
    <row r="12" spans="1:27" ht="21.75" customHeight="1">
      <c r="B12" s="414" t="s">
        <v>1199</v>
      </c>
      <c r="C12" s="889"/>
      <c r="D12" s="889"/>
    </row>
    <row r="13" spans="1:27" ht="21.75" customHeight="1">
      <c r="B13" s="413" t="s">
        <v>296</v>
      </c>
      <c r="C13" s="1032" t="e">
        <f>IF(様式８!F10="","",様式８!F10)</f>
        <v>#N/A</v>
      </c>
      <c r="D13" s="1032"/>
    </row>
    <row r="14" spans="1:27" ht="21.75" customHeight="1">
      <c r="B14" s="413" t="s">
        <v>297</v>
      </c>
      <c r="C14" s="1032" t="e">
        <f>IF(様式８!F11="","",様式８!F11)</f>
        <v>#N/A</v>
      </c>
      <c r="D14" s="1032"/>
      <c r="G14" s="415"/>
      <c r="H14" s="415"/>
      <c r="I14" s="415"/>
      <c r="J14" s="415"/>
      <c r="K14" s="415"/>
      <c r="L14" s="415"/>
      <c r="M14" s="415"/>
      <c r="N14" s="415"/>
      <c r="O14" s="415"/>
      <c r="P14" s="415"/>
      <c r="Q14" s="415"/>
      <c r="R14" s="415"/>
      <c r="S14" s="415"/>
      <c r="T14" s="415"/>
      <c r="U14" s="415"/>
      <c r="V14" s="415"/>
      <c r="W14" s="415"/>
      <c r="X14" s="415"/>
      <c r="Y14" s="415"/>
      <c r="Z14" s="415"/>
      <c r="AA14" s="415"/>
    </row>
    <row r="15" spans="1:27" ht="21.75" customHeight="1">
      <c r="B15" s="413" t="s">
        <v>1200</v>
      </c>
      <c r="C15" s="1032" t="e">
        <f>IF(様式８!F12="","",様式８!F12)</f>
        <v>#N/A</v>
      </c>
      <c r="D15" s="1032"/>
    </row>
    <row r="16" spans="1:27" ht="21.75" customHeight="1">
      <c r="B16" s="413" t="s">
        <v>1618</v>
      </c>
      <c r="C16" s="1032">
        <f>IF(様式８!F13="","",様式８!F13)</f>
        <v>0</v>
      </c>
      <c r="D16" s="1032"/>
    </row>
    <row r="17" spans="1:8" ht="21.75" customHeight="1">
      <c r="E17" s="416"/>
      <c r="F17" s="416"/>
      <c r="G17" s="416"/>
    </row>
    <row r="18" spans="1:8" ht="21.75" customHeight="1">
      <c r="A18" s="997" t="str">
        <f>CONCATENATE(A5,"について、")</f>
        <v>千葉市施設型給付対象施設保育士等配置基準改善事業補助金について、</v>
      </c>
      <c r="B18" s="997"/>
      <c r="C18" s="997"/>
      <c r="D18" s="997"/>
    </row>
    <row r="19" spans="1:8" ht="21.75" customHeight="1">
      <c r="A19" s="997" t="s">
        <v>1201</v>
      </c>
      <c r="B19" s="997"/>
      <c r="C19" s="997"/>
      <c r="D19" s="997"/>
    </row>
    <row r="20" spans="1:8" ht="21.75" customHeight="1">
      <c r="A20" s="417"/>
      <c r="B20" s="414"/>
      <c r="C20" s="414"/>
      <c r="D20" s="411"/>
    </row>
    <row r="21" spans="1:8" ht="21.75" customHeight="1">
      <c r="A21" s="418"/>
      <c r="D21" s="419"/>
    </row>
    <row r="22" spans="1:8" ht="37.5" customHeight="1">
      <c r="A22" s="420" t="s">
        <v>1202</v>
      </c>
      <c r="B22" s="421" t="s">
        <v>1203</v>
      </c>
      <c r="C22" s="421" t="s">
        <v>1204</v>
      </c>
      <c r="D22" s="422" t="s">
        <v>1205</v>
      </c>
    </row>
    <row r="23" spans="1:8" ht="50.15" customHeight="1">
      <c r="A23" s="438" t="e">
        <f>様式６!$E$21</f>
        <v>#N/A</v>
      </c>
      <c r="B23" s="439" t="e">
        <f>様式６!E38</f>
        <v>#N/A</v>
      </c>
      <c r="C23" s="439">
        <f>様式６!G38</f>
        <v>0</v>
      </c>
      <c r="D23" s="440" t="e">
        <f>C23-B23</f>
        <v>#N/A</v>
      </c>
    </row>
    <row r="24" spans="1:8" s="424" customFormat="1">
      <c r="A24" s="408"/>
      <c r="B24" s="408"/>
      <c r="C24" s="423"/>
      <c r="F24" s="425"/>
      <c r="G24" s="425"/>
      <c r="H24" s="425"/>
    </row>
    <row r="25" spans="1:8">
      <c r="C25" s="423"/>
      <c r="D25" s="424"/>
    </row>
    <row r="26" spans="1:8" ht="26.25" customHeight="1"/>
    <row r="28" spans="1:8">
      <c r="D28" s="426"/>
    </row>
    <row r="30" spans="1:8">
      <c r="C30" s="426"/>
    </row>
  </sheetData>
  <sheetProtection algorithmName="SHA-512" hashValue="aJQ1WQ0qqpYLHN6fHZVYrxfDtCA3yIQKa6SD7ftxwyIWqjN49uXFykh/no3w7ntPiZe0vRtU4qvA4afgnKsZ5A==" saltValue="QVZJOewpKHTCGIgKnyGNsg==" spinCount="100000" sheet="1" selectLockedCells="1"/>
  <mergeCells count="10">
    <mergeCell ref="C15:D15"/>
    <mergeCell ref="A18:D18"/>
    <mergeCell ref="A19:D19"/>
    <mergeCell ref="E1:F2"/>
    <mergeCell ref="A5:D5"/>
    <mergeCell ref="A6:D6"/>
    <mergeCell ref="C10:D12"/>
    <mergeCell ref="C13:D13"/>
    <mergeCell ref="C14:D14"/>
    <mergeCell ref="C16:D16"/>
  </mergeCells>
  <phoneticPr fontId="1"/>
  <conditionalFormatting sqref="C10:D15">
    <cfRule type="containsBlanks" dxfId="0" priority="1">
      <formula>LEN(TRIM(C10))=0</formula>
    </cfRule>
  </conditionalFormatting>
  <dataValidations disablePrompts="1" count="1">
    <dataValidation type="date" operator="notEqual" allowBlank="1" showInputMessage="1" showErrorMessage="1" sqref="D3" xr:uid="{51678FD2-CD65-47B5-8454-4B72639A169E}">
      <formula1>92</formula1>
    </dataValidation>
  </dataValidations>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7E3-9631-4121-B9F5-E8DA7C5CA7F7}">
  <sheetPr codeName="Sheet3">
    <tabColor theme="1"/>
  </sheetPr>
  <dimension ref="A1:HD62"/>
  <sheetViews>
    <sheetView zoomScale="70" zoomScaleNormal="70" workbookViewId="0">
      <pane xSplit="4" ySplit="4" topLeftCell="GO31" activePane="bottomRight" state="frozen"/>
      <selection activeCell="A6" sqref="A6:AJ42"/>
      <selection pane="topRight" activeCell="A6" sqref="A6:AJ42"/>
      <selection pane="bottomLeft" activeCell="A6" sqref="A6:AJ42"/>
      <selection pane="bottomRight" activeCell="HA58" sqref="HA58"/>
    </sheetView>
  </sheetViews>
  <sheetFormatPr defaultColWidth="9" defaultRowHeight="18"/>
  <cols>
    <col min="1" max="1" width="9" style="327" customWidth="1"/>
    <col min="2" max="2" width="5.33203125" style="327" customWidth="1"/>
    <col min="3" max="3" width="9.08203125" style="328" customWidth="1"/>
    <col min="4" max="4" width="24" style="333" customWidth="1"/>
    <col min="5" max="5" width="9" style="333" customWidth="1"/>
    <col min="6" max="33" width="9" style="349" customWidth="1"/>
    <col min="34" max="102" width="9" style="349"/>
    <col min="103" max="113" width="8.83203125" style="349" hidden="1" customWidth="1"/>
    <col min="114" max="138" width="0" style="349" hidden="1" customWidth="1"/>
    <col min="139" max="16384" width="9" style="349"/>
  </cols>
  <sheetData>
    <row r="1" spans="1:212" ht="23.5">
      <c r="A1" s="331"/>
      <c r="C1" s="328">
        <v>1</v>
      </c>
      <c r="D1" s="328">
        <v>2</v>
      </c>
      <c r="E1" s="328">
        <v>3</v>
      </c>
      <c r="F1" s="328">
        <v>4</v>
      </c>
      <c r="G1" s="328">
        <v>5</v>
      </c>
      <c r="H1" s="328">
        <v>6</v>
      </c>
      <c r="I1" s="328">
        <v>7</v>
      </c>
      <c r="J1" s="328">
        <v>8</v>
      </c>
      <c r="K1" s="328">
        <v>9</v>
      </c>
      <c r="L1" s="328">
        <v>10</v>
      </c>
      <c r="M1" s="328">
        <v>11</v>
      </c>
      <c r="N1" s="328">
        <v>12</v>
      </c>
      <c r="O1" s="328">
        <v>13</v>
      </c>
      <c r="P1" s="328">
        <v>14</v>
      </c>
      <c r="Q1" s="328">
        <v>15</v>
      </c>
      <c r="R1" s="328">
        <v>16</v>
      </c>
      <c r="S1" s="328">
        <v>17</v>
      </c>
      <c r="T1" s="328">
        <v>18</v>
      </c>
      <c r="U1" s="328">
        <v>19</v>
      </c>
      <c r="V1" s="328">
        <v>20</v>
      </c>
      <c r="W1" s="328">
        <v>21</v>
      </c>
      <c r="X1" s="328">
        <v>22</v>
      </c>
      <c r="Y1" s="328">
        <v>23</v>
      </c>
      <c r="Z1" s="328">
        <v>24</v>
      </c>
      <c r="AA1" s="328">
        <v>25</v>
      </c>
      <c r="AB1" s="328">
        <v>26</v>
      </c>
      <c r="AC1" s="328">
        <v>27</v>
      </c>
      <c r="AD1" s="328">
        <v>28</v>
      </c>
      <c r="AE1" s="328">
        <v>29</v>
      </c>
      <c r="AF1" s="328">
        <v>30</v>
      </c>
      <c r="AG1" s="328">
        <v>31</v>
      </c>
      <c r="AH1" s="328">
        <v>32</v>
      </c>
      <c r="AI1" s="328">
        <v>33</v>
      </c>
      <c r="AJ1" s="328">
        <v>34</v>
      </c>
      <c r="AK1" s="328">
        <v>35</v>
      </c>
      <c r="AL1" s="328">
        <v>36</v>
      </c>
      <c r="AM1" s="328">
        <v>37</v>
      </c>
      <c r="AN1" s="328">
        <v>38</v>
      </c>
      <c r="AO1" s="328">
        <v>39</v>
      </c>
      <c r="AP1" s="328">
        <v>40</v>
      </c>
      <c r="AQ1" s="328">
        <v>41</v>
      </c>
      <c r="AR1" s="328">
        <v>42</v>
      </c>
      <c r="AS1" s="328">
        <v>43</v>
      </c>
      <c r="AT1" s="328">
        <v>44</v>
      </c>
      <c r="AU1" s="328">
        <v>45</v>
      </c>
      <c r="AV1" s="328">
        <v>46</v>
      </c>
      <c r="AW1" s="328">
        <v>47</v>
      </c>
      <c r="AX1" s="328">
        <v>48</v>
      </c>
      <c r="AY1" s="328">
        <v>49</v>
      </c>
      <c r="AZ1" s="328">
        <v>50</v>
      </c>
      <c r="BA1" s="328">
        <v>51</v>
      </c>
      <c r="BB1" s="328">
        <v>52</v>
      </c>
      <c r="BC1" s="328">
        <v>53</v>
      </c>
      <c r="BD1" s="328">
        <v>54</v>
      </c>
      <c r="BE1" s="328">
        <v>55</v>
      </c>
      <c r="BF1" s="328">
        <v>56</v>
      </c>
      <c r="BG1" s="328">
        <v>57</v>
      </c>
      <c r="BH1" s="328">
        <v>58</v>
      </c>
      <c r="BI1" s="328">
        <v>59</v>
      </c>
      <c r="BJ1" s="328">
        <v>60</v>
      </c>
      <c r="BK1" s="328">
        <v>61</v>
      </c>
      <c r="BL1" s="328">
        <v>62</v>
      </c>
      <c r="BM1" s="328">
        <v>63</v>
      </c>
      <c r="BN1" s="328">
        <v>64</v>
      </c>
      <c r="BO1" s="328">
        <v>65</v>
      </c>
      <c r="BP1" s="328">
        <v>66</v>
      </c>
      <c r="BQ1" s="328">
        <v>67</v>
      </c>
      <c r="BR1" s="328">
        <v>68</v>
      </c>
      <c r="BS1" s="328">
        <v>69</v>
      </c>
      <c r="BT1" s="328">
        <v>70</v>
      </c>
      <c r="BU1" s="328">
        <v>71</v>
      </c>
      <c r="BV1" s="328">
        <v>72</v>
      </c>
      <c r="BW1" s="328">
        <v>73</v>
      </c>
      <c r="BX1" s="328">
        <v>74</v>
      </c>
      <c r="BY1" s="328">
        <v>75</v>
      </c>
      <c r="BZ1" s="328">
        <v>76</v>
      </c>
      <c r="CA1" s="328">
        <v>77</v>
      </c>
      <c r="CB1" s="328">
        <v>78</v>
      </c>
      <c r="CC1" s="328">
        <v>79</v>
      </c>
      <c r="CD1" s="328">
        <v>80</v>
      </c>
      <c r="CE1" s="328">
        <v>81</v>
      </c>
      <c r="CF1" s="328">
        <v>82</v>
      </c>
      <c r="CG1" s="328">
        <v>83</v>
      </c>
      <c r="CH1" s="328">
        <v>84</v>
      </c>
      <c r="CI1" s="328">
        <v>85</v>
      </c>
      <c r="CJ1" s="328">
        <v>86</v>
      </c>
      <c r="CK1" s="328">
        <v>87</v>
      </c>
      <c r="CL1" s="328">
        <v>88</v>
      </c>
      <c r="CM1" s="328">
        <v>89</v>
      </c>
      <c r="CN1" s="328">
        <v>90</v>
      </c>
      <c r="CO1" s="328">
        <v>91</v>
      </c>
      <c r="CP1" s="328">
        <v>92</v>
      </c>
      <c r="CQ1" s="328">
        <v>93</v>
      </c>
      <c r="CR1" s="328">
        <v>94</v>
      </c>
      <c r="CS1" s="328">
        <v>95</v>
      </c>
      <c r="CT1" s="328">
        <v>96</v>
      </c>
      <c r="CU1" s="328">
        <v>97</v>
      </c>
      <c r="CV1" s="328">
        <v>98</v>
      </c>
      <c r="CW1" s="328">
        <v>99</v>
      </c>
      <c r="CX1" s="328">
        <v>100</v>
      </c>
      <c r="CY1" s="328">
        <v>101</v>
      </c>
      <c r="CZ1" s="328">
        <v>102</v>
      </c>
      <c r="DA1" s="328">
        <v>103</v>
      </c>
      <c r="DB1" s="328">
        <v>104</v>
      </c>
      <c r="DC1" s="328">
        <v>105</v>
      </c>
      <c r="DD1" s="328">
        <v>106</v>
      </c>
      <c r="DE1" s="328">
        <v>107</v>
      </c>
      <c r="DF1" s="328">
        <v>108</v>
      </c>
      <c r="DG1" s="328">
        <v>109</v>
      </c>
      <c r="DH1" s="328">
        <v>110</v>
      </c>
      <c r="DI1" s="328">
        <v>111</v>
      </c>
      <c r="DJ1" s="328">
        <v>112</v>
      </c>
      <c r="DK1" s="328">
        <v>113</v>
      </c>
      <c r="DL1" s="328">
        <v>114</v>
      </c>
      <c r="DM1" s="328">
        <v>115</v>
      </c>
      <c r="DN1" s="328">
        <v>116</v>
      </c>
      <c r="DO1" s="328">
        <v>117</v>
      </c>
      <c r="DP1" s="328">
        <v>118</v>
      </c>
      <c r="DQ1" s="328">
        <v>119</v>
      </c>
      <c r="DR1" s="328">
        <v>120</v>
      </c>
      <c r="DS1" s="328">
        <v>121</v>
      </c>
      <c r="DT1" s="328">
        <v>122</v>
      </c>
      <c r="DU1" s="328">
        <v>123</v>
      </c>
      <c r="DV1" s="328">
        <v>124</v>
      </c>
      <c r="DW1" s="328">
        <v>125</v>
      </c>
      <c r="DX1" s="328">
        <v>126</v>
      </c>
      <c r="DY1" s="328">
        <v>127</v>
      </c>
      <c r="DZ1" s="328">
        <v>128</v>
      </c>
      <c r="EA1" s="328">
        <v>129</v>
      </c>
      <c r="EB1" s="328">
        <v>130</v>
      </c>
      <c r="EC1" s="328">
        <v>131</v>
      </c>
      <c r="ED1" s="328">
        <v>132</v>
      </c>
      <c r="EE1" s="328">
        <v>133</v>
      </c>
      <c r="EF1" s="328">
        <v>134</v>
      </c>
      <c r="EG1" s="328">
        <v>135</v>
      </c>
      <c r="EH1" s="328">
        <v>136</v>
      </c>
      <c r="EI1" s="328">
        <v>137</v>
      </c>
      <c r="EJ1" s="328">
        <v>138</v>
      </c>
      <c r="EK1" s="328">
        <v>139</v>
      </c>
      <c r="EL1" s="328">
        <v>140</v>
      </c>
      <c r="EM1" s="328">
        <v>141</v>
      </c>
      <c r="EN1" s="328">
        <v>142</v>
      </c>
      <c r="EO1" s="328">
        <v>143</v>
      </c>
      <c r="EP1" s="328">
        <v>144</v>
      </c>
      <c r="EQ1" s="328">
        <v>145</v>
      </c>
      <c r="ER1" s="328">
        <v>146</v>
      </c>
      <c r="ES1" s="328">
        <v>147</v>
      </c>
      <c r="ET1" s="328">
        <v>148</v>
      </c>
      <c r="EU1" s="328">
        <v>149</v>
      </c>
      <c r="EV1" s="328">
        <v>150</v>
      </c>
      <c r="EW1" s="328">
        <v>151</v>
      </c>
      <c r="EX1" s="328">
        <v>152</v>
      </c>
      <c r="EY1" s="328">
        <v>153</v>
      </c>
      <c r="EZ1" s="328">
        <v>154</v>
      </c>
      <c r="FA1" s="328">
        <v>155</v>
      </c>
      <c r="FB1" s="328">
        <v>156</v>
      </c>
      <c r="FC1" s="328">
        <v>157</v>
      </c>
      <c r="FD1" s="328">
        <v>158</v>
      </c>
      <c r="FE1" s="328">
        <v>159</v>
      </c>
      <c r="FF1" s="328">
        <v>160</v>
      </c>
      <c r="FG1" s="328">
        <v>161</v>
      </c>
      <c r="FH1" s="328">
        <v>162</v>
      </c>
      <c r="FI1" s="328">
        <v>163</v>
      </c>
      <c r="FJ1" s="328">
        <v>164</v>
      </c>
      <c r="FK1" s="328">
        <v>165</v>
      </c>
      <c r="FL1" s="328">
        <v>166</v>
      </c>
      <c r="FM1" s="328">
        <v>167</v>
      </c>
      <c r="FN1" s="328">
        <v>168</v>
      </c>
      <c r="FO1" s="328">
        <v>169</v>
      </c>
      <c r="FP1" s="328">
        <v>170</v>
      </c>
      <c r="FQ1" s="328">
        <v>171</v>
      </c>
      <c r="FR1" s="328">
        <v>172</v>
      </c>
      <c r="FS1" s="328">
        <v>173</v>
      </c>
      <c r="FT1" s="328">
        <v>174</v>
      </c>
      <c r="FU1" s="328">
        <v>175</v>
      </c>
      <c r="FV1" s="328">
        <v>176</v>
      </c>
      <c r="FW1" s="328">
        <v>177</v>
      </c>
      <c r="FX1" s="328">
        <v>178</v>
      </c>
      <c r="FY1" s="328">
        <v>179</v>
      </c>
      <c r="FZ1" s="328">
        <v>180</v>
      </c>
      <c r="GA1" s="328">
        <v>181</v>
      </c>
      <c r="GB1" s="328">
        <v>182</v>
      </c>
      <c r="GC1" s="328">
        <v>183</v>
      </c>
      <c r="GD1" s="328">
        <v>184</v>
      </c>
      <c r="GE1" s="328">
        <v>185</v>
      </c>
      <c r="GF1" s="328">
        <v>186</v>
      </c>
      <c r="GG1" s="328">
        <v>187</v>
      </c>
      <c r="GH1" s="328">
        <v>188</v>
      </c>
      <c r="GI1" s="328">
        <v>189</v>
      </c>
      <c r="GJ1" s="328">
        <v>190</v>
      </c>
      <c r="GK1" s="328">
        <v>191</v>
      </c>
      <c r="GL1" s="328">
        <v>192</v>
      </c>
      <c r="GM1" s="328">
        <v>193</v>
      </c>
      <c r="GN1" s="328">
        <v>194</v>
      </c>
      <c r="GO1" s="328">
        <v>195</v>
      </c>
      <c r="GP1" s="328">
        <v>196</v>
      </c>
      <c r="GQ1" s="328">
        <v>197</v>
      </c>
      <c r="GR1" s="328">
        <v>198</v>
      </c>
      <c r="GS1" s="328">
        <v>199</v>
      </c>
      <c r="GT1" s="328">
        <v>200</v>
      </c>
      <c r="GU1" s="328">
        <v>201</v>
      </c>
      <c r="GV1" s="328">
        <v>202</v>
      </c>
      <c r="GW1" s="328">
        <v>203</v>
      </c>
      <c r="GX1" s="328">
        <v>204</v>
      </c>
      <c r="GY1" s="328">
        <v>205</v>
      </c>
      <c r="GZ1" s="328">
        <v>206</v>
      </c>
      <c r="HA1" s="328">
        <v>207</v>
      </c>
    </row>
    <row r="2" spans="1:212" ht="23.5">
      <c r="A2" s="331"/>
      <c r="D2" s="328"/>
      <c r="E2" s="328"/>
      <c r="F2" s="328"/>
      <c r="G2" s="328"/>
      <c r="H2" s="328"/>
      <c r="I2" s="328"/>
      <c r="J2" s="328"/>
      <c r="K2" s="328"/>
      <c r="L2" s="328"/>
      <c r="M2" s="328"/>
      <c r="N2" s="328"/>
    </row>
    <row r="3" spans="1:212" ht="56.25" customHeight="1">
      <c r="E3" s="333" t="s">
        <v>900</v>
      </c>
      <c r="O3" s="349" t="s">
        <v>610</v>
      </c>
      <c r="V3" s="349" t="s">
        <v>960</v>
      </c>
      <c r="AC3" s="349" t="s">
        <v>961</v>
      </c>
      <c r="AJ3" s="349" t="s">
        <v>885</v>
      </c>
      <c r="AK3" s="349" t="s">
        <v>885</v>
      </c>
      <c r="AL3" s="349" t="s">
        <v>885</v>
      </c>
      <c r="AM3" s="349" t="s">
        <v>885</v>
      </c>
      <c r="AN3" s="350" t="s">
        <v>677</v>
      </c>
      <c r="AO3" s="350" t="s">
        <v>1348</v>
      </c>
      <c r="AP3" s="350" t="s">
        <v>1348</v>
      </c>
      <c r="AQ3" s="350" t="s">
        <v>1348</v>
      </c>
      <c r="AR3" s="350" t="s">
        <v>1348</v>
      </c>
      <c r="AS3" s="350" t="s">
        <v>1348</v>
      </c>
      <c r="AT3" s="350" t="s">
        <v>1348</v>
      </c>
      <c r="AU3" s="350" t="s">
        <v>1348</v>
      </c>
      <c r="AV3" s="350" t="s">
        <v>1348</v>
      </c>
      <c r="AW3" s="350" t="s">
        <v>1348</v>
      </c>
      <c r="AX3" s="350" t="s">
        <v>1348</v>
      </c>
      <c r="AY3" s="350" t="s">
        <v>1348</v>
      </c>
      <c r="AZ3" s="350" t="s">
        <v>1348</v>
      </c>
      <c r="BA3" s="350" t="s">
        <v>1349</v>
      </c>
      <c r="BB3" s="350" t="s">
        <v>1349</v>
      </c>
      <c r="BC3" s="350" t="s">
        <v>1349</v>
      </c>
      <c r="BD3" s="350" t="s">
        <v>1349</v>
      </c>
      <c r="BE3" s="350" t="s">
        <v>1349</v>
      </c>
      <c r="BF3" s="350" t="s">
        <v>1349</v>
      </c>
      <c r="BG3" s="350" t="s">
        <v>1349</v>
      </c>
      <c r="BH3" s="350" t="s">
        <v>1349</v>
      </c>
      <c r="BI3" s="350" t="s">
        <v>1349</v>
      </c>
      <c r="BJ3" s="350" t="s">
        <v>1349</v>
      </c>
      <c r="BK3" s="350" t="s">
        <v>1349</v>
      </c>
      <c r="BL3" s="350" t="s">
        <v>1349</v>
      </c>
      <c r="BM3" s="350" t="s">
        <v>1350</v>
      </c>
      <c r="BN3" s="350" t="s">
        <v>1350</v>
      </c>
      <c r="BO3" s="350" t="s">
        <v>1350</v>
      </c>
      <c r="BP3" s="350" t="s">
        <v>1350</v>
      </c>
      <c r="BQ3" s="350" t="s">
        <v>1350</v>
      </c>
      <c r="BR3" s="350" t="s">
        <v>1350</v>
      </c>
      <c r="BS3" s="350" t="s">
        <v>1350</v>
      </c>
      <c r="BT3" s="350" t="s">
        <v>1350</v>
      </c>
      <c r="BU3" s="350" t="s">
        <v>1350</v>
      </c>
      <c r="BV3" s="350" t="s">
        <v>1350</v>
      </c>
      <c r="BW3" s="350" t="s">
        <v>1350</v>
      </c>
      <c r="BX3" s="350" t="s">
        <v>1350</v>
      </c>
      <c r="BY3" s="350" t="s">
        <v>678</v>
      </c>
      <c r="BZ3" s="350" t="s">
        <v>678</v>
      </c>
      <c r="CA3" s="350" t="s">
        <v>678</v>
      </c>
      <c r="CB3" s="350" t="s">
        <v>678</v>
      </c>
      <c r="CC3" s="350" t="s">
        <v>678</v>
      </c>
      <c r="CD3" s="350" t="s">
        <v>678</v>
      </c>
      <c r="CE3" s="350" t="s">
        <v>678</v>
      </c>
      <c r="CF3" s="350" t="s">
        <v>678</v>
      </c>
      <c r="CG3" s="350" t="s">
        <v>678</v>
      </c>
      <c r="CH3" s="350" t="s">
        <v>678</v>
      </c>
      <c r="CI3" s="350" t="s">
        <v>678</v>
      </c>
      <c r="CJ3" s="350" t="s">
        <v>678</v>
      </c>
      <c r="CK3" s="350" t="s">
        <v>1350</v>
      </c>
      <c r="CL3" s="350" t="s">
        <v>1350</v>
      </c>
      <c r="CM3" s="350" t="s">
        <v>1350</v>
      </c>
      <c r="CN3" s="350" t="s">
        <v>1350</v>
      </c>
      <c r="CO3" s="350" t="s">
        <v>1350</v>
      </c>
      <c r="CP3" s="350" t="s">
        <v>1350</v>
      </c>
      <c r="CQ3" s="350" t="s">
        <v>1350</v>
      </c>
      <c r="CR3" s="350" t="s">
        <v>1350</v>
      </c>
      <c r="CS3" s="350" t="s">
        <v>1350</v>
      </c>
      <c r="CT3" s="350" t="s">
        <v>1350</v>
      </c>
      <c r="CU3" s="350" t="s">
        <v>1350</v>
      </c>
      <c r="CV3" s="350" t="s">
        <v>1350</v>
      </c>
      <c r="CW3" s="350" t="s">
        <v>1391</v>
      </c>
      <c r="CX3" s="350" t="s">
        <v>1350</v>
      </c>
      <c r="CY3" s="350" t="s">
        <v>1391</v>
      </c>
      <c r="CZ3" s="350" t="s">
        <v>1391</v>
      </c>
      <c r="DA3" s="350" t="s">
        <v>1391</v>
      </c>
      <c r="DB3" s="350" t="s">
        <v>1391</v>
      </c>
      <c r="DC3" s="350" t="s">
        <v>1391</v>
      </c>
      <c r="DD3" s="350" t="s">
        <v>1391</v>
      </c>
      <c r="DE3" s="350" t="s">
        <v>1391</v>
      </c>
      <c r="DF3" s="350" t="s">
        <v>1391</v>
      </c>
      <c r="DG3" s="350" t="s">
        <v>1391</v>
      </c>
      <c r="DH3" s="350" t="s">
        <v>1391</v>
      </c>
      <c r="DI3" s="350" t="s">
        <v>1391</v>
      </c>
      <c r="DJ3" s="350" t="s">
        <v>1391</v>
      </c>
      <c r="DK3" s="350" t="s">
        <v>1392</v>
      </c>
      <c r="DL3" s="350" t="s">
        <v>1392</v>
      </c>
      <c r="DM3" s="350" t="s">
        <v>1392</v>
      </c>
      <c r="DN3" s="350" t="s">
        <v>1392</v>
      </c>
      <c r="DO3" s="350" t="s">
        <v>1392</v>
      </c>
      <c r="DP3" s="350" t="s">
        <v>1392</v>
      </c>
      <c r="DQ3" s="350" t="s">
        <v>1392</v>
      </c>
      <c r="DR3" s="350" t="s">
        <v>1392</v>
      </c>
      <c r="DS3" s="350" t="s">
        <v>1392</v>
      </c>
      <c r="DT3" s="350" t="s">
        <v>1392</v>
      </c>
      <c r="DU3" s="350" t="s">
        <v>1392</v>
      </c>
      <c r="DV3" s="350" t="s">
        <v>1392</v>
      </c>
      <c r="DW3" s="350" t="s">
        <v>1392</v>
      </c>
      <c r="DX3" s="350" t="s">
        <v>1392</v>
      </c>
      <c r="DY3" s="350" t="s">
        <v>1392</v>
      </c>
      <c r="DZ3" s="350" t="s">
        <v>1392</v>
      </c>
      <c r="EA3" s="350" t="s">
        <v>1392</v>
      </c>
      <c r="EB3" s="350" t="s">
        <v>1392</v>
      </c>
      <c r="EC3" s="350" t="s">
        <v>1392</v>
      </c>
      <c r="ED3" s="350" t="s">
        <v>1392</v>
      </c>
      <c r="EE3" s="350" t="s">
        <v>1392</v>
      </c>
      <c r="EF3" s="350" t="s">
        <v>1392</v>
      </c>
      <c r="EG3" s="350" t="s">
        <v>1392</v>
      </c>
      <c r="EH3" s="350" t="s">
        <v>1392</v>
      </c>
      <c r="EI3" s="350" t="s">
        <v>1391</v>
      </c>
      <c r="EJ3" s="350" t="s">
        <v>1391</v>
      </c>
      <c r="EK3" s="350" t="s">
        <v>1391</v>
      </c>
      <c r="EL3" s="350" t="s">
        <v>1391</v>
      </c>
      <c r="EM3" s="350" t="s">
        <v>1391</v>
      </c>
      <c r="EN3" s="350" t="s">
        <v>1391</v>
      </c>
      <c r="EO3" s="350" t="s">
        <v>1391</v>
      </c>
      <c r="EP3" s="350" t="s">
        <v>1391</v>
      </c>
      <c r="EQ3" s="350" t="s">
        <v>1391</v>
      </c>
      <c r="ER3" s="350" t="s">
        <v>1391</v>
      </c>
      <c r="ES3" s="350" t="s">
        <v>1391</v>
      </c>
      <c r="ET3" s="350" t="s">
        <v>1391</v>
      </c>
      <c r="EU3" s="350"/>
      <c r="EV3" s="350"/>
      <c r="EW3" s="350"/>
      <c r="EX3" s="350"/>
      <c r="EY3" s="350"/>
      <c r="EZ3" s="350"/>
      <c r="FA3" s="350"/>
      <c r="FB3" s="350"/>
      <c r="FC3" s="350"/>
      <c r="FD3" s="350"/>
      <c r="FE3" s="350"/>
      <c r="FF3" s="350"/>
      <c r="FG3" s="350"/>
      <c r="FH3" s="350"/>
      <c r="FI3" s="350"/>
      <c r="FJ3" s="350"/>
      <c r="FK3" s="350"/>
      <c r="FL3" s="350"/>
      <c r="FM3" s="350"/>
      <c r="FN3" s="350"/>
      <c r="FO3" s="350"/>
      <c r="FP3" s="350"/>
      <c r="FQ3" s="350"/>
      <c r="FR3" s="350"/>
      <c r="FS3" s="350"/>
      <c r="FT3" s="350"/>
      <c r="FU3" s="350"/>
      <c r="FV3" s="350"/>
      <c r="FW3" s="350"/>
      <c r="FX3" s="350"/>
      <c r="FY3" s="350"/>
      <c r="FZ3" s="350"/>
      <c r="GA3" s="350"/>
      <c r="GB3" s="350"/>
      <c r="GC3" s="350" t="s">
        <v>1393</v>
      </c>
      <c r="GD3" s="350" t="s">
        <v>1393</v>
      </c>
      <c r="GE3" s="350" t="s">
        <v>1393</v>
      </c>
      <c r="GF3" s="350" t="s">
        <v>1393</v>
      </c>
      <c r="GG3" s="350" t="s">
        <v>1393</v>
      </c>
      <c r="GH3" s="350" t="s">
        <v>1393</v>
      </c>
      <c r="GI3" s="350" t="s">
        <v>1393</v>
      </c>
      <c r="GJ3" s="350" t="s">
        <v>1393</v>
      </c>
      <c r="GK3" s="350" t="s">
        <v>1393</v>
      </c>
      <c r="GL3" s="350" t="s">
        <v>1393</v>
      </c>
      <c r="GM3" s="350" t="s">
        <v>1393</v>
      </c>
      <c r="GN3" s="350" t="s">
        <v>1393</v>
      </c>
      <c r="GO3" s="571">
        <v>79950</v>
      </c>
      <c r="GP3" s="642" t="s">
        <v>1598</v>
      </c>
      <c r="GQ3" s="643"/>
      <c r="GR3" s="643"/>
      <c r="GS3" s="643"/>
      <c r="GT3" s="570"/>
      <c r="GU3" s="570"/>
      <c r="GV3" s="570"/>
      <c r="GW3" s="570"/>
      <c r="GX3" s="570"/>
      <c r="GY3" s="570"/>
      <c r="GZ3" s="570"/>
    </row>
    <row r="4" spans="1:212" ht="90.5" thickBot="1">
      <c r="A4" s="338"/>
      <c r="B4" s="334" t="s">
        <v>999</v>
      </c>
      <c r="C4" s="339" t="s">
        <v>574</v>
      </c>
      <c r="D4" s="334" t="s">
        <v>1000</v>
      </c>
      <c r="E4" s="340" t="s">
        <v>899</v>
      </c>
      <c r="F4" s="351" t="s">
        <v>897</v>
      </c>
      <c r="G4" s="351" t="s">
        <v>922</v>
      </c>
      <c r="H4" s="351" t="s">
        <v>923</v>
      </c>
      <c r="I4" s="351" t="s">
        <v>924</v>
      </c>
      <c r="J4" s="351" t="s">
        <v>898</v>
      </c>
      <c r="K4" s="351" t="s">
        <v>925</v>
      </c>
      <c r="L4" s="351" t="s">
        <v>926</v>
      </c>
      <c r="M4" s="351" t="s">
        <v>927</v>
      </c>
      <c r="N4" s="351" t="s">
        <v>10</v>
      </c>
      <c r="O4" s="351" t="s">
        <v>879</v>
      </c>
      <c r="P4" s="351" t="s">
        <v>880</v>
      </c>
      <c r="Q4" s="351" t="s">
        <v>881</v>
      </c>
      <c r="R4" s="351" t="s">
        <v>882</v>
      </c>
      <c r="S4" s="351" t="s">
        <v>780</v>
      </c>
      <c r="T4" s="351" t="s">
        <v>778</v>
      </c>
      <c r="U4" s="351" t="s">
        <v>781</v>
      </c>
      <c r="V4" s="351" t="s">
        <v>879</v>
      </c>
      <c r="W4" s="351" t="s">
        <v>880</v>
      </c>
      <c r="X4" s="351" t="s">
        <v>881</v>
      </c>
      <c r="Y4" s="351" t="s">
        <v>882</v>
      </c>
      <c r="Z4" s="351" t="s">
        <v>780</v>
      </c>
      <c r="AA4" s="351" t="s">
        <v>778</v>
      </c>
      <c r="AB4" s="351" t="s">
        <v>781</v>
      </c>
      <c r="AC4" s="351" t="s">
        <v>879</v>
      </c>
      <c r="AD4" s="351" t="s">
        <v>880</v>
      </c>
      <c r="AE4" s="351" t="s">
        <v>881</v>
      </c>
      <c r="AF4" s="351" t="s">
        <v>882</v>
      </c>
      <c r="AG4" s="351" t="s">
        <v>780</v>
      </c>
      <c r="AH4" s="351" t="s">
        <v>778</v>
      </c>
      <c r="AI4" s="351" t="s">
        <v>781</v>
      </c>
      <c r="AJ4" s="351" t="s">
        <v>611</v>
      </c>
      <c r="AK4" s="351" t="s">
        <v>612</v>
      </c>
      <c r="AL4" s="351" t="s">
        <v>613</v>
      </c>
      <c r="AM4" s="351" t="s">
        <v>627</v>
      </c>
      <c r="AN4" s="351" t="s">
        <v>679</v>
      </c>
      <c r="AO4" s="351" t="s">
        <v>1351</v>
      </c>
      <c r="AP4" s="351" t="s">
        <v>1352</v>
      </c>
      <c r="AQ4" s="351" t="s">
        <v>1353</v>
      </c>
      <c r="AR4" s="351" t="s">
        <v>1354</v>
      </c>
      <c r="AS4" s="351" t="s">
        <v>1355</v>
      </c>
      <c r="AT4" s="351" t="s">
        <v>1356</v>
      </c>
      <c r="AU4" s="351" t="s">
        <v>1357</v>
      </c>
      <c r="AV4" s="351" t="s">
        <v>1358</v>
      </c>
      <c r="AW4" s="351" t="s">
        <v>1359</v>
      </c>
      <c r="AX4" s="351" t="s">
        <v>1360</v>
      </c>
      <c r="AY4" s="351" t="s">
        <v>1361</v>
      </c>
      <c r="AZ4" s="351" t="s">
        <v>1362</v>
      </c>
      <c r="BA4" s="351" t="s">
        <v>1363</v>
      </c>
      <c r="BB4" s="351" t="s">
        <v>1364</v>
      </c>
      <c r="BC4" s="351" t="s">
        <v>1365</v>
      </c>
      <c r="BD4" s="351" t="s">
        <v>1366</v>
      </c>
      <c r="BE4" s="351" t="s">
        <v>1367</v>
      </c>
      <c r="BF4" s="351" t="s">
        <v>1368</v>
      </c>
      <c r="BG4" s="351" t="s">
        <v>1369</v>
      </c>
      <c r="BH4" s="351" t="s">
        <v>1370</v>
      </c>
      <c r="BI4" s="351" t="s">
        <v>1371</v>
      </c>
      <c r="BJ4" s="351" t="s">
        <v>1372</v>
      </c>
      <c r="BK4" s="351" t="s">
        <v>1373</v>
      </c>
      <c r="BL4" s="351" t="s">
        <v>1374</v>
      </c>
      <c r="BM4" s="351" t="s">
        <v>1375</v>
      </c>
      <c r="BN4" s="351" t="s">
        <v>1376</v>
      </c>
      <c r="BO4" s="351" t="s">
        <v>1377</v>
      </c>
      <c r="BP4" s="351" t="s">
        <v>1378</v>
      </c>
      <c r="BQ4" s="351" t="s">
        <v>1379</v>
      </c>
      <c r="BR4" s="351" t="s">
        <v>1380</v>
      </c>
      <c r="BS4" s="351" t="s">
        <v>1381</v>
      </c>
      <c r="BT4" s="351" t="s">
        <v>1382</v>
      </c>
      <c r="BU4" s="351" t="s">
        <v>1383</v>
      </c>
      <c r="BV4" s="351" t="s">
        <v>1384</v>
      </c>
      <c r="BW4" s="351" t="s">
        <v>1385</v>
      </c>
      <c r="BX4" s="351" t="s">
        <v>1386</v>
      </c>
      <c r="BY4" s="351" t="s">
        <v>962</v>
      </c>
      <c r="BZ4" s="351" t="s">
        <v>963</v>
      </c>
      <c r="CA4" s="351" t="s">
        <v>964</v>
      </c>
      <c r="CB4" s="351" t="s">
        <v>965</v>
      </c>
      <c r="CC4" s="351" t="s">
        <v>966</v>
      </c>
      <c r="CD4" s="351" t="s">
        <v>967</v>
      </c>
      <c r="CE4" s="351" t="s">
        <v>968</v>
      </c>
      <c r="CF4" s="351" t="s">
        <v>969</v>
      </c>
      <c r="CG4" s="351" t="s">
        <v>970</v>
      </c>
      <c r="CH4" s="351" t="s">
        <v>971</v>
      </c>
      <c r="CI4" s="351" t="s">
        <v>972</v>
      </c>
      <c r="CJ4" s="351" t="s">
        <v>973</v>
      </c>
      <c r="CK4" s="351" t="s">
        <v>1394</v>
      </c>
      <c r="CL4" s="351" t="s">
        <v>1395</v>
      </c>
      <c r="CM4" s="351" t="s">
        <v>1396</v>
      </c>
      <c r="CN4" s="351" t="s">
        <v>1397</v>
      </c>
      <c r="CO4" s="351" t="s">
        <v>1398</v>
      </c>
      <c r="CP4" s="351" t="s">
        <v>1399</v>
      </c>
      <c r="CQ4" s="351" t="s">
        <v>1400</v>
      </c>
      <c r="CR4" s="351" t="s">
        <v>1401</v>
      </c>
      <c r="CS4" s="351" t="s">
        <v>1402</v>
      </c>
      <c r="CT4" s="351" t="s">
        <v>1403</v>
      </c>
      <c r="CU4" s="351" t="s">
        <v>1404</v>
      </c>
      <c r="CV4" s="351" t="s">
        <v>1405</v>
      </c>
      <c r="CW4" s="351" t="s">
        <v>1406</v>
      </c>
      <c r="CX4" s="351" t="s">
        <v>1407</v>
      </c>
      <c r="CY4" s="351" t="s">
        <v>1408</v>
      </c>
      <c r="CZ4" s="351" t="s">
        <v>1409</v>
      </c>
      <c r="DA4" s="351" t="s">
        <v>1410</v>
      </c>
      <c r="DB4" s="351" t="s">
        <v>1411</v>
      </c>
      <c r="DC4" s="351" t="s">
        <v>1412</v>
      </c>
      <c r="DD4" s="351" t="s">
        <v>1413</v>
      </c>
      <c r="DE4" s="351" t="s">
        <v>1414</v>
      </c>
      <c r="DF4" s="351" t="s">
        <v>1415</v>
      </c>
      <c r="DG4" s="351" t="s">
        <v>1416</v>
      </c>
      <c r="DH4" s="351" t="s">
        <v>1417</v>
      </c>
      <c r="DI4" s="351" t="s">
        <v>1418</v>
      </c>
      <c r="DJ4" s="351" t="s">
        <v>1419</v>
      </c>
      <c r="DK4" s="351" t="s">
        <v>1420</v>
      </c>
      <c r="DL4" s="351" t="s">
        <v>1421</v>
      </c>
      <c r="DM4" s="351" t="s">
        <v>1422</v>
      </c>
      <c r="DN4" s="351" t="s">
        <v>1423</v>
      </c>
      <c r="DO4" s="351" t="s">
        <v>1424</v>
      </c>
      <c r="DP4" s="351" t="s">
        <v>1425</v>
      </c>
      <c r="DQ4" s="351" t="s">
        <v>1426</v>
      </c>
      <c r="DR4" s="351" t="s">
        <v>1427</v>
      </c>
      <c r="DS4" s="351" t="s">
        <v>1428</v>
      </c>
      <c r="DT4" s="351" t="s">
        <v>1429</v>
      </c>
      <c r="DU4" s="351" t="s">
        <v>1430</v>
      </c>
      <c r="DV4" s="351" t="s">
        <v>1431</v>
      </c>
      <c r="DW4" s="542" t="s">
        <v>1521</v>
      </c>
      <c r="DX4" s="542" t="s">
        <v>1522</v>
      </c>
      <c r="DY4" s="542" t="s">
        <v>1523</v>
      </c>
      <c r="DZ4" s="542" t="s">
        <v>1524</v>
      </c>
      <c r="EA4" s="542" t="s">
        <v>1525</v>
      </c>
      <c r="EB4" s="542" t="s">
        <v>1526</v>
      </c>
      <c r="EC4" s="542" t="s">
        <v>1527</v>
      </c>
      <c r="ED4" s="542" t="s">
        <v>1528</v>
      </c>
      <c r="EE4" s="542" t="s">
        <v>1529</v>
      </c>
      <c r="EF4" s="542" t="s">
        <v>1530</v>
      </c>
      <c r="EG4" s="542" t="s">
        <v>1531</v>
      </c>
      <c r="EH4" s="542" t="s">
        <v>1532</v>
      </c>
      <c r="EI4" s="351" t="s">
        <v>1432</v>
      </c>
      <c r="EJ4" s="351" t="s">
        <v>1433</v>
      </c>
      <c r="EK4" s="351" t="s">
        <v>1434</v>
      </c>
      <c r="EL4" s="351" t="s">
        <v>1435</v>
      </c>
      <c r="EM4" s="351" t="s">
        <v>1128</v>
      </c>
      <c r="EN4" s="351" t="s">
        <v>1436</v>
      </c>
      <c r="EO4" s="351" t="s">
        <v>1437</v>
      </c>
      <c r="EP4" s="351" t="s">
        <v>1438</v>
      </c>
      <c r="EQ4" s="351" t="s">
        <v>1439</v>
      </c>
      <c r="ER4" s="351" t="s">
        <v>1440</v>
      </c>
      <c r="ES4" s="351" t="s">
        <v>1441</v>
      </c>
      <c r="ET4" s="351" t="s">
        <v>1442</v>
      </c>
      <c r="EU4" s="542" t="s">
        <v>1558</v>
      </c>
      <c r="EV4" s="542" t="s">
        <v>1559</v>
      </c>
      <c r="EW4" s="542" t="s">
        <v>1560</v>
      </c>
      <c r="EX4" s="542" t="s">
        <v>1561</v>
      </c>
      <c r="EY4" s="542" t="s">
        <v>1562</v>
      </c>
      <c r="EZ4" s="542" t="s">
        <v>1563</v>
      </c>
      <c r="FA4" s="542" t="s">
        <v>1564</v>
      </c>
      <c r="FB4" s="542" t="s">
        <v>1565</v>
      </c>
      <c r="FC4" s="542" t="s">
        <v>1566</v>
      </c>
      <c r="FD4" s="542" t="s">
        <v>1567</v>
      </c>
      <c r="FE4" s="542" t="s">
        <v>1568</v>
      </c>
      <c r="FF4" s="542" t="s">
        <v>1569</v>
      </c>
      <c r="FG4" s="542" t="s">
        <v>1570</v>
      </c>
      <c r="FH4" s="542" t="s">
        <v>1571</v>
      </c>
      <c r="FI4" s="542" t="s">
        <v>1572</v>
      </c>
      <c r="FJ4" s="542" t="s">
        <v>1573</v>
      </c>
      <c r="FK4" s="542" t="s">
        <v>1574</v>
      </c>
      <c r="FL4" s="542" t="s">
        <v>1575</v>
      </c>
      <c r="FM4" s="542" t="s">
        <v>1576</v>
      </c>
      <c r="FN4" s="542" t="s">
        <v>1577</v>
      </c>
      <c r="FO4" s="542" t="s">
        <v>1578</v>
      </c>
      <c r="FP4" s="542" t="s">
        <v>1579</v>
      </c>
      <c r="FQ4" s="542" t="s">
        <v>1580</v>
      </c>
      <c r="FR4" s="542" t="s">
        <v>1581</v>
      </c>
      <c r="FS4" s="542" t="s">
        <v>1582</v>
      </c>
      <c r="FT4" s="542" t="s">
        <v>1583</v>
      </c>
      <c r="FU4" s="542" t="s">
        <v>1584</v>
      </c>
      <c r="FV4" s="542" t="s">
        <v>1585</v>
      </c>
      <c r="FW4" s="542" t="s">
        <v>1586</v>
      </c>
      <c r="FX4" s="542" t="s">
        <v>1587</v>
      </c>
      <c r="FY4" s="542" t="s">
        <v>1588</v>
      </c>
      <c r="FZ4" s="542" t="s">
        <v>1589</v>
      </c>
      <c r="GA4" s="542" t="s">
        <v>1590</v>
      </c>
      <c r="GB4" s="542" t="s">
        <v>1591</v>
      </c>
      <c r="GC4" s="351" t="s">
        <v>1443</v>
      </c>
      <c r="GD4" s="351" t="s">
        <v>1444</v>
      </c>
      <c r="GE4" s="351" t="s">
        <v>1445</v>
      </c>
      <c r="GF4" s="351" t="s">
        <v>1446</v>
      </c>
      <c r="GG4" s="351" t="s">
        <v>1447</v>
      </c>
      <c r="GH4" s="351" t="s">
        <v>1448</v>
      </c>
      <c r="GI4" s="351" t="s">
        <v>1449</v>
      </c>
      <c r="GJ4" s="351" t="s">
        <v>1450</v>
      </c>
      <c r="GK4" s="351" t="s">
        <v>1451</v>
      </c>
      <c r="GL4" s="351" t="s">
        <v>1452</v>
      </c>
      <c r="GM4" s="351" t="s">
        <v>1453</v>
      </c>
      <c r="GN4" s="351" t="s">
        <v>1454</v>
      </c>
      <c r="GO4" s="351" t="s">
        <v>710</v>
      </c>
      <c r="GP4" s="351" t="s">
        <v>711</v>
      </c>
      <c r="GQ4" s="351" t="s">
        <v>712</v>
      </c>
      <c r="GR4" s="351" t="s">
        <v>713</v>
      </c>
      <c r="GS4" s="351" t="s">
        <v>714</v>
      </c>
      <c r="GT4" s="351" t="s">
        <v>715</v>
      </c>
      <c r="GU4" s="351" t="s">
        <v>716</v>
      </c>
      <c r="GV4" s="351" t="s">
        <v>717</v>
      </c>
      <c r="GW4" s="351" t="s">
        <v>718</v>
      </c>
      <c r="GX4" s="351" t="s">
        <v>719</v>
      </c>
      <c r="GY4" s="351" t="s">
        <v>720</v>
      </c>
      <c r="GZ4" s="351" t="s">
        <v>721</v>
      </c>
    </row>
    <row r="5" spans="1:212" ht="24" thickBot="1">
      <c r="A5" s="345"/>
      <c r="B5" s="549">
        <v>1</v>
      </c>
      <c r="C5" s="549">
        <v>201</v>
      </c>
      <c r="D5" s="550" t="s">
        <v>1008</v>
      </c>
      <c r="E5" s="557" t="s">
        <v>13</v>
      </c>
      <c r="F5" s="555">
        <v>195</v>
      </c>
      <c r="G5" s="555">
        <v>3</v>
      </c>
      <c r="H5" s="555">
        <v>119</v>
      </c>
      <c r="I5" s="555">
        <v>73</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2"/>
      <c r="AK5" s="553"/>
      <c r="AL5" s="553"/>
      <c r="AM5" s="554"/>
      <c r="AN5" s="555" t="s">
        <v>11</v>
      </c>
      <c r="AO5" s="558" t="s">
        <v>12</v>
      </c>
      <c r="AP5" s="558" t="s">
        <v>12</v>
      </c>
      <c r="AQ5" s="558" t="s">
        <v>12</v>
      </c>
      <c r="AR5" s="558" t="s">
        <v>12</v>
      </c>
      <c r="AS5" s="558" t="s">
        <v>12</v>
      </c>
      <c r="AT5" s="558" t="s">
        <v>12</v>
      </c>
      <c r="AU5" s="558" t="s">
        <v>12</v>
      </c>
      <c r="AV5" s="558" t="s">
        <v>12</v>
      </c>
      <c r="AW5" s="558" t="s">
        <v>12</v>
      </c>
      <c r="AX5" s="558" t="s">
        <v>12</v>
      </c>
      <c r="AY5" s="558" t="s">
        <v>12</v>
      </c>
      <c r="AZ5" s="558" t="s">
        <v>12</v>
      </c>
      <c r="BA5" s="558" t="s">
        <v>11</v>
      </c>
      <c r="BB5" s="558" t="s">
        <v>11</v>
      </c>
      <c r="BC5" s="558" t="s">
        <v>11</v>
      </c>
      <c r="BD5" s="558" t="s">
        <v>11</v>
      </c>
      <c r="BE5" s="558" t="s">
        <v>11</v>
      </c>
      <c r="BF5" s="558" t="s">
        <v>11</v>
      </c>
      <c r="BG5" s="558" t="s">
        <v>11</v>
      </c>
      <c r="BH5" s="558" t="s">
        <v>11</v>
      </c>
      <c r="BI5" s="558" t="s">
        <v>11</v>
      </c>
      <c r="BJ5" s="558" t="s">
        <v>11</v>
      </c>
      <c r="BK5" s="558" t="s">
        <v>11</v>
      </c>
      <c r="BL5" s="558" t="s">
        <v>11</v>
      </c>
      <c r="BM5" s="558">
        <v>5</v>
      </c>
      <c r="BN5" s="558">
        <v>5</v>
      </c>
      <c r="BO5" s="558">
        <v>5</v>
      </c>
      <c r="BP5" s="558">
        <v>5</v>
      </c>
      <c r="BQ5" s="558">
        <v>5</v>
      </c>
      <c r="BR5" s="558">
        <v>5</v>
      </c>
      <c r="BS5" s="558">
        <v>5</v>
      </c>
      <c r="BT5" s="558">
        <v>5</v>
      </c>
      <c r="BU5" s="558">
        <v>5</v>
      </c>
      <c r="BV5" s="558">
        <v>5</v>
      </c>
      <c r="BW5" s="558">
        <v>5</v>
      </c>
      <c r="BX5" s="558">
        <v>5</v>
      </c>
      <c r="BY5" s="558">
        <v>0</v>
      </c>
      <c r="BZ5" s="558">
        <v>0</v>
      </c>
      <c r="CA5" s="558">
        <v>0</v>
      </c>
      <c r="CB5" s="558">
        <v>0</v>
      </c>
      <c r="CC5" s="558">
        <v>0</v>
      </c>
      <c r="CD5" s="558">
        <v>0</v>
      </c>
      <c r="CE5" s="558">
        <v>0</v>
      </c>
      <c r="CF5" s="558">
        <v>0</v>
      </c>
      <c r="CG5" s="558">
        <v>0</v>
      </c>
      <c r="CH5" s="558">
        <v>0</v>
      </c>
      <c r="CI5" s="558">
        <v>0</v>
      </c>
      <c r="CJ5" s="558">
        <v>0</v>
      </c>
      <c r="CK5" s="558">
        <v>0</v>
      </c>
      <c r="CL5" s="558">
        <v>0</v>
      </c>
      <c r="CM5" s="558">
        <v>0</v>
      </c>
      <c r="CN5" s="558">
        <v>0</v>
      </c>
      <c r="CO5" s="558">
        <v>0</v>
      </c>
      <c r="CP5" s="558">
        <v>0</v>
      </c>
      <c r="CQ5" s="558">
        <v>0</v>
      </c>
      <c r="CR5" s="558">
        <v>0</v>
      </c>
      <c r="CS5" s="558">
        <v>0</v>
      </c>
      <c r="CT5" s="558">
        <v>0</v>
      </c>
      <c r="CU5" s="558">
        <v>0</v>
      </c>
      <c r="CV5" s="558">
        <v>0</v>
      </c>
      <c r="CW5" s="558" t="s">
        <v>13</v>
      </c>
      <c r="CX5" s="558">
        <v>0</v>
      </c>
      <c r="CY5" s="559"/>
      <c r="CZ5" s="559"/>
      <c r="DA5" s="559"/>
      <c r="DB5" s="559"/>
      <c r="DC5" s="559"/>
      <c r="DD5" s="559"/>
      <c r="DE5" s="559"/>
      <c r="DF5" s="559"/>
      <c r="DG5" s="559"/>
      <c r="DH5" s="559"/>
      <c r="DI5" s="559"/>
      <c r="DJ5" s="559"/>
      <c r="DK5" s="559"/>
      <c r="DL5" s="559"/>
      <c r="DM5" s="559"/>
      <c r="DN5" s="559"/>
      <c r="DO5" s="559"/>
      <c r="DP5" s="559"/>
      <c r="DQ5" s="559"/>
      <c r="DR5" s="559"/>
      <c r="DS5" s="559"/>
      <c r="DT5" s="559"/>
      <c r="DU5" s="559"/>
      <c r="DV5" s="559"/>
      <c r="DW5" s="559"/>
      <c r="DX5" s="559"/>
      <c r="DY5" s="559"/>
      <c r="DZ5" s="559"/>
      <c r="EA5" s="559"/>
      <c r="EB5" s="559"/>
      <c r="EC5" s="559"/>
      <c r="ED5" s="559"/>
      <c r="EE5" s="559"/>
      <c r="EF5" s="559"/>
      <c r="EG5" s="559"/>
      <c r="EH5" s="559"/>
      <c r="EI5" s="558" t="s">
        <v>1133</v>
      </c>
      <c r="EJ5" s="558" t="s">
        <v>1133</v>
      </c>
      <c r="EK5" s="558" t="s">
        <v>1133</v>
      </c>
      <c r="EL5" s="558" t="s">
        <v>1133</v>
      </c>
      <c r="EM5" s="558" t="s">
        <v>1133</v>
      </c>
      <c r="EN5" s="558" t="s">
        <v>1133</v>
      </c>
      <c r="EO5" s="558" t="s">
        <v>1133</v>
      </c>
      <c r="EP5" s="558" t="s">
        <v>1133</v>
      </c>
      <c r="EQ5" s="558" t="s">
        <v>1133</v>
      </c>
      <c r="ER5" s="558" t="s">
        <v>1133</v>
      </c>
      <c r="ES5" s="558" t="s">
        <v>1133</v>
      </c>
      <c r="ET5" s="558" t="s">
        <v>1133</v>
      </c>
      <c r="EU5" s="558">
        <v>4110</v>
      </c>
      <c r="EV5" s="558">
        <v>3980</v>
      </c>
      <c r="EW5" s="558" t="s">
        <v>1592</v>
      </c>
      <c r="EX5" s="558" t="s">
        <v>1592</v>
      </c>
      <c r="EY5" s="558" t="s">
        <v>1592</v>
      </c>
      <c r="EZ5" s="558" t="s">
        <v>1592</v>
      </c>
      <c r="FA5" s="558" t="s">
        <v>1592</v>
      </c>
      <c r="FB5" s="558" t="s">
        <v>1592</v>
      </c>
      <c r="FC5" s="558" t="s">
        <v>1592</v>
      </c>
      <c r="FD5" s="558" t="s">
        <v>1592</v>
      </c>
      <c r="FE5" s="558" t="s">
        <v>1592</v>
      </c>
      <c r="FF5" s="558" t="s">
        <v>1592</v>
      </c>
      <c r="FG5" s="558" t="s">
        <v>1592</v>
      </c>
      <c r="FH5" s="558" t="s">
        <v>1592</v>
      </c>
      <c r="FI5" s="558">
        <v>5</v>
      </c>
      <c r="FJ5" s="558">
        <v>5</v>
      </c>
      <c r="FK5" s="558">
        <v>7</v>
      </c>
      <c r="FL5" s="558">
        <v>7</v>
      </c>
      <c r="FM5" s="558">
        <v>7</v>
      </c>
      <c r="FN5" s="558">
        <v>7</v>
      </c>
      <c r="FO5" s="558">
        <v>7</v>
      </c>
      <c r="FP5" s="558">
        <v>7</v>
      </c>
      <c r="FQ5" s="558">
        <v>7</v>
      </c>
      <c r="FR5" s="558">
        <v>7</v>
      </c>
      <c r="FS5" s="558">
        <v>73</v>
      </c>
      <c r="FT5" s="558">
        <v>73</v>
      </c>
      <c r="FU5" s="558">
        <v>73</v>
      </c>
      <c r="FV5" s="558">
        <v>73</v>
      </c>
      <c r="FW5" s="558">
        <v>71</v>
      </c>
      <c r="FX5" s="558">
        <v>71</v>
      </c>
      <c r="FY5" s="558">
        <v>71</v>
      </c>
      <c r="FZ5" s="558">
        <v>71</v>
      </c>
      <c r="GA5" s="558">
        <v>71</v>
      </c>
      <c r="GB5" s="558">
        <v>70</v>
      </c>
      <c r="GC5" s="558" t="s">
        <v>1595</v>
      </c>
      <c r="GD5" s="558" t="s">
        <v>1595</v>
      </c>
      <c r="GE5" s="558" t="s">
        <v>1595</v>
      </c>
      <c r="GF5" s="558" t="s">
        <v>1595</v>
      </c>
      <c r="GG5" s="558" t="s">
        <v>1595</v>
      </c>
      <c r="GH5" s="558" t="s">
        <v>1595</v>
      </c>
      <c r="GI5" s="558" t="s">
        <v>1595</v>
      </c>
      <c r="GJ5" s="558" t="s">
        <v>1595</v>
      </c>
      <c r="GK5" s="558" t="s">
        <v>1595</v>
      </c>
      <c r="GL5" s="558" t="s">
        <v>1595</v>
      </c>
      <c r="GM5" s="558" t="s">
        <v>1595</v>
      </c>
      <c r="GN5" s="558" t="s">
        <v>1595</v>
      </c>
      <c r="GO5" s="562">
        <f>IF(GC5="配置",$GO$3,"")</f>
        <v>79950</v>
      </c>
      <c r="GP5" s="562">
        <f t="shared" ref="GP5:GZ5" si="0">IF(GD5="配置",$GO$3,"")</f>
        <v>79950</v>
      </c>
      <c r="GQ5" s="562">
        <f t="shared" si="0"/>
        <v>79950</v>
      </c>
      <c r="GR5" s="562">
        <f t="shared" si="0"/>
        <v>79950</v>
      </c>
      <c r="GS5" s="562">
        <f t="shared" si="0"/>
        <v>79950</v>
      </c>
      <c r="GT5" s="562">
        <f t="shared" si="0"/>
        <v>79950</v>
      </c>
      <c r="GU5" s="562">
        <f t="shared" si="0"/>
        <v>79950</v>
      </c>
      <c r="GV5" s="562">
        <f t="shared" si="0"/>
        <v>79950</v>
      </c>
      <c r="GW5" s="562">
        <f t="shared" si="0"/>
        <v>79950</v>
      </c>
      <c r="GX5" s="562">
        <f t="shared" si="0"/>
        <v>79950</v>
      </c>
      <c r="GY5" s="562">
        <f t="shared" si="0"/>
        <v>79950</v>
      </c>
      <c r="GZ5" s="562">
        <f t="shared" si="0"/>
        <v>79950</v>
      </c>
      <c r="HA5" s="563" t="s">
        <v>1284</v>
      </c>
      <c r="HC5" s="349" t="s">
        <v>1008</v>
      </c>
      <c r="HD5" s="349" t="s">
        <v>1514</v>
      </c>
    </row>
    <row r="6" spans="1:212">
      <c r="B6" s="549">
        <v>2</v>
      </c>
      <c r="C6" s="549">
        <v>202</v>
      </c>
      <c r="D6" s="550" t="s">
        <v>441</v>
      </c>
      <c r="E6" s="557" t="s">
        <v>13</v>
      </c>
      <c r="F6" s="555">
        <v>90</v>
      </c>
      <c r="G6" s="555">
        <v>0</v>
      </c>
      <c r="H6" s="555">
        <v>50</v>
      </c>
      <c r="I6" s="555">
        <v>40</v>
      </c>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2"/>
      <c r="AK6" s="553"/>
      <c r="AL6" s="553"/>
      <c r="AM6" s="554"/>
      <c r="AN6" s="555" t="s">
        <v>11</v>
      </c>
      <c r="AO6" s="558" t="s">
        <v>883</v>
      </c>
      <c r="AP6" s="558" t="s">
        <v>883</v>
      </c>
      <c r="AQ6" s="558" t="s">
        <v>883</v>
      </c>
      <c r="AR6" s="558" t="s">
        <v>883</v>
      </c>
      <c r="AS6" s="558" t="s">
        <v>883</v>
      </c>
      <c r="AT6" s="558" t="s">
        <v>883</v>
      </c>
      <c r="AU6" s="558" t="s">
        <v>883</v>
      </c>
      <c r="AV6" s="558" t="s">
        <v>883</v>
      </c>
      <c r="AW6" s="558" t="s">
        <v>883</v>
      </c>
      <c r="AX6" s="558" t="s">
        <v>883</v>
      </c>
      <c r="AY6" s="558" t="s">
        <v>883</v>
      </c>
      <c r="AZ6" s="558" t="s">
        <v>883</v>
      </c>
      <c r="BA6" s="558" t="s">
        <v>883</v>
      </c>
      <c r="BB6" s="558" t="s">
        <v>883</v>
      </c>
      <c r="BC6" s="558" t="s">
        <v>883</v>
      </c>
      <c r="BD6" s="558" t="s">
        <v>883</v>
      </c>
      <c r="BE6" s="558" t="s">
        <v>883</v>
      </c>
      <c r="BF6" s="558" t="s">
        <v>883</v>
      </c>
      <c r="BG6" s="558" t="s">
        <v>883</v>
      </c>
      <c r="BH6" s="558" t="s">
        <v>883</v>
      </c>
      <c r="BI6" s="558" t="s">
        <v>883</v>
      </c>
      <c r="BJ6" s="558" t="s">
        <v>883</v>
      </c>
      <c r="BK6" s="558" t="s">
        <v>883</v>
      </c>
      <c r="BL6" s="558" t="s">
        <v>883</v>
      </c>
      <c r="BM6" s="558">
        <v>1</v>
      </c>
      <c r="BN6" s="558">
        <v>1</v>
      </c>
      <c r="BO6" s="558">
        <v>1</v>
      </c>
      <c r="BP6" s="558">
        <v>1</v>
      </c>
      <c r="BQ6" s="558">
        <v>1</v>
      </c>
      <c r="BR6" s="558">
        <v>1</v>
      </c>
      <c r="BS6" s="558">
        <v>1</v>
      </c>
      <c r="BT6" s="558">
        <v>1</v>
      </c>
      <c r="BU6" s="558">
        <v>1</v>
      </c>
      <c r="BV6" s="558">
        <v>1</v>
      </c>
      <c r="BW6" s="558">
        <v>1</v>
      </c>
      <c r="BX6" s="558">
        <v>1</v>
      </c>
      <c r="BY6" s="558">
        <v>0</v>
      </c>
      <c r="BZ6" s="558">
        <v>0</v>
      </c>
      <c r="CA6" s="558">
        <v>0</v>
      </c>
      <c r="CB6" s="558">
        <v>0</v>
      </c>
      <c r="CC6" s="558">
        <v>0</v>
      </c>
      <c r="CD6" s="558">
        <v>0</v>
      </c>
      <c r="CE6" s="558">
        <v>0</v>
      </c>
      <c r="CF6" s="558">
        <v>0</v>
      </c>
      <c r="CG6" s="558">
        <v>0</v>
      </c>
      <c r="CH6" s="558">
        <v>0</v>
      </c>
      <c r="CI6" s="558">
        <v>0</v>
      </c>
      <c r="CJ6" s="558">
        <v>0</v>
      </c>
      <c r="CK6" s="558">
        <v>0</v>
      </c>
      <c r="CL6" s="558">
        <v>0</v>
      </c>
      <c r="CM6" s="558">
        <v>0</v>
      </c>
      <c r="CN6" s="558">
        <v>0</v>
      </c>
      <c r="CO6" s="558">
        <v>0</v>
      </c>
      <c r="CP6" s="558">
        <v>0</v>
      </c>
      <c r="CQ6" s="558">
        <v>0</v>
      </c>
      <c r="CR6" s="558">
        <v>0</v>
      </c>
      <c r="CS6" s="558">
        <v>0</v>
      </c>
      <c r="CT6" s="558">
        <v>0</v>
      </c>
      <c r="CU6" s="558">
        <v>0</v>
      </c>
      <c r="CV6" s="558">
        <v>0</v>
      </c>
      <c r="CW6" s="558" t="s">
        <v>11</v>
      </c>
      <c r="CX6" s="558">
        <v>2</v>
      </c>
      <c r="CY6" s="559"/>
      <c r="CZ6" s="559"/>
      <c r="DA6" s="559"/>
      <c r="DB6" s="559"/>
      <c r="DC6" s="559"/>
      <c r="DD6" s="559"/>
      <c r="DE6" s="559"/>
      <c r="DF6" s="559"/>
      <c r="DG6" s="559"/>
      <c r="DH6" s="559"/>
      <c r="DI6" s="559"/>
      <c r="DJ6" s="559"/>
      <c r="DK6" s="559"/>
      <c r="DL6" s="559"/>
      <c r="DM6" s="559"/>
      <c r="DN6" s="559"/>
      <c r="DO6" s="559"/>
      <c r="DP6" s="559"/>
      <c r="DQ6" s="559"/>
      <c r="DR6" s="559"/>
      <c r="DS6" s="559"/>
      <c r="DT6" s="559"/>
      <c r="DU6" s="559"/>
      <c r="DV6" s="559"/>
      <c r="DW6" s="559"/>
      <c r="DX6" s="559"/>
      <c r="DY6" s="559"/>
      <c r="DZ6" s="559"/>
      <c r="EA6" s="559"/>
      <c r="EB6" s="559"/>
      <c r="EC6" s="559"/>
      <c r="ED6" s="559"/>
      <c r="EE6" s="559"/>
      <c r="EF6" s="559"/>
      <c r="EG6" s="559"/>
      <c r="EH6" s="559"/>
      <c r="EI6" s="558" t="s">
        <v>1133</v>
      </c>
      <c r="EJ6" s="558" t="s">
        <v>1133</v>
      </c>
      <c r="EK6" s="558" t="s">
        <v>1133</v>
      </c>
      <c r="EL6" s="558" t="s">
        <v>1133</v>
      </c>
      <c r="EM6" s="558" t="s">
        <v>1133</v>
      </c>
      <c r="EN6" s="558" t="s">
        <v>1133</v>
      </c>
      <c r="EO6" s="558" t="s">
        <v>1133</v>
      </c>
      <c r="EP6" s="558" t="s">
        <v>1133</v>
      </c>
      <c r="EQ6" s="558" t="s">
        <v>1133</v>
      </c>
      <c r="ER6" s="558" t="s">
        <v>1133</v>
      </c>
      <c r="ES6" s="558" t="s">
        <v>1133</v>
      </c>
      <c r="ET6" s="558" t="s">
        <v>1133</v>
      </c>
      <c r="EU6" s="558">
        <v>4200</v>
      </c>
      <c r="EV6" s="558">
        <v>4070</v>
      </c>
      <c r="EW6" s="558" t="s">
        <v>1592</v>
      </c>
      <c r="EX6" s="558" t="s">
        <v>1592</v>
      </c>
      <c r="EY6" s="558" t="s">
        <v>1592</v>
      </c>
      <c r="EZ6" s="558" t="s">
        <v>1592</v>
      </c>
      <c r="FA6" s="558" t="s">
        <v>1592</v>
      </c>
      <c r="FB6" s="558" t="s">
        <v>1592</v>
      </c>
      <c r="FC6" s="558" t="s">
        <v>1592</v>
      </c>
      <c r="FD6" s="558" t="s">
        <v>1592</v>
      </c>
      <c r="FE6" s="558" t="s">
        <v>1592</v>
      </c>
      <c r="FF6" s="558" t="s">
        <v>1592</v>
      </c>
      <c r="FG6" s="558" t="s">
        <v>1592</v>
      </c>
      <c r="FH6" s="558" t="s">
        <v>1592</v>
      </c>
      <c r="FI6" s="558">
        <v>0</v>
      </c>
      <c r="FJ6" s="558">
        <v>0</v>
      </c>
      <c r="FK6" s="558">
        <v>0</v>
      </c>
      <c r="FL6" s="558">
        <v>0</v>
      </c>
      <c r="FM6" s="558">
        <v>0</v>
      </c>
      <c r="FN6" s="558">
        <v>0</v>
      </c>
      <c r="FO6" s="558">
        <v>0</v>
      </c>
      <c r="FP6" s="558">
        <v>0</v>
      </c>
      <c r="FQ6" s="558">
        <v>0</v>
      </c>
      <c r="FR6" s="558">
        <v>0</v>
      </c>
      <c r="FS6" s="558">
        <v>39</v>
      </c>
      <c r="FT6" s="558">
        <v>38</v>
      </c>
      <c r="FU6" s="558">
        <v>39</v>
      </c>
      <c r="FV6" s="558">
        <v>39</v>
      </c>
      <c r="FW6" s="558">
        <v>39</v>
      </c>
      <c r="FX6" s="558">
        <v>39</v>
      </c>
      <c r="FY6" s="558">
        <v>39</v>
      </c>
      <c r="FZ6" s="558">
        <v>40</v>
      </c>
      <c r="GA6" s="558">
        <v>40</v>
      </c>
      <c r="GB6" s="558">
        <v>40</v>
      </c>
      <c r="GC6" s="558" t="s">
        <v>1595</v>
      </c>
      <c r="GD6" s="558" t="s">
        <v>1595</v>
      </c>
      <c r="GE6" s="558" t="s">
        <v>1595</v>
      </c>
      <c r="GF6" s="558" t="s">
        <v>1595</v>
      </c>
      <c r="GG6" s="558" t="s">
        <v>1595</v>
      </c>
      <c r="GH6" s="558" t="s">
        <v>1595</v>
      </c>
      <c r="GI6" s="558" t="s">
        <v>1595</v>
      </c>
      <c r="GJ6" s="558" t="s">
        <v>1595</v>
      </c>
      <c r="GK6" s="558" t="s">
        <v>1595</v>
      </c>
      <c r="GL6" s="558" t="s">
        <v>1595</v>
      </c>
      <c r="GM6" s="558" t="s">
        <v>1595</v>
      </c>
      <c r="GN6" s="558" t="s">
        <v>1595</v>
      </c>
      <c r="GO6" s="562">
        <f t="shared" ref="GO6:GO35" si="1">IF(GC6="配置",$GO$3,"")</f>
        <v>79950</v>
      </c>
      <c r="GP6" s="562">
        <f t="shared" ref="GP6:GP35" si="2">IF(GD6="配置",$GO$3,"")</f>
        <v>79950</v>
      </c>
      <c r="GQ6" s="562">
        <f t="shared" ref="GQ6:GQ35" si="3">IF(GE6="配置",$GO$3,"")</f>
        <v>79950</v>
      </c>
      <c r="GR6" s="562">
        <f t="shared" ref="GR6:GR35" si="4">IF(GF6="配置",$GO$3,"")</f>
        <v>79950</v>
      </c>
      <c r="GS6" s="562">
        <f t="shared" ref="GS6:GS35" si="5">IF(GG6="配置",$GO$3,"")</f>
        <v>79950</v>
      </c>
      <c r="GT6" s="562">
        <f t="shared" ref="GT6:GT35" si="6">IF(GH6="配置",$GO$3,"")</f>
        <v>79950</v>
      </c>
      <c r="GU6" s="562">
        <f t="shared" ref="GU6:GU35" si="7">IF(GI6="配置",$GO$3,"")</f>
        <v>79950</v>
      </c>
      <c r="GV6" s="562">
        <f t="shared" ref="GV6:GV35" si="8">IF(GJ6="配置",$GO$3,"")</f>
        <v>79950</v>
      </c>
      <c r="GW6" s="562">
        <f t="shared" ref="GW6:GW35" si="9">IF(GK6="配置",$GO$3,"")</f>
        <v>79950</v>
      </c>
      <c r="GX6" s="562">
        <f t="shared" ref="GX6:GX35" si="10">IF(GL6="配置",$GO$3,"")</f>
        <v>79950</v>
      </c>
      <c r="GY6" s="562">
        <f t="shared" ref="GY6:GY35" si="11">IF(GM6="配置",$GO$3,"")</f>
        <v>79950</v>
      </c>
      <c r="GZ6" s="562">
        <f t="shared" ref="GZ6:GZ35" si="12">IF(GN6="配置",$GO$3,"")</f>
        <v>79950</v>
      </c>
      <c r="HA6" s="564" t="s">
        <v>1284</v>
      </c>
      <c r="HC6" s="349" t="s">
        <v>441</v>
      </c>
      <c r="HD6" s="349" t="s">
        <v>1514</v>
      </c>
    </row>
    <row r="7" spans="1:212">
      <c r="B7" s="549">
        <v>3</v>
      </c>
      <c r="C7" s="549">
        <v>203</v>
      </c>
      <c r="D7" s="550" t="s">
        <v>453</v>
      </c>
      <c r="E7" s="557" t="s">
        <v>13</v>
      </c>
      <c r="F7" s="555">
        <v>156</v>
      </c>
      <c r="G7" s="555">
        <v>66</v>
      </c>
      <c r="H7" s="555">
        <v>60</v>
      </c>
      <c r="I7" s="555">
        <v>30</v>
      </c>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2"/>
      <c r="AK7" s="553"/>
      <c r="AL7" s="553"/>
      <c r="AM7" s="554"/>
      <c r="AN7" s="555" t="s">
        <v>11</v>
      </c>
      <c r="AO7" s="558" t="s">
        <v>883</v>
      </c>
      <c r="AP7" s="558" t="s">
        <v>883</v>
      </c>
      <c r="AQ7" s="558" t="s">
        <v>883</v>
      </c>
      <c r="AR7" s="558" t="s">
        <v>883</v>
      </c>
      <c r="AS7" s="558" t="s">
        <v>883</v>
      </c>
      <c r="AT7" s="558" t="s">
        <v>883</v>
      </c>
      <c r="AU7" s="558" t="s">
        <v>883</v>
      </c>
      <c r="AV7" s="558" t="s">
        <v>883</v>
      </c>
      <c r="AW7" s="558" t="s">
        <v>883</v>
      </c>
      <c r="AX7" s="558" t="s">
        <v>883</v>
      </c>
      <c r="AY7" s="558" t="s">
        <v>883</v>
      </c>
      <c r="AZ7" s="558" t="s">
        <v>883</v>
      </c>
      <c r="BA7" s="558" t="s">
        <v>883</v>
      </c>
      <c r="BB7" s="558" t="s">
        <v>883</v>
      </c>
      <c r="BC7" s="558" t="s">
        <v>883</v>
      </c>
      <c r="BD7" s="558" t="s">
        <v>883</v>
      </c>
      <c r="BE7" s="558" t="s">
        <v>883</v>
      </c>
      <c r="BF7" s="558" t="s">
        <v>883</v>
      </c>
      <c r="BG7" s="558" t="s">
        <v>883</v>
      </c>
      <c r="BH7" s="558" t="s">
        <v>883</v>
      </c>
      <c r="BI7" s="558" t="s">
        <v>883</v>
      </c>
      <c r="BJ7" s="558" t="s">
        <v>883</v>
      </c>
      <c r="BK7" s="558" t="s">
        <v>883</v>
      </c>
      <c r="BL7" s="558" t="s">
        <v>883</v>
      </c>
      <c r="BM7" s="558">
        <v>0</v>
      </c>
      <c r="BN7" s="558">
        <v>0</v>
      </c>
      <c r="BO7" s="558">
        <v>0</v>
      </c>
      <c r="BP7" s="558">
        <v>0</v>
      </c>
      <c r="BQ7" s="558">
        <v>0</v>
      </c>
      <c r="BR7" s="558">
        <v>0</v>
      </c>
      <c r="BS7" s="558">
        <v>0</v>
      </c>
      <c r="BT7" s="558">
        <v>0</v>
      </c>
      <c r="BU7" s="558">
        <v>0</v>
      </c>
      <c r="BV7" s="558">
        <v>0</v>
      </c>
      <c r="BW7" s="558">
        <v>0</v>
      </c>
      <c r="BX7" s="558">
        <v>0</v>
      </c>
      <c r="BY7" s="558">
        <v>0</v>
      </c>
      <c r="BZ7" s="558">
        <v>0</v>
      </c>
      <c r="CA7" s="558">
        <v>0</v>
      </c>
      <c r="CB7" s="558">
        <v>0</v>
      </c>
      <c r="CC7" s="558">
        <v>0</v>
      </c>
      <c r="CD7" s="558">
        <v>0</v>
      </c>
      <c r="CE7" s="558">
        <v>0</v>
      </c>
      <c r="CF7" s="558">
        <v>0</v>
      </c>
      <c r="CG7" s="558">
        <v>0</v>
      </c>
      <c r="CH7" s="558">
        <v>0</v>
      </c>
      <c r="CI7" s="558">
        <v>0</v>
      </c>
      <c r="CJ7" s="558">
        <v>0</v>
      </c>
      <c r="CK7" s="558">
        <v>0</v>
      </c>
      <c r="CL7" s="558">
        <v>0</v>
      </c>
      <c r="CM7" s="558">
        <v>0</v>
      </c>
      <c r="CN7" s="558">
        <v>0</v>
      </c>
      <c r="CO7" s="558">
        <v>0</v>
      </c>
      <c r="CP7" s="558">
        <v>0</v>
      </c>
      <c r="CQ7" s="558">
        <v>0</v>
      </c>
      <c r="CR7" s="558">
        <v>0</v>
      </c>
      <c r="CS7" s="558">
        <v>0</v>
      </c>
      <c r="CT7" s="558">
        <v>0</v>
      </c>
      <c r="CU7" s="558">
        <v>0</v>
      </c>
      <c r="CV7" s="558">
        <v>0</v>
      </c>
      <c r="CW7" s="558" t="s">
        <v>13</v>
      </c>
      <c r="CX7" s="558">
        <v>3</v>
      </c>
      <c r="CY7" s="559"/>
      <c r="CZ7" s="559"/>
      <c r="DA7" s="559"/>
      <c r="DB7" s="559"/>
      <c r="DC7" s="559"/>
      <c r="DD7" s="559"/>
      <c r="DE7" s="559"/>
      <c r="DF7" s="559"/>
      <c r="DG7" s="559"/>
      <c r="DH7" s="559"/>
      <c r="DI7" s="559"/>
      <c r="DJ7" s="559"/>
      <c r="DK7" s="559"/>
      <c r="DL7" s="559"/>
      <c r="DM7" s="559"/>
      <c r="DN7" s="559"/>
      <c r="DO7" s="559"/>
      <c r="DP7" s="559"/>
      <c r="DQ7" s="559"/>
      <c r="DR7" s="559"/>
      <c r="DS7" s="559"/>
      <c r="DT7" s="559"/>
      <c r="DU7" s="559"/>
      <c r="DV7" s="559"/>
      <c r="DW7" s="559"/>
      <c r="DX7" s="559"/>
      <c r="DY7" s="559"/>
      <c r="DZ7" s="559"/>
      <c r="EA7" s="559"/>
      <c r="EB7" s="559"/>
      <c r="EC7" s="559"/>
      <c r="ED7" s="559"/>
      <c r="EE7" s="559"/>
      <c r="EF7" s="559"/>
      <c r="EG7" s="559"/>
      <c r="EH7" s="559"/>
      <c r="EI7" s="558" t="s">
        <v>1133</v>
      </c>
      <c r="EJ7" s="558" t="s">
        <v>1133</v>
      </c>
      <c r="EK7" s="558" t="s">
        <v>1133</v>
      </c>
      <c r="EL7" s="558" t="s">
        <v>1133</v>
      </c>
      <c r="EM7" s="558" t="s">
        <v>1133</v>
      </c>
      <c r="EN7" s="558" t="s">
        <v>1133</v>
      </c>
      <c r="EO7" s="558" t="s">
        <v>1133</v>
      </c>
      <c r="EP7" s="558" t="s">
        <v>1133</v>
      </c>
      <c r="EQ7" s="558" t="s">
        <v>1133</v>
      </c>
      <c r="ER7" s="558" t="s">
        <v>1133</v>
      </c>
      <c r="ES7" s="558" t="s">
        <v>1133</v>
      </c>
      <c r="ET7" s="558" t="s">
        <v>1133</v>
      </c>
      <c r="EU7" s="558">
        <v>4200</v>
      </c>
      <c r="EV7" s="558">
        <v>4070</v>
      </c>
      <c r="EW7" s="558" t="s">
        <v>1592</v>
      </c>
      <c r="EX7" s="558" t="s">
        <v>1592</v>
      </c>
      <c r="EY7" s="558" t="s">
        <v>1592</v>
      </c>
      <c r="EZ7" s="558" t="s">
        <v>1592</v>
      </c>
      <c r="FA7" s="558" t="s">
        <v>1592</v>
      </c>
      <c r="FB7" s="558" t="s">
        <v>1592</v>
      </c>
      <c r="FC7" s="558" t="s">
        <v>1592</v>
      </c>
      <c r="FD7" s="558" t="s">
        <v>1592</v>
      </c>
      <c r="FE7" s="558" t="s">
        <v>1592</v>
      </c>
      <c r="FF7" s="558" t="s">
        <v>1592</v>
      </c>
      <c r="FG7" s="558" t="s">
        <v>1592</v>
      </c>
      <c r="FH7" s="558" t="s">
        <v>1592</v>
      </c>
      <c r="FI7" s="558">
        <v>28</v>
      </c>
      <c r="FJ7" s="558">
        <v>29</v>
      </c>
      <c r="FK7" s="558">
        <v>29</v>
      </c>
      <c r="FL7" s="558">
        <v>28</v>
      </c>
      <c r="FM7" s="558">
        <v>25</v>
      </c>
      <c r="FN7" s="558">
        <v>26</v>
      </c>
      <c r="FO7" s="558">
        <v>26</v>
      </c>
      <c r="FP7" s="558">
        <v>26</v>
      </c>
      <c r="FQ7" s="558">
        <v>25</v>
      </c>
      <c r="FR7" s="558">
        <v>26</v>
      </c>
      <c r="FS7" s="558">
        <v>63</v>
      </c>
      <c r="FT7" s="558">
        <v>64</v>
      </c>
      <c r="FU7" s="558">
        <v>63</v>
      </c>
      <c r="FV7" s="558">
        <v>64</v>
      </c>
      <c r="FW7" s="558">
        <v>67</v>
      </c>
      <c r="FX7" s="558">
        <v>66</v>
      </c>
      <c r="FY7" s="558">
        <v>66</v>
      </c>
      <c r="FZ7" s="558">
        <v>66</v>
      </c>
      <c r="GA7" s="558">
        <v>67</v>
      </c>
      <c r="GB7" s="558">
        <v>67</v>
      </c>
      <c r="GC7" s="558" t="s">
        <v>1596</v>
      </c>
      <c r="GD7" s="558" t="s">
        <v>1596</v>
      </c>
      <c r="GE7" s="558" t="s">
        <v>1596</v>
      </c>
      <c r="GF7" s="558" t="s">
        <v>1596</v>
      </c>
      <c r="GG7" s="558" t="s">
        <v>1596</v>
      </c>
      <c r="GH7" s="558" t="s">
        <v>1596</v>
      </c>
      <c r="GI7" s="558" t="s">
        <v>1596</v>
      </c>
      <c r="GJ7" s="558" t="s">
        <v>1596</v>
      </c>
      <c r="GK7" s="558" t="s">
        <v>1596</v>
      </c>
      <c r="GL7" s="558" t="s">
        <v>1596</v>
      </c>
      <c r="GM7" s="558" t="s">
        <v>1596</v>
      </c>
      <c r="GN7" s="558" t="s">
        <v>1596</v>
      </c>
      <c r="GO7" s="562" t="str">
        <f t="shared" si="1"/>
        <v/>
      </c>
      <c r="GP7" s="562" t="str">
        <f t="shared" si="2"/>
        <v/>
      </c>
      <c r="GQ7" s="562" t="str">
        <f t="shared" si="3"/>
        <v/>
      </c>
      <c r="GR7" s="562" t="str">
        <f t="shared" si="4"/>
        <v/>
      </c>
      <c r="GS7" s="562" t="str">
        <f t="shared" si="5"/>
        <v/>
      </c>
      <c r="GT7" s="562" t="str">
        <f t="shared" si="6"/>
        <v/>
      </c>
      <c r="GU7" s="562" t="str">
        <f t="shared" si="7"/>
        <v/>
      </c>
      <c r="GV7" s="562" t="str">
        <f t="shared" si="8"/>
        <v/>
      </c>
      <c r="GW7" s="562" t="str">
        <f t="shared" si="9"/>
        <v/>
      </c>
      <c r="GX7" s="562" t="str">
        <f t="shared" si="10"/>
        <v/>
      </c>
      <c r="GY7" s="562" t="str">
        <f t="shared" si="11"/>
        <v/>
      </c>
      <c r="GZ7" s="562" t="str">
        <f t="shared" si="12"/>
        <v/>
      </c>
      <c r="HA7" s="564" t="s">
        <v>1284</v>
      </c>
      <c r="HC7" s="349" t="s">
        <v>453</v>
      </c>
      <c r="HD7" s="349" t="s">
        <v>1514</v>
      </c>
    </row>
    <row r="8" spans="1:212">
      <c r="B8" s="549">
        <v>4</v>
      </c>
      <c r="C8" s="549">
        <v>204</v>
      </c>
      <c r="D8" s="550" t="s">
        <v>419</v>
      </c>
      <c r="E8" s="557" t="s">
        <v>13</v>
      </c>
      <c r="F8" s="555">
        <v>59</v>
      </c>
      <c r="G8" s="555">
        <v>9</v>
      </c>
      <c r="H8" s="555">
        <v>27</v>
      </c>
      <c r="I8" s="555">
        <v>23</v>
      </c>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2"/>
      <c r="AK8" s="553"/>
      <c r="AL8" s="553"/>
      <c r="AM8" s="554"/>
      <c r="AN8" s="555" t="s">
        <v>11</v>
      </c>
      <c r="AO8" s="558" t="s">
        <v>1594</v>
      </c>
      <c r="AP8" s="558" t="s">
        <v>1594</v>
      </c>
      <c r="AQ8" s="558" t="s">
        <v>1594</v>
      </c>
      <c r="AR8" s="558" t="s">
        <v>1594</v>
      </c>
      <c r="AS8" s="558" t="s">
        <v>1594</v>
      </c>
      <c r="AT8" s="558" t="s">
        <v>1594</v>
      </c>
      <c r="AU8" s="558" t="s">
        <v>1594</v>
      </c>
      <c r="AV8" s="558" t="s">
        <v>1594</v>
      </c>
      <c r="AW8" s="558" t="s">
        <v>1594</v>
      </c>
      <c r="AX8" s="558" t="s">
        <v>1594</v>
      </c>
      <c r="AY8" s="558" t="s">
        <v>1594</v>
      </c>
      <c r="AZ8" s="558" t="s">
        <v>1594</v>
      </c>
      <c r="BA8" s="558" t="s">
        <v>883</v>
      </c>
      <c r="BB8" s="558" t="s">
        <v>883</v>
      </c>
      <c r="BC8" s="558" t="s">
        <v>883</v>
      </c>
      <c r="BD8" s="558" t="s">
        <v>883</v>
      </c>
      <c r="BE8" s="558" t="s">
        <v>883</v>
      </c>
      <c r="BF8" s="558" t="s">
        <v>883</v>
      </c>
      <c r="BG8" s="558" t="s">
        <v>883</v>
      </c>
      <c r="BH8" s="558" t="s">
        <v>883</v>
      </c>
      <c r="BI8" s="558" t="s">
        <v>883</v>
      </c>
      <c r="BJ8" s="558" t="s">
        <v>883</v>
      </c>
      <c r="BK8" s="558" t="s">
        <v>883</v>
      </c>
      <c r="BL8" s="558" t="s">
        <v>883</v>
      </c>
      <c r="BM8" s="558">
        <v>2</v>
      </c>
      <c r="BN8" s="558">
        <v>2</v>
      </c>
      <c r="BO8" s="558">
        <v>2</v>
      </c>
      <c r="BP8" s="558">
        <v>2</v>
      </c>
      <c r="BQ8" s="558">
        <v>2</v>
      </c>
      <c r="BR8" s="558">
        <v>2</v>
      </c>
      <c r="BS8" s="558">
        <v>2</v>
      </c>
      <c r="BT8" s="558">
        <v>2</v>
      </c>
      <c r="BU8" s="558">
        <v>2</v>
      </c>
      <c r="BV8" s="558">
        <v>2</v>
      </c>
      <c r="BW8" s="558">
        <v>2</v>
      </c>
      <c r="BX8" s="558">
        <v>2</v>
      </c>
      <c r="BY8" s="558">
        <v>0</v>
      </c>
      <c r="BZ8" s="558">
        <v>0</v>
      </c>
      <c r="CA8" s="558">
        <v>0</v>
      </c>
      <c r="CB8" s="558">
        <v>0</v>
      </c>
      <c r="CC8" s="558">
        <v>0</v>
      </c>
      <c r="CD8" s="558">
        <v>0</v>
      </c>
      <c r="CE8" s="558">
        <v>0</v>
      </c>
      <c r="CF8" s="558">
        <v>0</v>
      </c>
      <c r="CG8" s="558">
        <v>0</v>
      </c>
      <c r="CH8" s="558">
        <v>0</v>
      </c>
      <c r="CI8" s="558">
        <v>0</v>
      </c>
      <c r="CJ8" s="558">
        <v>0</v>
      </c>
      <c r="CK8" s="558">
        <v>0</v>
      </c>
      <c r="CL8" s="558">
        <v>0</v>
      </c>
      <c r="CM8" s="558">
        <v>0</v>
      </c>
      <c r="CN8" s="558">
        <v>0</v>
      </c>
      <c r="CO8" s="558">
        <v>0</v>
      </c>
      <c r="CP8" s="558">
        <v>0</v>
      </c>
      <c r="CQ8" s="558">
        <v>0</v>
      </c>
      <c r="CR8" s="558">
        <v>0</v>
      </c>
      <c r="CS8" s="558">
        <v>0</v>
      </c>
      <c r="CT8" s="558">
        <v>0</v>
      </c>
      <c r="CU8" s="558">
        <v>0</v>
      </c>
      <c r="CV8" s="558">
        <v>0</v>
      </c>
      <c r="CW8" s="558" t="s">
        <v>13</v>
      </c>
      <c r="CX8" s="558">
        <v>0</v>
      </c>
      <c r="CY8" s="559"/>
      <c r="CZ8" s="559"/>
      <c r="DA8" s="559"/>
      <c r="DB8" s="559"/>
      <c r="DC8" s="559"/>
      <c r="DD8" s="559"/>
      <c r="DE8" s="559"/>
      <c r="DF8" s="559"/>
      <c r="DG8" s="559"/>
      <c r="DH8" s="559"/>
      <c r="DI8" s="559"/>
      <c r="DJ8" s="559"/>
      <c r="DK8" s="559"/>
      <c r="DL8" s="559"/>
      <c r="DM8" s="559"/>
      <c r="DN8" s="559"/>
      <c r="DO8" s="559"/>
      <c r="DP8" s="559"/>
      <c r="DQ8" s="559"/>
      <c r="DR8" s="559"/>
      <c r="DS8" s="559"/>
      <c r="DT8" s="559"/>
      <c r="DU8" s="559"/>
      <c r="DV8" s="559"/>
      <c r="DW8" s="559"/>
      <c r="DX8" s="559"/>
      <c r="DY8" s="559"/>
      <c r="DZ8" s="559"/>
      <c r="EA8" s="559"/>
      <c r="EB8" s="559"/>
      <c r="EC8" s="559"/>
      <c r="ED8" s="559"/>
      <c r="EE8" s="559"/>
      <c r="EF8" s="559"/>
      <c r="EG8" s="559"/>
      <c r="EH8" s="559"/>
      <c r="EI8" s="558" t="s">
        <v>1133</v>
      </c>
      <c r="EJ8" s="558" t="s">
        <v>1133</v>
      </c>
      <c r="EK8" s="558" t="s">
        <v>1133</v>
      </c>
      <c r="EL8" s="558" t="s">
        <v>1133</v>
      </c>
      <c r="EM8" s="558" t="s">
        <v>1133</v>
      </c>
      <c r="EN8" s="558" t="s">
        <v>1133</v>
      </c>
      <c r="EO8" s="558" t="s">
        <v>1133</v>
      </c>
      <c r="EP8" s="558" t="s">
        <v>1133</v>
      </c>
      <c r="EQ8" s="558" t="s">
        <v>1133</v>
      </c>
      <c r="ER8" s="558" t="s">
        <v>1133</v>
      </c>
      <c r="ES8" s="558" t="s">
        <v>1133</v>
      </c>
      <c r="ET8" s="558" t="s">
        <v>1133</v>
      </c>
      <c r="EU8" s="558">
        <v>4140</v>
      </c>
      <c r="EV8" s="558">
        <v>4010</v>
      </c>
      <c r="EW8" s="558" t="s">
        <v>1592</v>
      </c>
      <c r="EX8" s="558" t="s">
        <v>1592</v>
      </c>
      <c r="EY8" s="558" t="s">
        <v>1592</v>
      </c>
      <c r="EZ8" s="558" t="s">
        <v>1592</v>
      </c>
      <c r="FA8" s="558" t="s">
        <v>1592</v>
      </c>
      <c r="FB8" s="558" t="s">
        <v>1592</v>
      </c>
      <c r="FC8" s="558" t="s">
        <v>1592</v>
      </c>
      <c r="FD8" s="558" t="s">
        <v>1592</v>
      </c>
      <c r="FE8" s="558" t="s">
        <v>1592</v>
      </c>
      <c r="FF8" s="558" t="s">
        <v>1592</v>
      </c>
      <c r="FG8" s="558" t="s">
        <v>1592</v>
      </c>
      <c r="FH8" s="558" t="s">
        <v>1592</v>
      </c>
      <c r="FI8" s="558">
        <v>6</v>
      </c>
      <c r="FJ8" s="558">
        <v>6</v>
      </c>
      <c r="FK8" s="558">
        <v>6</v>
      </c>
      <c r="FL8" s="558">
        <v>6</v>
      </c>
      <c r="FM8" s="558">
        <v>6</v>
      </c>
      <c r="FN8" s="558">
        <v>6</v>
      </c>
      <c r="FO8" s="558">
        <v>6</v>
      </c>
      <c r="FP8" s="558">
        <v>6</v>
      </c>
      <c r="FQ8" s="558">
        <v>6</v>
      </c>
      <c r="FR8" s="558">
        <v>6</v>
      </c>
      <c r="FS8" s="558">
        <v>13</v>
      </c>
      <c r="FT8" s="558">
        <v>13</v>
      </c>
      <c r="FU8" s="558">
        <v>12</v>
      </c>
      <c r="FV8" s="558">
        <v>12</v>
      </c>
      <c r="FW8" s="558">
        <v>12</v>
      </c>
      <c r="FX8" s="558">
        <v>12</v>
      </c>
      <c r="FY8" s="558">
        <v>12</v>
      </c>
      <c r="FZ8" s="558">
        <v>12</v>
      </c>
      <c r="GA8" s="558">
        <v>12</v>
      </c>
      <c r="GB8" s="558">
        <v>12</v>
      </c>
      <c r="GC8" s="558" t="s">
        <v>1596</v>
      </c>
      <c r="GD8" s="558" t="s">
        <v>1596</v>
      </c>
      <c r="GE8" s="558" t="s">
        <v>1596</v>
      </c>
      <c r="GF8" s="558" t="s">
        <v>1596</v>
      </c>
      <c r="GG8" s="558" t="s">
        <v>1596</v>
      </c>
      <c r="GH8" s="558" t="s">
        <v>1596</v>
      </c>
      <c r="GI8" s="558" t="s">
        <v>1596</v>
      </c>
      <c r="GJ8" s="558" t="s">
        <v>1596</v>
      </c>
      <c r="GK8" s="558" t="s">
        <v>1596</v>
      </c>
      <c r="GL8" s="558" t="s">
        <v>1596</v>
      </c>
      <c r="GM8" s="558" t="s">
        <v>1596</v>
      </c>
      <c r="GN8" s="558" t="s">
        <v>1596</v>
      </c>
      <c r="GO8" s="562" t="str">
        <f t="shared" si="1"/>
        <v/>
      </c>
      <c r="GP8" s="562" t="str">
        <f t="shared" si="2"/>
        <v/>
      </c>
      <c r="GQ8" s="562" t="str">
        <f t="shared" si="3"/>
        <v/>
      </c>
      <c r="GR8" s="562" t="str">
        <f t="shared" si="4"/>
        <v/>
      </c>
      <c r="GS8" s="562" t="str">
        <f t="shared" si="5"/>
        <v/>
      </c>
      <c r="GT8" s="562" t="str">
        <f t="shared" si="6"/>
        <v/>
      </c>
      <c r="GU8" s="562" t="str">
        <f t="shared" si="7"/>
        <v/>
      </c>
      <c r="GV8" s="562" t="str">
        <f t="shared" si="8"/>
        <v/>
      </c>
      <c r="GW8" s="562" t="str">
        <f t="shared" si="9"/>
        <v/>
      </c>
      <c r="GX8" s="562" t="str">
        <f t="shared" si="10"/>
        <v/>
      </c>
      <c r="GY8" s="562" t="str">
        <f t="shared" si="11"/>
        <v/>
      </c>
      <c r="GZ8" s="562" t="str">
        <f t="shared" si="12"/>
        <v/>
      </c>
      <c r="HA8" s="564" t="s">
        <v>1284</v>
      </c>
      <c r="HC8" s="349" t="s">
        <v>419</v>
      </c>
      <c r="HD8" s="349" t="s">
        <v>1514</v>
      </c>
    </row>
    <row r="9" spans="1:212">
      <c r="B9" s="549">
        <v>5</v>
      </c>
      <c r="C9" s="549">
        <v>205</v>
      </c>
      <c r="D9" s="550" t="s">
        <v>1537</v>
      </c>
      <c r="E9" s="557" t="s">
        <v>13</v>
      </c>
      <c r="F9" s="555">
        <v>36</v>
      </c>
      <c r="G9" s="555">
        <v>6</v>
      </c>
      <c r="H9" s="555">
        <v>30</v>
      </c>
      <c r="I9" s="555">
        <v>0</v>
      </c>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2"/>
      <c r="AK9" s="553"/>
      <c r="AL9" s="553"/>
      <c r="AM9" s="554"/>
      <c r="AN9" s="555" t="s">
        <v>11</v>
      </c>
      <c r="AO9" s="558" t="s">
        <v>883</v>
      </c>
      <c r="AP9" s="558" t="s">
        <v>883</v>
      </c>
      <c r="AQ9" s="558" t="s">
        <v>883</v>
      </c>
      <c r="AR9" s="558" t="s">
        <v>883</v>
      </c>
      <c r="AS9" s="558" t="s">
        <v>883</v>
      </c>
      <c r="AT9" s="558" t="s">
        <v>883</v>
      </c>
      <c r="AU9" s="558" t="s">
        <v>883</v>
      </c>
      <c r="AV9" s="558" t="s">
        <v>883</v>
      </c>
      <c r="AW9" s="558" t="s">
        <v>883</v>
      </c>
      <c r="AX9" s="558" t="s">
        <v>883</v>
      </c>
      <c r="AY9" s="558" t="s">
        <v>883</v>
      </c>
      <c r="AZ9" s="558" t="s">
        <v>883</v>
      </c>
      <c r="BA9" s="558" t="s">
        <v>883</v>
      </c>
      <c r="BB9" s="558" t="s">
        <v>883</v>
      </c>
      <c r="BC9" s="558" t="s">
        <v>883</v>
      </c>
      <c r="BD9" s="558" t="s">
        <v>883</v>
      </c>
      <c r="BE9" s="558" t="s">
        <v>883</v>
      </c>
      <c r="BF9" s="558" t="s">
        <v>883</v>
      </c>
      <c r="BG9" s="558" t="s">
        <v>883</v>
      </c>
      <c r="BH9" s="558" t="s">
        <v>883</v>
      </c>
      <c r="BI9" s="558" t="s">
        <v>883</v>
      </c>
      <c r="BJ9" s="558" t="s">
        <v>883</v>
      </c>
      <c r="BK9" s="558" t="s">
        <v>883</v>
      </c>
      <c r="BL9" s="558" t="s">
        <v>883</v>
      </c>
      <c r="BM9" s="558">
        <v>0</v>
      </c>
      <c r="BN9" s="558">
        <v>0</v>
      </c>
      <c r="BO9" s="558">
        <v>0</v>
      </c>
      <c r="BP9" s="558">
        <v>0</v>
      </c>
      <c r="BQ9" s="558">
        <v>0</v>
      </c>
      <c r="BR9" s="558">
        <v>0</v>
      </c>
      <c r="BS9" s="558">
        <v>0</v>
      </c>
      <c r="BT9" s="558">
        <v>0</v>
      </c>
      <c r="BU9" s="558">
        <v>0</v>
      </c>
      <c r="BV9" s="558">
        <v>0</v>
      </c>
      <c r="BW9" s="558">
        <v>0</v>
      </c>
      <c r="BX9" s="558">
        <v>0</v>
      </c>
      <c r="BY9" s="558">
        <v>0</v>
      </c>
      <c r="BZ9" s="558">
        <v>0</v>
      </c>
      <c r="CA9" s="558">
        <v>0</v>
      </c>
      <c r="CB9" s="558">
        <v>0</v>
      </c>
      <c r="CC9" s="558">
        <v>0</v>
      </c>
      <c r="CD9" s="558">
        <v>0</v>
      </c>
      <c r="CE9" s="558">
        <v>0</v>
      </c>
      <c r="CF9" s="558">
        <v>0</v>
      </c>
      <c r="CG9" s="558">
        <v>0</v>
      </c>
      <c r="CH9" s="558">
        <v>0</v>
      </c>
      <c r="CI9" s="558">
        <v>0</v>
      </c>
      <c r="CJ9" s="558">
        <v>0</v>
      </c>
      <c r="CK9" s="558">
        <v>0</v>
      </c>
      <c r="CL9" s="558">
        <v>0</v>
      </c>
      <c r="CM9" s="558">
        <v>0</v>
      </c>
      <c r="CN9" s="558">
        <v>0</v>
      </c>
      <c r="CO9" s="558">
        <v>0</v>
      </c>
      <c r="CP9" s="558">
        <v>0</v>
      </c>
      <c r="CQ9" s="558">
        <v>0</v>
      </c>
      <c r="CR9" s="558">
        <v>0</v>
      </c>
      <c r="CS9" s="558">
        <v>0</v>
      </c>
      <c r="CT9" s="558">
        <v>0</v>
      </c>
      <c r="CU9" s="558">
        <v>0</v>
      </c>
      <c r="CV9" s="558">
        <v>0</v>
      </c>
      <c r="CW9" s="558" t="s">
        <v>13</v>
      </c>
      <c r="CX9" s="558">
        <v>0</v>
      </c>
      <c r="CY9" s="559"/>
      <c r="CZ9" s="559"/>
      <c r="DA9" s="559"/>
      <c r="DB9" s="559"/>
      <c r="DC9" s="559"/>
      <c r="DD9" s="559"/>
      <c r="DE9" s="559"/>
      <c r="DF9" s="559"/>
      <c r="DG9" s="559"/>
      <c r="DH9" s="559"/>
      <c r="DI9" s="559"/>
      <c r="DJ9" s="559"/>
      <c r="DK9" s="559"/>
      <c r="DL9" s="559"/>
      <c r="DM9" s="559"/>
      <c r="DN9" s="559"/>
      <c r="DO9" s="559"/>
      <c r="DP9" s="559"/>
      <c r="DQ9" s="559"/>
      <c r="DR9" s="559"/>
      <c r="DS9" s="559"/>
      <c r="DT9" s="559"/>
      <c r="DU9" s="559"/>
      <c r="DV9" s="559"/>
      <c r="DW9" s="559"/>
      <c r="DX9" s="559"/>
      <c r="DY9" s="559"/>
      <c r="DZ9" s="559"/>
      <c r="EA9" s="559"/>
      <c r="EB9" s="559"/>
      <c r="EC9" s="559"/>
      <c r="ED9" s="559"/>
      <c r="EE9" s="559"/>
      <c r="EF9" s="559"/>
      <c r="EG9" s="559"/>
      <c r="EH9" s="559"/>
      <c r="EI9" s="558" t="s">
        <v>1133</v>
      </c>
      <c r="EJ9" s="558" t="s">
        <v>1133</v>
      </c>
      <c r="EK9" s="558" t="s">
        <v>1133</v>
      </c>
      <c r="EL9" s="558" t="s">
        <v>1133</v>
      </c>
      <c r="EM9" s="558" t="s">
        <v>1133</v>
      </c>
      <c r="EN9" s="558" t="s">
        <v>1133</v>
      </c>
      <c r="EO9" s="558" t="s">
        <v>1133</v>
      </c>
      <c r="EP9" s="558" t="s">
        <v>1133</v>
      </c>
      <c r="EQ9" s="558" t="s">
        <v>1133</v>
      </c>
      <c r="ER9" s="558" t="s">
        <v>1133</v>
      </c>
      <c r="ES9" s="558" t="s">
        <v>1133</v>
      </c>
      <c r="ET9" s="558" t="s">
        <v>1133</v>
      </c>
      <c r="EU9" s="558">
        <v>4200</v>
      </c>
      <c r="EV9" s="558">
        <v>4070</v>
      </c>
      <c r="EW9" s="558" t="s">
        <v>1592</v>
      </c>
      <c r="EX9" s="558" t="s">
        <v>1592</v>
      </c>
      <c r="EY9" s="558" t="s">
        <v>1592</v>
      </c>
      <c r="EZ9" s="558" t="s">
        <v>1592</v>
      </c>
      <c r="FA9" s="558" t="s">
        <v>1592</v>
      </c>
      <c r="FB9" s="558" t="s">
        <v>1592</v>
      </c>
      <c r="FC9" s="558" t="s">
        <v>1592</v>
      </c>
      <c r="FD9" s="558" t="s">
        <v>1592</v>
      </c>
      <c r="FE9" s="558" t="s">
        <v>1592</v>
      </c>
      <c r="FF9" s="558" t="s">
        <v>1592</v>
      </c>
      <c r="FG9" s="558" t="s">
        <v>1592</v>
      </c>
      <c r="FH9" s="558" t="s">
        <v>1592</v>
      </c>
      <c r="FI9" s="558">
        <v>3</v>
      </c>
      <c r="FJ9" s="558">
        <v>2</v>
      </c>
      <c r="FK9" s="558">
        <v>2</v>
      </c>
      <c r="FL9" s="558">
        <v>2</v>
      </c>
      <c r="FM9" s="558">
        <v>2</v>
      </c>
      <c r="FN9" s="558">
        <v>2</v>
      </c>
      <c r="FO9" s="558">
        <v>2</v>
      </c>
      <c r="FP9" s="558">
        <v>2</v>
      </c>
      <c r="FQ9" s="558">
        <v>2</v>
      </c>
      <c r="FR9" s="558">
        <v>2</v>
      </c>
      <c r="FS9" s="558">
        <v>13</v>
      </c>
      <c r="FT9" s="558">
        <v>13</v>
      </c>
      <c r="FU9" s="558">
        <v>13</v>
      </c>
      <c r="FV9" s="558">
        <v>12</v>
      </c>
      <c r="FW9" s="558">
        <v>12</v>
      </c>
      <c r="FX9" s="558">
        <v>12</v>
      </c>
      <c r="FY9" s="558">
        <v>12</v>
      </c>
      <c r="FZ9" s="558">
        <v>12</v>
      </c>
      <c r="GA9" s="558">
        <v>12</v>
      </c>
      <c r="GB9" s="558">
        <v>12</v>
      </c>
      <c r="GC9" s="558" t="s">
        <v>1596</v>
      </c>
      <c r="GD9" s="558" t="s">
        <v>1596</v>
      </c>
      <c r="GE9" s="558" t="s">
        <v>1596</v>
      </c>
      <c r="GF9" s="558" t="s">
        <v>1596</v>
      </c>
      <c r="GG9" s="558" t="s">
        <v>1596</v>
      </c>
      <c r="GH9" s="558" t="s">
        <v>1596</v>
      </c>
      <c r="GI9" s="558" t="s">
        <v>1596</v>
      </c>
      <c r="GJ9" s="558" t="s">
        <v>1596</v>
      </c>
      <c r="GK9" s="558" t="s">
        <v>1596</v>
      </c>
      <c r="GL9" s="558" t="s">
        <v>1596</v>
      </c>
      <c r="GM9" s="558" t="s">
        <v>1596</v>
      </c>
      <c r="GN9" s="558" t="s">
        <v>1596</v>
      </c>
      <c r="GO9" s="562" t="str">
        <f t="shared" si="1"/>
        <v/>
      </c>
      <c r="GP9" s="562" t="str">
        <f t="shared" si="2"/>
        <v/>
      </c>
      <c r="GQ9" s="562" t="str">
        <f t="shared" si="3"/>
        <v/>
      </c>
      <c r="GR9" s="562" t="str">
        <f t="shared" si="4"/>
        <v/>
      </c>
      <c r="GS9" s="562" t="str">
        <f t="shared" si="5"/>
        <v/>
      </c>
      <c r="GT9" s="562" t="str">
        <f t="shared" si="6"/>
        <v/>
      </c>
      <c r="GU9" s="562" t="str">
        <f t="shared" si="7"/>
        <v/>
      </c>
      <c r="GV9" s="562" t="str">
        <f t="shared" si="8"/>
        <v/>
      </c>
      <c r="GW9" s="562" t="str">
        <f t="shared" si="9"/>
        <v/>
      </c>
      <c r="GX9" s="562" t="str">
        <f t="shared" si="10"/>
        <v/>
      </c>
      <c r="GY9" s="562" t="str">
        <f t="shared" si="11"/>
        <v/>
      </c>
      <c r="GZ9" s="562" t="str">
        <f t="shared" si="12"/>
        <v/>
      </c>
      <c r="HA9" s="564" t="s">
        <v>1285</v>
      </c>
      <c r="HC9" s="349" t="s">
        <v>426</v>
      </c>
      <c r="HD9" s="349" t="s">
        <v>1514</v>
      </c>
    </row>
    <row r="10" spans="1:212">
      <c r="B10" s="549">
        <v>6</v>
      </c>
      <c r="C10" s="549">
        <v>206</v>
      </c>
      <c r="D10" s="550" t="s">
        <v>418</v>
      </c>
      <c r="E10" s="557" t="s">
        <v>13</v>
      </c>
      <c r="F10" s="555">
        <v>155</v>
      </c>
      <c r="G10" s="555">
        <v>105</v>
      </c>
      <c r="H10" s="555">
        <v>50</v>
      </c>
      <c r="I10" s="555">
        <v>0</v>
      </c>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2"/>
      <c r="AK10" s="553"/>
      <c r="AL10" s="553"/>
      <c r="AM10" s="554"/>
      <c r="AN10" s="555" t="s">
        <v>11</v>
      </c>
      <c r="AO10" s="558" t="s">
        <v>883</v>
      </c>
      <c r="AP10" s="558" t="s">
        <v>883</v>
      </c>
      <c r="AQ10" s="558" t="s">
        <v>883</v>
      </c>
      <c r="AR10" s="558" t="s">
        <v>883</v>
      </c>
      <c r="AS10" s="558" t="s">
        <v>883</v>
      </c>
      <c r="AT10" s="558" t="s">
        <v>883</v>
      </c>
      <c r="AU10" s="558" t="s">
        <v>883</v>
      </c>
      <c r="AV10" s="558" t="s">
        <v>883</v>
      </c>
      <c r="AW10" s="558" t="s">
        <v>883</v>
      </c>
      <c r="AX10" s="558" t="s">
        <v>883</v>
      </c>
      <c r="AY10" s="558" t="s">
        <v>883</v>
      </c>
      <c r="AZ10" s="558" t="s">
        <v>883</v>
      </c>
      <c r="BA10" s="558" t="s">
        <v>883</v>
      </c>
      <c r="BB10" s="558" t="s">
        <v>883</v>
      </c>
      <c r="BC10" s="558" t="s">
        <v>883</v>
      </c>
      <c r="BD10" s="558" t="s">
        <v>883</v>
      </c>
      <c r="BE10" s="558" t="s">
        <v>883</v>
      </c>
      <c r="BF10" s="558" t="s">
        <v>883</v>
      </c>
      <c r="BG10" s="558" t="s">
        <v>883</v>
      </c>
      <c r="BH10" s="558" t="s">
        <v>883</v>
      </c>
      <c r="BI10" s="558" t="s">
        <v>883</v>
      </c>
      <c r="BJ10" s="558" t="s">
        <v>883</v>
      </c>
      <c r="BK10" s="558" t="s">
        <v>883</v>
      </c>
      <c r="BL10" s="558" t="s">
        <v>883</v>
      </c>
      <c r="BM10" s="558">
        <v>0</v>
      </c>
      <c r="BN10" s="558">
        <v>0</v>
      </c>
      <c r="BO10" s="558">
        <v>0</v>
      </c>
      <c r="BP10" s="558">
        <v>0</v>
      </c>
      <c r="BQ10" s="558">
        <v>0</v>
      </c>
      <c r="BR10" s="558">
        <v>0</v>
      </c>
      <c r="BS10" s="558">
        <v>0</v>
      </c>
      <c r="BT10" s="558">
        <v>0</v>
      </c>
      <c r="BU10" s="558">
        <v>0</v>
      </c>
      <c r="BV10" s="558">
        <v>0</v>
      </c>
      <c r="BW10" s="558">
        <v>0</v>
      </c>
      <c r="BX10" s="558">
        <v>0</v>
      </c>
      <c r="BY10" s="558">
        <v>0</v>
      </c>
      <c r="BZ10" s="558">
        <v>0</v>
      </c>
      <c r="CA10" s="558">
        <v>0</v>
      </c>
      <c r="CB10" s="558">
        <v>0</v>
      </c>
      <c r="CC10" s="558">
        <v>0</v>
      </c>
      <c r="CD10" s="558">
        <v>0</v>
      </c>
      <c r="CE10" s="558">
        <v>0</v>
      </c>
      <c r="CF10" s="558">
        <v>0</v>
      </c>
      <c r="CG10" s="558">
        <v>0</v>
      </c>
      <c r="CH10" s="558">
        <v>0</v>
      </c>
      <c r="CI10" s="558">
        <v>0</v>
      </c>
      <c r="CJ10" s="558">
        <v>0</v>
      </c>
      <c r="CK10" s="558">
        <v>0</v>
      </c>
      <c r="CL10" s="558">
        <v>0</v>
      </c>
      <c r="CM10" s="558">
        <v>0</v>
      </c>
      <c r="CN10" s="558">
        <v>0</v>
      </c>
      <c r="CO10" s="558">
        <v>0</v>
      </c>
      <c r="CP10" s="558">
        <v>0</v>
      </c>
      <c r="CQ10" s="558">
        <v>0</v>
      </c>
      <c r="CR10" s="558">
        <v>0</v>
      </c>
      <c r="CS10" s="558">
        <v>0</v>
      </c>
      <c r="CT10" s="558">
        <v>0</v>
      </c>
      <c r="CU10" s="558">
        <v>0</v>
      </c>
      <c r="CV10" s="558">
        <v>0</v>
      </c>
      <c r="CW10" s="558" t="s">
        <v>13</v>
      </c>
      <c r="CX10" s="558">
        <v>2</v>
      </c>
      <c r="CY10" s="559"/>
      <c r="CZ10" s="559"/>
      <c r="DA10" s="559"/>
      <c r="DB10" s="559"/>
      <c r="DC10" s="559"/>
      <c r="DD10" s="559"/>
      <c r="DE10" s="559"/>
      <c r="DF10" s="559"/>
      <c r="DG10" s="559"/>
      <c r="DH10" s="559"/>
      <c r="DI10" s="559"/>
      <c r="DJ10" s="559"/>
      <c r="DK10" s="559"/>
      <c r="DL10" s="559"/>
      <c r="DM10" s="559"/>
      <c r="DN10" s="559"/>
      <c r="DO10" s="559"/>
      <c r="DP10" s="559"/>
      <c r="DQ10" s="559"/>
      <c r="DR10" s="559"/>
      <c r="DS10" s="559"/>
      <c r="DT10" s="559"/>
      <c r="DU10" s="559"/>
      <c r="DV10" s="559"/>
      <c r="DW10" s="559"/>
      <c r="DX10" s="559"/>
      <c r="DY10" s="559"/>
      <c r="DZ10" s="559"/>
      <c r="EA10" s="559"/>
      <c r="EB10" s="559"/>
      <c r="EC10" s="559"/>
      <c r="ED10" s="559"/>
      <c r="EE10" s="559"/>
      <c r="EF10" s="559"/>
      <c r="EG10" s="559"/>
      <c r="EH10" s="559"/>
      <c r="EI10" s="558" t="s">
        <v>1133</v>
      </c>
      <c r="EJ10" s="558" t="s">
        <v>1133</v>
      </c>
      <c r="EK10" s="558" t="s">
        <v>1133</v>
      </c>
      <c r="EL10" s="558" t="s">
        <v>1133</v>
      </c>
      <c r="EM10" s="558" t="s">
        <v>1133</v>
      </c>
      <c r="EN10" s="558" t="s">
        <v>1133</v>
      </c>
      <c r="EO10" s="558" t="s">
        <v>1133</v>
      </c>
      <c r="EP10" s="558" t="s">
        <v>1133</v>
      </c>
      <c r="EQ10" s="558" t="s">
        <v>1133</v>
      </c>
      <c r="ER10" s="558" t="s">
        <v>1133</v>
      </c>
      <c r="ES10" s="558" t="s">
        <v>1133</v>
      </c>
      <c r="ET10" s="558" t="s">
        <v>1133</v>
      </c>
      <c r="EU10" s="558">
        <v>4200</v>
      </c>
      <c r="EV10" s="558">
        <v>4070</v>
      </c>
      <c r="EW10" s="558" t="s">
        <v>1592</v>
      </c>
      <c r="EX10" s="558" t="s">
        <v>1592</v>
      </c>
      <c r="EY10" s="558" t="s">
        <v>1592</v>
      </c>
      <c r="EZ10" s="558" t="s">
        <v>1592</v>
      </c>
      <c r="FA10" s="558" t="s">
        <v>1592</v>
      </c>
      <c r="FB10" s="558" t="s">
        <v>1592</v>
      </c>
      <c r="FC10" s="558" t="s">
        <v>1592</v>
      </c>
      <c r="FD10" s="558" t="s">
        <v>1592</v>
      </c>
      <c r="FE10" s="558" t="s">
        <v>1592</v>
      </c>
      <c r="FF10" s="558" t="s">
        <v>1592</v>
      </c>
      <c r="FG10" s="558" t="s">
        <v>1592</v>
      </c>
      <c r="FH10" s="558" t="s">
        <v>1592</v>
      </c>
      <c r="FI10" s="558">
        <v>45</v>
      </c>
      <c r="FJ10" s="558">
        <v>45</v>
      </c>
      <c r="FK10" s="558">
        <v>46</v>
      </c>
      <c r="FL10" s="558">
        <v>46</v>
      </c>
      <c r="FM10" s="558">
        <v>46</v>
      </c>
      <c r="FN10" s="558">
        <v>46</v>
      </c>
      <c r="FO10" s="558">
        <v>46</v>
      </c>
      <c r="FP10" s="558">
        <v>46</v>
      </c>
      <c r="FQ10" s="558">
        <v>46</v>
      </c>
      <c r="FR10" s="558">
        <v>46</v>
      </c>
      <c r="FS10" s="558">
        <v>39</v>
      </c>
      <c r="FT10" s="558">
        <v>39</v>
      </c>
      <c r="FU10" s="558">
        <v>38</v>
      </c>
      <c r="FV10" s="558">
        <v>38</v>
      </c>
      <c r="FW10" s="558">
        <v>36</v>
      </c>
      <c r="FX10" s="558">
        <v>37</v>
      </c>
      <c r="FY10" s="558">
        <v>38</v>
      </c>
      <c r="FZ10" s="558">
        <v>38</v>
      </c>
      <c r="GA10" s="558">
        <v>38</v>
      </c>
      <c r="GB10" s="558">
        <v>38</v>
      </c>
      <c r="GC10" s="558" t="s">
        <v>883</v>
      </c>
      <c r="GD10" s="558" t="s">
        <v>883</v>
      </c>
      <c r="GE10" s="558" t="s">
        <v>883</v>
      </c>
      <c r="GF10" s="558" t="s">
        <v>883</v>
      </c>
      <c r="GG10" s="558" t="s">
        <v>883</v>
      </c>
      <c r="GH10" s="558" t="s">
        <v>883</v>
      </c>
      <c r="GI10" s="558" t="s">
        <v>883</v>
      </c>
      <c r="GJ10" s="558" t="s">
        <v>883</v>
      </c>
      <c r="GK10" s="558" t="s">
        <v>883</v>
      </c>
      <c r="GL10" s="558" t="s">
        <v>883</v>
      </c>
      <c r="GM10" s="558" t="s">
        <v>883</v>
      </c>
      <c r="GN10" s="558" t="s">
        <v>883</v>
      </c>
      <c r="GO10" s="562" t="str">
        <f t="shared" si="1"/>
        <v/>
      </c>
      <c r="GP10" s="562" t="str">
        <f t="shared" si="2"/>
        <v/>
      </c>
      <c r="GQ10" s="562" t="str">
        <f t="shared" si="3"/>
        <v/>
      </c>
      <c r="GR10" s="562" t="str">
        <f t="shared" si="4"/>
        <v/>
      </c>
      <c r="GS10" s="562" t="str">
        <f t="shared" si="5"/>
        <v/>
      </c>
      <c r="GT10" s="562" t="str">
        <f t="shared" si="6"/>
        <v/>
      </c>
      <c r="GU10" s="562" t="str">
        <f t="shared" si="7"/>
        <v/>
      </c>
      <c r="GV10" s="562" t="str">
        <f t="shared" si="8"/>
        <v/>
      </c>
      <c r="GW10" s="562" t="str">
        <f t="shared" si="9"/>
        <v/>
      </c>
      <c r="GX10" s="562" t="str">
        <f t="shared" si="10"/>
        <v/>
      </c>
      <c r="GY10" s="562" t="str">
        <f t="shared" si="11"/>
        <v/>
      </c>
      <c r="GZ10" s="562" t="str">
        <f t="shared" si="12"/>
        <v/>
      </c>
      <c r="HA10" s="564" t="s">
        <v>1286</v>
      </c>
      <c r="HC10" s="349" t="s">
        <v>418</v>
      </c>
      <c r="HD10" s="349" t="s">
        <v>1514</v>
      </c>
    </row>
    <row r="11" spans="1:212">
      <c r="B11" s="549">
        <v>7</v>
      </c>
      <c r="C11" s="549">
        <v>207</v>
      </c>
      <c r="D11" s="550" t="s">
        <v>424</v>
      </c>
      <c r="E11" s="557" t="s">
        <v>13</v>
      </c>
      <c r="F11" s="555">
        <v>175</v>
      </c>
      <c r="G11" s="555">
        <v>105</v>
      </c>
      <c r="H11" s="555">
        <v>41</v>
      </c>
      <c r="I11" s="555">
        <v>29</v>
      </c>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c r="AK11" s="553"/>
      <c r="AL11" s="553"/>
      <c r="AM11" s="554"/>
      <c r="AN11" s="555" t="s">
        <v>11</v>
      </c>
      <c r="AO11" s="558" t="s">
        <v>883</v>
      </c>
      <c r="AP11" s="558" t="s">
        <v>883</v>
      </c>
      <c r="AQ11" s="558" t="s">
        <v>883</v>
      </c>
      <c r="AR11" s="558" t="s">
        <v>883</v>
      </c>
      <c r="AS11" s="558" t="s">
        <v>883</v>
      </c>
      <c r="AT11" s="558" t="s">
        <v>883</v>
      </c>
      <c r="AU11" s="558" t="s">
        <v>883</v>
      </c>
      <c r="AV11" s="558" t="s">
        <v>883</v>
      </c>
      <c r="AW11" s="558" t="s">
        <v>883</v>
      </c>
      <c r="AX11" s="558" t="s">
        <v>883</v>
      </c>
      <c r="AY11" s="558" t="s">
        <v>883</v>
      </c>
      <c r="AZ11" s="558" t="s">
        <v>883</v>
      </c>
      <c r="BA11" s="558" t="s">
        <v>883</v>
      </c>
      <c r="BB11" s="558" t="s">
        <v>883</v>
      </c>
      <c r="BC11" s="558" t="s">
        <v>883</v>
      </c>
      <c r="BD11" s="558" t="s">
        <v>883</v>
      </c>
      <c r="BE11" s="558" t="s">
        <v>883</v>
      </c>
      <c r="BF11" s="558" t="s">
        <v>883</v>
      </c>
      <c r="BG11" s="558" t="s">
        <v>883</v>
      </c>
      <c r="BH11" s="558" t="s">
        <v>883</v>
      </c>
      <c r="BI11" s="558" t="s">
        <v>883</v>
      </c>
      <c r="BJ11" s="558" t="s">
        <v>883</v>
      </c>
      <c r="BK11" s="558" t="s">
        <v>883</v>
      </c>
      <c r="BL11" s="558" t="s">
        <v>883</v>
      </c>
      <c r="BM11" s="558">
        <v>0</v>
      </c>
      <c r="BN11" s="558">
        <v>0</v>
      </c>
      <c r="BO11" s="558">
        <v>0</v>
      </c>
      <c r="BP11" s="558">
        <v>0</v>
      </c>
      <c r="BQ11" s="558">
        <v>0</v>
      </c>
      <c r="BR11" s="558">
        <v>0</v>
      </c>
      <c r="BS11" s="558">
        <v>0</v>
      </c>
      <c r="BT11" s="558">
        <v>0</v>
      </c>
      <c r="BU11" s="558">
        <v>0</v>
      </c>
      <c r="BV11" s="558">
        <v>0</v>
      </c>
      <c r="BW11" s="558">
        <v>0</v>
      </c>
      <c r="BX11" s="558">
        <v>0</v>
      </c>
      <c r="BY11" s="558">
        <v>0</v>
      </c>
      <c r="BZ11" s="558">
        <v>0</v>
      </c>
      <c r="CA11" s="558">
        <v>0</v>
      </c>
      <c r="CB11" s="558">
        <v>0</v>
      </c>
      <c r="CC11" s="558">
        <v>0</v>
      </c>
      <c r="CD11" s="558">
        <v>0</v>
      </c>
      <c r="CE11" s="558">
        <v>0</v>
      </c>
      <c r="CF11" s="558">
        <v>0</v>
      </c>
      <c r="CG11" s="558">
        <v>0</v>
      </c>
      <c r="CH11" s="558">
        <v>0</v>
      </c>
      <c r="CI11" s="558">
        <v>0</v>
      </c>
      <c r="CJ11" s="558">
        <v>0</v>
      </c>
      <c r="CK11" s="558">
        <v>0</v>
      </c>
      <c r="CL11" s="558">
        <v>0</v>
      </c>
      <c r="CM11" s="558">
        <v>0</v>
      </c>
      <c r="CN11" s="558">
        <v>0</v>
      </c>
      <c r="CO11" s="558">
        <v>0</v>
      </c>
      <c r="CP11" s="558">
        <v>0</v>
      </c>
      <c r="CQ11" s="558">
        <v>0</v>
      </c>
      <c r="CR11" s="558">
        <v>0</v>
      </c>
      <c r="CS11" s="558">
        <v>0</v>
      </c>
      <c r="CT11" s="558">
        <v>0</v>
      </c>
      <c r="CU11" s="558">
        <v>0</v>
      </c>
      <c r="CV11" s="558">
        <v>0</v>
      </c>
      <c r="CW11" s="558" t="s">
        <v>13</v>
      </c>
      <c r="CX11" s="558">
        <v>3</v>
      </c>
      <c r="CY11" s="559"/>
      <c r="CZ11" s="559"/>
      <c r="DA11" s="559"/>
      <c r="DB11" s="559"/>
      <c r="DC11" s="559"/>
      <c r="DD11" s="559"/>
      <c r="DE11" s="559"/>
      <c r="DF11" s="559"/>
      <c r="DG11" s="559"/>
      <c r="DH11" s="559"/>
      <c r="DI11" s="559"/>
      <c r="DJ11" s="559"/>
      <c r="DK11" s="559"/>
      <c r="DL11" s="559"/>
      <c r="DM11" s="559"/>
      <c r="DN11" s="559"/>
      <c r="DO11" s="559"/>
      <c r="DP11" s="559"/>
      <c r="DQ11" s="559"/>
      <c r="DR11" s="559"/>
      <c r="DS11" s="559"/>
      <c r="DT11" s="559"/>
      <c r="DU11" s="559"/>
      <c r="DV11" s="559"/>
      <c r="DW11" s="559"/>
      <c r="DX11" s="559"/>
      <c r="DY11" s="559"/>
      <c r="DZ11" s="559"/>
      <c r="EA11" s="559"/>
      <c r="EB11" s="559"/>
      <c r="EC11" s="559"/>
      <c r="ED11" s="559"/>
      <c r="EE11" s="559"/>
      <c r="EF11" s="559"/>
      <c r="EG11" s="559"/>
      <c r="EH11" s="559"/>
      <c r="EI11" s="558" t="s">
        <v>1133</v>
      </c>
      <c r="EJ11" s="558" t="s">
        <v>1133</v>
      </c>
      <c r="EK11" s="558" t="s">
        <v>1133</v>
      </c>
      <c r="EL11" s="558" t="s">
        <v>1133</v>
      </c>
      <c r="EM11" s="558" t="s">
        <v>1133</v>
      </c>
      <c r="EN11" s="558" t="s">
        <v>1133</v>
      </c>
      <c r="EO11" s="558" t="s">
        <v>1133</v>
      </c>
      <c r="EP11" s="558" t="s">
        <v>1133</v>
      </c>
      <c r="EQ11" s="558" t="s">
        <v>1133</v>
      </c>
      <c r="ER11" s="558" t="s">
        <v>1133</v>
      </c>
      <c r="ES11" s="558" t="s">
        <v>1133</v>
      </c>
      <c r="ET11" s="558" t="s">
        <v>1133</v>
      </c>
      <c r="EU11" s="558">
        <v>4140</v>
      </c>
      <c r="EV11" s="558">
        <v>4010</v>
      </c>
      <c r="EW11" s="558" t="s">
        <v>1592</v>
      </c>
      <c r="EX11" s="558" t="s">
        <v>1592</v>
      </c>
      <c r="EY11" s="558" t="s">
        <v>1592</v>
      </c>
      <c r="EZ11" s="558" t="s">
        <v>1592</v>
      </c>
      <c r="FA11" s="558" t="s">
        <v>1592</v>
      </c>
      <c r="FB11" s="558" t="s">
        <v>1592</v>
      </c>
      <c r="FC11" s="558" t="s">
        <v>1592</v>
      </c>
      <c r="FD11" s="558" t="s">
        <v>1592</v>
      </c>
      <c r="FE11" s="558" t="s">
        <v>1592</v>
      </c>
      <c r="FF11" s="558" t="s">
        <v>1592</v>
      </c>
      <c r="FG11" s="558" t="s">
        <v>1592</v>
      </c>
      <c r="FH11" s="558" t="s">
        <v>1592</v>
      </c>
      <c r="FI11" s="558">
        <v>72</v>
      </c>
      <c r="FJ11" s="558">
        <v>72</v>
      </c>
      <c r="FK11" s="558">
        <v>72</v>
      </c>
      <c r="FL11" s="558">
        <v>72</v>
      </c>
      <c r="FM11" s="558">
        <v>72</v>
      </c>
      <c r="FN11" s="558">
        <v>72</v>
      </c>
      <c r="FO11" s="558">
        <v>72</v>
      </c>
      <c r="FP11" s="558">
        <v>72</v>
      </c>
      <c r="FQ11" s="558">
        <v>72</v>
      </c>
      <c r="FR11" s="558">
        <v>72</v>
      </c>
      <c r="FS11" s="558">
        <v>30</v>
      </c>
      <c r="FT11" s="558">
        <v>29</v>
      </c>
      <c r="FU11" s="558">
        <v>29</v>
      </c>
      <c r="FV11" s="558">
        <v>29</v>
      </c>
      <c r="FW11" s="558">
        <v>29</v>
      </c>
      <c r="FX11" s="558">
        <v>29</v>
      </c>
      <c r="FY11" s="558">
        <v>29</v>
      </c>
      <c r="FZ11" s="558">
        <v>29</v>
      </c>
      <c r="GA11" s="558">
        <v>29</v>
      </c>
      <c r="GB11" s="558">
        <v>29</v>
      </c>
      <c r="GC11" s="558" t="s">
        <v>1595</v>
      </c>
      <c r="GD11" s="558" t="s">
        <v>1595</v>
      </c>
      <c r="GE11" s="558" t="s">
        <v>1595</v>
      </c>
      <c r="GF11" s="558" t="s">
        <v>1595</v>
      </c>
      <c r="GG11" s="558" t="s">
        <v>1595</v>
      </c>
      <c r="GH11" s="558" t="s">
        <v>1595</v>
      </c>
      <c r="GI11" s="558" t="s">
        <v>1595</v>
      </c>
      <c r="GJ11" s="558" t="s">
        <v>1595</v>
      </c>
      <c r="GK11" s="558" t="s">
        <v>1595</v>
      </c>
      <c r="GL11" s="558" t="s">
        <v>1595</v>
      </c>
      <c r="GM11" s="558" t="s">
        <v>1595</v>
      </c>
      <c r="GN11" s="558" t="s">
        <v>1595</v>
      </c>
      <c r="GO11" s="562">
        <f t="shared" si="1"/>
        <v>79950</v>
      </c>
      <c r="GP11" s="562">
        <f t="shared" si="2"/>
        <v>79950</v>
      </c>
      <c r="GQ11" s="562">
        <f t="shared" si="3"/>
        <v>79950</v>
      </c>
      <c r="GR11" s="562">
        <f t="shared" si="4"/>
        <v>79950</v>
      </c>
      <c r="GS11" s="562">
        <f t="shared" si="5"/>
        <v>79950</v>
      </c>
      <c r="GT11" s="562">
        <f t="shared" si="6"/>
        <v>79950</v>
      </c>
      <c r="GU11" s="562">
        <f t="shared" si="7"/>
        <v>79950</v>
      </c>
      <c r="GV11" s="562">
        <f t="shared" si="8"/>
        <v>79950</v>
      </c>
      <c r="GW11" s="562">
        <f t="shared" si="9"/>
        <v>79950</v>
      </c>
      <c r="GX11" s="562">
        <f t="shared" si="10"/>
        <v>79950</v>
      </c>
      <c r="GY11" s="562">
        <f t="shared" si="11"/>
        <v>79950</v>
      </c>
      <c r="GZ11" s="562">
        <f t="shared" si="12"/>
        <v>79950</v>
      </c>
      <c r="HA11" s="564" t="s">
        <v>1287</v>
      </c>
      <c r="HC11" s="349" t="s">
        <v>424</v>
      </c>
      <c r="HD11" s="349" t="s">
        <v>1514</v>
      </c>
    </row>
    <row r="12" spans="1:212">
      <c r="B12" s="549">
        <v>8</v>
      </c>
      <c r="C12" s="549">
        <v>208</v>
      </c>
      <c r="D12" s="550" t="s">
        <v>414</v>
      </c>
      <c r="E12" s="557" t="s">
        <v>13</v>
      </c>
      <c r="F12" s="555">
        <v>148</v>
      </c>
      <c r="G12" s="555">
        <v>33</v>
      </c>
      <c r="H12" s="555">
        <v>70</v>
      </c>
      <c r="I12" s="555">
        <v>45</v>
      </c>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2"/>
      <c r="AK12" s="553"/>
      <c r="AL12" s="553"/>
      <c r="AM12" s="554"/>
      <c r="AN12" s="555" t="s">
        <v>11</v>
      </c>
      <c r="AO12" s="558" t="s">
        <v>883</v>
      </c>
      <c r="AP12" s="558" t="s">
        <v>883</v>
      </c>
      <c r="AQ12" s="558" t="s">
        <v>883</v>
      </c>
      <c r="AR12" s="558" t="s">
        <v>883</v>
      </c>
      <c r="AS12" s="558" t="s">
        <v>883</v>
      </c>
      <c r="AT12" s="558" t="s">
        <v>883</v>
      </c>
      <c r="AU12" s="558" t="s">
        <v>883</v>
      </c>
      <c r="AV12" s="558" t="s">
        <v>883</v>
      </c>
      <c r="AW12" s="558" t="s">
        <v>883</v>
      </c>
      <c r="AX12" s="558" t="s">
        <v>883</v>
      </c>
      <c r="AY12" s="558" t="s">
        <v>883</v>
      </c>
      <c r="AZ12" s="558" t="s">
        <v>883</v>
      </c>
      <c r="BA12" s="558" t="s">
        <v>883</v>
      </c>
      <c r="BB12" s="558" t="s">
        <v>883</v>
      </c>
      <c r="BC12" s="558" t="s">
        <v>883</v>
      </c>
      <c r="BD12" s="558" t="s">
        <v>883</v>
      </c>
      <c r="BE12" s="558" t="s">
        <v>883</v>
      </c>
      <c r="BF12" s="558" t="s">
        <v>883</v>
      </c>
      <c r="BG12" s="558" t="s">
        <v>883</v>
      </c>
      <c r="BH12" s="558" t="s">
        <v>883</v>
      </c>
      <c r="BI12" s="558" t="s">
        <v>883</v>
      </c>
      <c r="BJ12" s="558" t="s">
        <v>883</v>
      </c>
      <c r="BK12" s="558" t="s">
        <v>883</v>
      </c>
      <c r="BL12" s="558" t="s">
        <v>883</v>
      </c>
      <c r="BM12" s="558">
        <v>0</v>
      </c>
      <c r="BN12" s="558">
        <v>0</v>
      </c>
      <c r="BO12" s="558">
        <v>0</v>
      </c>
      <c r="BP12" s="558">
        <v>0</v>
      </c>
      <c r="BQ12" s="558">
        <v>0</v>
      </c>
      <c r="BR12" s="558">
        <v>0</v>
      </c>
      <c r="BS12" s="558">
        <v>0</v>
      </c>
      <c r="BT12" s="558">
        <v>0</v>
      </c>
      <c r="BU12" s="558">
        <v>0</v>
      </c>
      <c r="BV12" s="558">
        <v>0</v>
      </c>
      <c r="BW12" s="558">
        <v>0</v>
      </c>
      <c r="BX12" s="558">
        <v>0</v>
      </c>
      <c r="BY12" s="558">
        <v>0</v>
      </c>
      <c r="BZ12" s="558">
        <v>0</v>
      </c>
      <c r="CA12" s="558">
        <v>0</v>
      </c>
      <c r="CB12" s="558">
        <v>0</v>
      </c>
      <c r="CC12" s="558">
        <v>0</v>
      </c>
      <c r="CD12" s="558">
        <v>0</v>
      </c>
      <c r="CE12" s="558">
        <v>0</v>
      </c>
      <c r="CF12" s="558">
        <v>0</v>
      </c>
      <c r="CG12" s="558">
        <v>0</v>
      </c>
      <c r="CH12" s="558">
        <v>0</v>
      </c>
      <c r="CI12" s="558">
        <v>0</v>
      </c>
      <c r="CJ12" s="558">
        <v>0</v>
      </c>
      <c r="CK12" s="558">
        <v>0</v>
      </c>
      <c r="CL12" s="558">
        <v>0</v>
      </c>
      <c r="CM12" s="558">
        <v>0</v>
      </c>
      <c r="CN12" s="558">
        <v>0</v>
      </c>
      <c r="CO12" s="558">
        <v>0</v>
      </c>
      <c r="CP12" s="558">
        <v>0</v>
      </c>
      <c r="CQ12" s="558">
        <v>0</v>
      </c>
      <c r="CR12" s="558">
        <v>0</v>
      </c>
      <c r="CS12" s="558">
        <v>0</v>
      </c>
      <c r="CT12" s="558">
        <v>0</v>
      </c>
      <c r="CU12" s="558">
        <v>0</v>
      </c>
      <c r="CV12" s="558">
        <v>0</v>
      </c>
      <c r="CW12" s="558" t="s">
        <v>13</v>
      </c>
      <c r="CX12" s="558">
        <v>0</v>
      </c>
      <c r="CY12" s="559"/>
      <c r="CZ12" s="559"/>
      <c r="DA12" s="559"/>
      <c r="DB12" s="559"/>
      <c r="DC12" s="559"/>
      <c r="DD12" s="559"/>
      <c r="DE12" s="559"/>
      <c r="DF12" s="559"/>
      <c r="DG12" s="559"/>
      <c r="DH12" s="559"/>
      <c r="DI12" s="559"/>
      <c r="DJ12" s="559"/>
      <c r="DK12" s="559"/>
      <c r="DL12" s="559"/>
      <c r="DM12" s="559"/>
      <c r="DN12" s="559"/>
      <c r="DO12" s="559"/>
      <c r="DP12" s="559"/>
      <c r="DQ12" s="559"/>
      <c r="DR12" s="559"/>
      <c r="DS12" s="559"/>
      <c r="DT12" s="559"/>
      <c r="DU12" s="559"/>
      <c r="DV12" s="559"/>
      <c r="DW12" s="559"/>
      <c r="DX12" s="559"/>
      <c r="DY12" s="559"/>
      <c r="DZ12" s="559"/>
      <c r="EA12" s="559"/>
      <c r="EB12" s="559"/>
      <c r="EC12" s="559"/>
      <c r="ED12" s="559"/>
      <c r="EE12" s="559"/>
      <c r="EF12" s="559"/>
      <c r="EG12" s="559"/>
      <c r="EH12" s="559"/>
      <c r="EI12" s="558" t="s">
        <v>1133</v>
      </c>
      <c r="EJ12" s="558" t="s">
        <v>1133</v>
      </c>
      <c r="EK12" s="558" t="s">
        <v>1133</v>
      </c>
      <c r="EL12" s="558" t="s">
        <v>1133</v>
      </c>
      <c r="EM12" s="558" t="s">
        <v>1133</v>
      </c>
      <c r="EN12" s="558" t="s">
        <v>1133</v>
      </c>
      <c r="EO12" s="558" t="s">
        <v>1133</v>
      </c>
      <c r="EP12" s="558" t="s">
        <v>1133</v>
      </c>
      <c r="EQ12" s="558" t="s">
        <v>1133</v>
      </c>
      <c r="ER12" s="558" t="s">
        <v>1133</v>
      </c>
      <c r="ES12" s="558" t="s">
        <v>1133</v>
      </c>
      <c r="ET12" s="558" t="s">
        <v>1133</v>
      </c>
      <c r="EU12" s="558">
        <v>4200</v>
      </c>
      <c r="EV12" s="558">
        <v>4070</v>
      </c>
      <c r="EW12" s="558" t="s">
        <v>1592</v>
      </c>
      <c r="EX12" s="558" t="s">
        <v>1592</v>
      </c>
      <c r="EY12" s="558" t="s">
        <v>1592</v>
      </c>
      <c r="EZ12" s="558" t="s">
        <v>1592</v>
      </c>
      <c r="FA12" s="558" t="s">
        <v>1592</v>
      </c>
      <c r="FB12" s="558" t="s">
        <v>1592</v>
      </c>
      <c r="FC12" s="558" t="s">
        <v>1592</v>
      </c>
      <c r="FD12" s="558" t="s">
        <v>1592</v>
      </c>
      <c r="FE12" s="558" t="s">
        <v>1592</v>
      </c>
      <c r="FF12" s="558" t="s">
        <v>1592</v>
      </c>
      <c r="FG12" s="558" t="s">
        <v>1592</v>
      </c>
      <c r="FH12" s="558" t="s">
        <v>1592</v>
      </c>
      <c r="FI12" s="558">
        <v>13</v>
      </c>
      <c r="FJ12" s="558">
        <v>14</v>
      </c>
      <c r="FK12" s="558">
        <v>14</v>
      </c>
      <c r="FL12" s="558">
        <v>14</v>
      </c>
      <c r="FM12" s="558">
        <v>14</v>
      </c>
      <c r="FN12" s="558">
        <v>14</v>
      </c>
      <c r="FO12" s="558">
        <v>14</v>
      </c>
      <c r="FP12" s="558">
        <v>14</v>
      </c>
      <c r="FQ12" s="558">
        <v>14</v>
      </c>
      <c r="FR12" s="558">
        <v>14</v>
      </c>
      <c r="FS12" s="558">
        <v>46</v>
      </c>
      <c r="FT12" s="558">
        <v>46</v>
      </c>
      <c r="FU12" s="558">
        <v>47</v>
      </c>
      <c r="FV12" s="558">
        <v>47</v>
      </c>
      <c r="FW12" s="558">
        <v>47</v>
      </c>
      <c r="FX12" s="558">
        <v>47</v>
      </c>
      <c r="FY12" s="558">
        <v>47</v>
      </c>
      <c r="FZ12" s="558">
        <v>47</v>
      </c>
      <c r="GA12" s="558">
        <v>47</v>
      </c>
      <c r="GB12" s="558">
        <v>47</v>
      </c>
      <c r="GC12" s="558" t="s">
        <v>1595</v>
      </c>
      <c r="GD12" s="558" t="s">
        <v>1595</v>
      </c>
      <c r="GE12" s="558" t="s">
        <v>1595</v>
      </c>
      <c r="GF12" s="558" t="s">
        <v>1595</v>
      </c>
      <c r="GG12" s="558" t="s">
        <v>1595</v>
      </c>
      <c r="GH12" s="558" t="s">
        <v>1595</v>
      </c>
      <c r="GI12" s="558" t="s">
        <v>1595</v>
      </c>
      <c r="GJ12" s="558" t="s">
        <v>1595</v>
      </c>
      <c r="GK12" s="558" t="s">
        <v>1595</v>
      </c>
      <c r="GL12" s="558" t="s">
        <v>1595</v>
      </c>
      <c r="GM12" s="558" t="s">
        <v>1595</v>
      </c>
      <c r="GN12" s="558" t="s">
        <v>1595</v>
      </c>
      <c r="GO12" s="562">
        <f t="shared" si="1"/>
        <v>79950</v>
      </c>
      <c r="GP12" s="562">
        <f t="shared" si="2"/>
        <v>79950</v>
      </c>
      <c r="GQ12" s="562">
        <f t="shared" si="3"/>
        <v>79950</v>
      </c>
      <c r="GR12" s="562">
        <f t="shared" si="4"/>
        <v>79950</v>
      </c>
      <c r="GS12" s="562">
        <f t="shared" si="5"/>
        <v>79950</v>
      </c>
      <c r="GT12" s="562">
        <f t="shared" si="6"/>
        <v>79950</v>
      </c>
      <c r="GU12" s="562">
        <f t="shared" si="7"/>
        <v>79950</v>
      </c>
      <c r="GV12" s="562">
        <f t="shared" si="8"/>
        <v>79950</v>
      </c>
      <c r="GW12" s="562">
        <f t="shared" si="9"/>
        <v>79950</v>
      </c>
      <c r="GX12" s="562">
        <f t="shared" si="10"/>
        <v>79950</v>
      </c>
      <c r="GY12" s="562">
        <f t="shared" si="11"/>
        <v>79950</v>
      </c>
      <c r="GZ12" s="562">
        <f t="shared" si="12"/>
        <v>79950</v>
      </c>
      <c r="HA12" s="564" t="s">
        <v>1287</v>
      </c>
      <c r="HC12" s="349" t="s">
        <v>414</v>
      </c>
      <c r="HD12" s="349" t="s">
        <v>1514</v>
      </c>
    </row>
    <row r="13" spans="1:212">
      <c r="B13" s="549">
        <v>9</v>
      </c>
      <c r="C13" s="549">
        <v>209</v>
      </c>
      <c r="D13" s="550" t="s">
        <v>413</v>
      </c>
      <c r="E13" s="557" t="s">
        <v>13</v>
      </c>
      <c r="F13" s="555">
        <v>195</v>
      </c>
      <c r="G13" s="555">
        <v>165</v>
      </c>
      <c r="H13" s="555">
        <v>30</v>
      </c>
      <c r="I13" s="555">
        <v>0</v>
      </c>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K13" s="553"/>
      <c r="AL13" s="553"/>
      <c r="AM13" s="554"/>
      <c r="AN13" s="555" t="s">
        <v>11</v>
      </c>
      <c r="AO13" s="558" t="s">
        <v>883</v>
      </c>
      <c r="AP13" s="558" t="s">
        <v>883</v>
      </c>
      <c r="AQ13" s="558" t="s">
        <v>883</v>
      </c>
      <c r="AR13" s="558" t="s">
        <v>883</v>
      </c>
      <c r="AS13" s="558" t="s">
        <v>883</v>
      </c>
      <c r="AT13" s="558" t="s">
        <v>883</v>
      </c>
      <c r="AU13" s="558" t="s">
        <v>883</v>
      </c>
      <c r="AV13" s="558" t="s">
        <v>883</v>
      </c>
      <c r="AW13" s="558" t="s">
        <v>883</v>
      </c>
      <c r="AX13" s="558" t="s">
        <v>883</v>
      </c>
      <c r="AY13" s="558" t="s">
        <v>883</v>
      </c>
      <c r="AZ13" s="558" t="s">
        <v>883</v>
      </c>
      <c r="BA13" s="558" t="s">
        <v>883</v>
      </c>
      <c r="BB13" s="558" t="s">
        <v>883</v>
      </c>
      <c r="BC13" s="558" t="s">
        <v>883</v>
      </c>
      <c r="BD13" s="558" t="s">
        <v>883</v>
      </c>
      <c r="BE13" s="558" t="s">
        <v>883</v>
      </c>
      <c r="BF13" s="558" t="s">
        <v>883</v>
      </c>
      <c r="BG13" s="558" t="s">
        <v>883</v>
      </c>
      <c r="BH13" s="558" t="s">
        <v>883</v>
      </c>
      <c r="BI13" s="558" t="s">
        <v>883</v>
      </c>
      <c r="BJ13" s="558" t="s">
        <v>883</v>
      </c>
      <c r="BK13" s="558" t="s">
        <v>883</v>
      </c>
      <c r="BL13" s="558" t="s">
        <v>883</v>
      </c>
      <c r="BM13" s="558">
        <v>0</v>
      </c>
      <c r="BN13" s="558">
        <v>0</v>
      </c>
      <c r="BO13" s="558">
        <v>0</v>
      </c>
      <c r="BP13" s="558">
        <v>0</v>
      </c>
      <c r="BQ13" s="558">
        <v>0</v>
      </c>
      <c r="BR13" s="558">
        <v>0</v>
      </c>
      <c r="BS13" s="558">
        <v>0</v>
      </c>
      <c r="BT13" s="558">
        <v>0</v>
      </c>
      <c r="BU13" s="558">
        <v>0</v>
      </c>
      <c r="BV13" s="558">
        <v>0</v>
      </c>
      <c r="BW13" s="558">
        <v>0</v>
      </c>
      <c r="BX13" s="558">
        <v>0</v>
      </c>
      <c r="BY13" s="558">
        <v>0</v>
      </c>
      <c r="BZ13" s="558">
        <v>0</v>
      </c>
      <c r="CA13" s="558">
        <v>0</v>
      </c>
      <c r="CB13" s="558">
        <v>0</v>
      </c>
      <c r="CC13" s="558">
        <v>0</v>
      </c>
      <c r="CD13" s="558">
        <v>0</v>
      </c>
      <c r="CE13" s="558">
        <v>0</v>
      </c>
      <c r="CF13" s="558">
        <v>0</v>
      </c>
      <c r="CG13" s="558">
        <v>0</v>
      </c>
      <c r="CH13" s="558">
        <v>0</v>
      </c>
      <c r="CI13" s="558">
        <v>0</v>
      </c>
      <c r="CJ13" s="558">
        <v>0</v>
      </c>
      <c r="CK13" s="558">
        <v>0</v>
      </c>
      <c r="CL13" s="558">
        <v>0</v>
      </c>
      <c r="CM13" s="558">
        <v>0</v>
      </c>
      <c r="CN13" s="558">
        <v>0</v>
      </c>
      <c r="CO13" s="558">
        <v>0</v>
      </c>
      <c r="CP13" s="558">
        <v>0</v>
      </c>
      <c r="CQ13" s="558">
        <v>0</v>
      </c>
      <c r="CR13" s="558">
        <v>0</v>
      </c>
      <c r="CS13" s="558">
        <v>0</v>
      </c>
      <c r="CT13" s="558">
        <v>0</v>
      </c>
      <c r="CU13" s="558">
        <v>0</v>
      </c>
      <c r="CV13" s="558">
        <v>0</v>
      </c>
      <c r="CW13" s="558" t="s">
        <v>13</v>
      </c>
      <c r="CX13" s="558">
        <v>1</v>
      </c>
      <c r="CY13" s="559"/>
      <c r="CZ13" s="559"/>
      <c r="DA13" s="559"/>
      <c r="DB13" s="559"/>
      <c r="DC13" s="559"/>
      <c r="DD13" s="559"/>
      <c r="DE13" s="559"/>
      <c r="DF13" s="559"/>
      <c r="DG13" s="559"/>
      <c r="DH13" s="559"/>
      <c r="DI13" s="559"/>
      <c r="DJ13" s="559"/>
      <c r="DK13" s="559"/>
      <c r="DL13" s="559"/>
      <c r="DM13" s="559"/>
      <c r="DN13" s="559"/>
      <c r="DO13" s="559"/>
      <c r="DP13" s="559"/>
      <c r="DQ13" s="559"/>
      <c r="DR13" s="559"/>
      <c r="DS13" s="559"/>
      <c r="DT13" s="559"/>
      <c r="DU13" s="559"/>
      <c r="DV13" s="559"/>
      <c r="DW13" s="559"/>
      <c r="DX13" s="559"/>
      <c r="DY13" s="559"/>
      <c r="DZ13" s="559"/>
      <c r="EA13" s="559"/>
      <c r="EB13" s="559"/>
      <c r="EC13" s="559"/>
      <c r="ED13" s="559"/>
      <c r="EE13" s="559"/>
      <c r="EF13" s="559"/>
      <c r="EG13" s="559"/>
      <c r="EH13" s="559"/>
      <c r="EI13" s="558" t="s">
        <v>1133</v>
      </c>
      <c r="EJ13" s="558" t="s">
        <v>1133</v>
      </c>
      <c r="EK13" s="558" t="s">
        <v>1133</v>
      </c>
      <c r="EL13" s="558" t="s">
        <v>1133</v>
      </c>
      <c r="EM13" s="558" t="s">
        <v>1133</v>
      </c>
      <c r="EN13" s="558" t="s">
        <v>1133</v>
      </c>
      <c r="EO13" s="558" t="s">
        <v>1133</v>
      </c>
      <c r="EP13" s="558" t="s">
        <v>1133</v>
      </c>
      <c r="EQ13" s="558" t="s">
        <v>1133</v>
      </c>
      <c r="ER13" s="558" t="s">
        <v>1133</v>
      </c>
      <c r="ES13" s="558" t="s">
        <v>1133</v>
      </c>
      <c r="ET13" s="558" t="s">
        <v>1133</v>
      </c>
      <c r="EU13" s="558">
        <v>4200</v>
      </c>
      <c r="EV13" s="558">
        <v>4070</v>
      </c>
      <c r="EW13" s="558" t="s">
        <v>1592</v>
      </c>
      <c r="EX13" s="558" t="s">
        <v>1592</v>
      </c>
      <c r="EY13" s="558" t="s">
        <v>1592</v>
      </c>
      <c r="EZ13" s="558" t="s">
        <v>1592</v>
      </c>
      <c r="FA13" s="558" t="s">
        <v>1592</v>
      </c>
      <c r="FB13" s="558" t="s">
        <v>1592</v>
      </c>
      <c r="FC13" s="558" t="s">
        <v>1592</v>
      </c>
      <c r="FD13" s="558" t="s">
        <v>1592</v>
      </c>
      <c r="FE13" s="558" t="s">
        <v>1592</v>
      </c>
      <c r="FF13" s="558" t="s">
        <v>1592</v>
      </c>
      <c r="FG13" s="558" t="s">
        <v>1592</v>
      </c>
      <c r="FH13" s="558" t="s">
        <v>1592</v>
      </c>
      <c r="FI13" s="558">
        <v>99</v>
      </c>
      <c r="FJ13" s="558">
        <v>100</v>
      </c>
      <c r="FK13" s="558">
        <v>100</v>
      </c>
      <c r="FL13" s="558">
        <v>100</v>
      </c>
      <c r="FM13" s="558">
        <v>100</v>
      </c>
      <c r="FN13" s="558">
        <v>100</v>
      </c>
      <c r="FO13" s="558">
        <v>100</v>
      </c>
      <c r="FP13" s="558">
        <v>100</v>
      </c>
      <c r="FQ13" s="558">
        <v>100</v>
      </c>
      <c r="FR13" s="558">
        <v>100</v>
      </c>
      <c r="FS13" s="558">
        <v>22</v>
      </c>
      <c r="FT13" s="558">
        <v>21</v>
      </c>
      <c r="FU13" s="558">
        <v>21</v>
      </c>
      <c r="FV13" s="558">
        <v>21</v>
      </c>
      <c r="FW13" s="558">
        <v>21</v>
      </c>
      <c r="FX13" s="558">
        <v>21</v>
      </c>
      <c r="FY13" s="558">
        <v>21</v>
      </c>
      <c r="FZ13" s="558">
        <v>21</v>
      </c>
      <c r="GA13" s="558">
        <v>21</v>
      </c>
      <c r="GB13" s="558">
        <v>21</v>
      </c>
      <c r="GC13" s="558" t="s">
        <v>1596</v>
      </c>
      <c r="GD13" s="558" t="s">
        <v>1596</v>
      </c>
      <c r="GE13" s="558" t="s">
        <v>1596</v>
      </c>
      <c r="GF13" s="558" t="s">
        <v>1596</v>
      </c>
      <c r="GG13" s="558" t="s">
        <v>1596</v>
      </c>
      <c r="GH13" s="558" t="s">
        <v>1596</v>
      </c>
      <c r="GI13" s="558" t="s">
        <v>1596</v>
      </c>
      <c r="GJ13" s="558" t="s">
        <v>1596</v>
      </c>
      <c r="GK13" s="558" t="s">
        <v>1596</v>
      </c>
      <c r="GL13" s="558" t="s">
        <v>1596</v>
      </c>
      <c r="GM13" s="558" t="s">
        <v>1596</v>
      </c>
      <c r="GN13" s="558" t="s">
        <v>1596</v>
      </c>
      <c r="GO13" s="562" t="str">
        <f t="shared" si="1"/>
        <v/>
      </c>
      <c r="GP13" s="562" t="str">
        <f t="shared" si="2"/>
        <v/>
      </c>
      <c r="GQ13" s="562" t="str">
        <f t="shared" si="3"/>
        <v/>
      </c>
      <c r="GR13" s="562" t="str">
        <f t="shared" si="4"/>
        <v/>
      </c>
      <c r="GS13" s="562" t="str">
        <f t="shared" si="5"/>
        <v/>
      </c>
      <c r="GT13" s="562" t="str">
        <f t="shared" si="6"/>
        <v/>
      </c>
      <c r="GU13" s="562" t="str">
        <f t="shared" si="7"/>
        <v/>
      </c>
      <c r="GV13" s="562" t="str">
        <f t="shared" si="8"/>
        <v/>
      </c>
      <c r="GW13" s="562" t="str">
        <f t="shared" si="9"/>
        <v/>
      </c>
      <c r="GX13" s="562" t="str">
        <f t="shared" si="10"/>
        <v/>
      </c>
      <c r="GY13" s="562" t="str">
        <f t="shared" si="11"/>
        <v/>
      </c>
      <c r="GZ13" s="562" t="str">
        <f t="shared" si="12"/>
        <v/>
      </c>
      <c r="HA13" s="564" t="s">
        <v>1286</v>
      </c>
      <c r="HC13" s="349" t="s">
        <v>413</v>
      </c>
      <c r="HD13" s="349" t="s">
        <v>1514</v>
      </c>
    </row>
    <row r="14" spans="1:212">
      <c r="B14" s="549">
        <v>10</v>
      </c>
      <c r="C14" s="549">
        <v>210</v>
      </c>
      <c r="D14" s="550" t="s">
        <v>430</v>
      </c>
      <c r="E14" s="557" t="s">
        <v>13</v>
      </c>
      <c r="F14" s="555">
        <v>215</v>
      </c>
      <c r="G14" s="555">
        <v>165</v>
      </c>
      <c r="H14" s="555">
        <v>30</v>
      </c>
      <c r="I14" s="555">
        <v>20</v>
      </c>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2"/>
      <c r="AK14" s="553"/>
      <c r="AL14" s="553"/>
      <c r="AM14" s="554"/>
      <c r="AN14" s="555" t="s">
        <v>11</v>
      </c>
      <c r="AO14" s="558" t="s">
        <v>883</v>
      </c>
      <c r="AP14" s="558" t="s">
        <v>883</v>
      </c>
      <c r="AQ14" s="558" t="s">
        <v>883</v>
      </c>
      <c r="AR14" s="558" t="s">
        <v>883</v>
      </c>
      <c r="AS14" s="558" t="s">
        <v>883</v>
      </c>
      <c r="AT14" s="558" t="s">
        <v>883</v>
      </c>
      <c r="AU14" s="558" t="s">
        <v>883</v>
      </c>
      <c r="AV14" s="558" t="s">
        <v>883</v>
      </c>
      <c r="AW14" s="558" t="s">
        <v>883</v>
      </c>
      <c r="AX14" s="558" t="s">
        <v>883</v>
      </c>
      <c r="AY14" s="558" t="s">
        <v>883</v>
      </c>
      <c r="AZ14" s="558" t="s">
        <v>883</v>
      </c>
      <c r="BA14" s="558" t="s">
        <v>883</v>
      </c>
      <c r="BB14" s="558" t="s">
        <v>883</v>
      </c>
      <c r="BC14" s="558" t="s">
        <v>883</v>
      </c>
      <c r="BD14" s="558" t="s">
        <v>883</v>
      </c>
      <c r="BE14" s="558" t="s">
        <v>883</v>
      </c>
      <c r="BF14" s="558" t="s">
        <v>883</v>
      </c>
      <c r="BG14" s="558" t="s">
        <v>883</v>
      </c>
      <c r="BH14" s="558" t="s">
        <v>883</v>
      </c>
      <c r="BI14" s="558" t="s">
        <v>883</v>
      </c>
      <c r="BJ14" s="558" t="s">
        <v>883</v>
      </c>
      <c r="BK14" s="558" t="s">
        <v>883</v>
      </c>
      <c r="BL14" s="558" t="s">
        <v>883</v>
      </c>
      <c r="BM14" s="558">
        <v>0</v>
      </c>
      <c r="BN14" s="558">
        <v>0</v>
      </c>
      <c r="BO14" s="558">
        <v>0</v>
      </c>
      <c r="BP14" s="558">
        <v>0</v>
      </c>
      <c r="BQ14" s="558">
        <v>0</v>
      </c>
      <c r="BR14" s="558">
        <v>0</v>
      </c>
      <c r="BS14" s="558">
        <v>0</v>
      </c>
      <c r="BT14" s="558">
        <v>0</v>
      </c>
      <c r="BU14" s="558">
        <v>0</v>
      </c>
      <c r="BV14" s="558">
        <v>0</v>
      </c>
      <c r="BW14" s="558">
        <v>0</v>
      </c>
      <c r="BX14" s="558">
        <v>0</v>
      </c>
      <c r="BY14" s="558">
        <v>0</v>
      </c>
      <c r="BZ14" s="558">
        <v>0</v>
      </c>
      <c r="CA14" s="558">
        <v>0</v>
      </c>
      <c r="CB14" s="558">
        <v>0</v>
      </c>
      <c r="CC14" s="558">
        <v>0</v>
      </c>
      <c r="CD14" s="558">
        <v>0</v>
      </c>
      <c r="CE14" s="558">
        <v>0</v>
      </c>
      <c r="CF14" s="558">
        <v>0</v>
      </c>
      <c r="CG14" s="558">
        <v>0</v>
      </c>
      <c r="CH14" s="558">
        <v>0</v>
      </c>
      <c r="CI14" s="558">
        <v>0</v>
      </c>
      <c r="CJ14" s="558">
        <v>0</v>
      </c>
      <c r="CK14" s="558">
        <v>0</v>
      </c>
      <c r="CL14" s="558">
        <v>0</v>
      </c>
      <c r="CM14" s="558">
        <v>0</v>
      </c>
      <c r="CN14" s="558">
        <v>0</v>
      </c>
      <c r="CO14" s="558">
        <v>0</v>
      </c>
      <c r="CP14" s="558">
        <v>0</v>
      </c>
      <c r="CQ14" s="558">
        <v>0</v>
      </c>
      <c r="CR14" s="558">
        <v>0</v>
      </c>
      <c r="CS14" s="558">
        <v>0</v>
      </c>
      <c r="CT14" s="558">
        <v>0</v>
      </c>
      <c r="CU14" s="558">
        <v>0</v>
      </c>
      <c r="CV14" s="558">
        <v>0</v>
      </c>
      <c r="CW14" s="558" t="s">
        <v>13</v>
      </c>
      <c r="CX14" s="558">
        <v>2</v>
      </c>
      <c r="CY14" s="559"/>
      <c r="CZ14" s="559"/>
      <c r="DA14" s="559"/>
      <c r="DB14" s="559"/>
      <c r="DC14" s="559"/>
      <c r="DD14" s="559"/>
      <c r="DE14" s="559"/>
      <c r="DF14" s="559"/>
      <c r="DG14" s="559"/>
      <c r="DH14" s="559"/>
      <c r="DI14" s="559"/>
      <c r="DJ14" s="559"/>
      <c r="DK14" s="559"/>
      <c r="DL14" s="559"/>
      <c r="DM14" s="559"/>
      <c r="DN14" s="559"/>
      <c r="DO14" s="559"/>
      <c r="DP14" s="559"/>
      <c r="DQ14" s="559"/>
      <c r="DR14" s="559"/>
      <c r="DS14" s="559"/>
      <c r="DT14" s="559"/>
      <c r="DU14" s="559"/>
      <c r="DV14" s="559"/>
      <c r="DW14" s="559"/>
      <c r="DX14" s="559"/>
      <c r="DY14" s="559"/>
      <c r="DZ14" s="559"/>
      <c r="EA14" s="559"/>
      <c r="EB14" s="559"/>
      <c r="EC14" s="559"/>
      <c r="ED14" s="559"/>
      <c r="EE14" s="559"/>
      <c r="EF14" s="559"/>
      <c r="EG14" s="559"/>
      <c r="EH14" s="559"/>
      <c r="EI14" s="558" t="s">
        <v>1133</v>
      </c>
      <c r="EJ14" s="558" t="s">
        <v>1133</v>
      </c>
      <c r="EK14" s="558" t="s">
        <v>1133</v>
      </c>
      <c r="EL14" s="558" t="s">
        <v>1133</v>
      </c>
      <c r="EM14" s="558" t="s">
        <v>1133</v>
      </c>
      <c r="EN14" s="558" t="s">
        <v>1133</v>
      </c>
      <c r="EO14" s="558" t="s">
        <v>1133</v>
      </c>
      <c r="EP14" s="558" t="s">
        <v>1133</v>
      </c>
      <c r="EQ14" s="558" t="s">
        <v>1133</v>
      </c>
      <c r="ER14" s="558" t="s">
        <v>1133</v>
      </c>
      <c r="ES14" s="558" t="s">
        <v>1133</v>
      </c>
      <c r="ET14" s="558" t="s">
        <v>1133</v>
      </c>
      <c r="EU14" s="558">
        <v>4140</v>
      </c>
      <c r="EV14" s="558">
        <v>4010</v>
      </c>
      <c r="EW14" s="558" t="s">
        <v>1592</v>
      </c>
      <c r="EX14" s="558" t="s">
        <v>1592</v>
      </c>
      <c r="EY14" s="558" t="s">
        <v>1592</v>
      </c>
      <c r="EZ14" s="558" t="s">
        <v>1592</v>
      </c>
      <c r="FA14" s="558" t="s">
        <v>1592</v>
      </c>
      <c r="FB14" s="558" t="s">
        <v>1593</v>
      </c>
      <c r="FC14" s="558" t="s">
        <v>1592</v>
      </c>
      <c r="FD14" s="558" t="s">
        <v>1592</v>
      </c>
      <c r="FE14" s="558" t="s">
        <v>1592</v>
      </c>
      <c r="FF14" s="558" t="s">
        <v>1592</v>
      </c>
      <c r="FG14" s="558" t="s">
        <v>1592</v>
      </c>
      <c r="FH14" s="558" t="s">
        <v>1592</v>
      </c>
      <c r="FI14" s="558">
        <v>72</v>
      </c>
      <c r="FJ14" s="558">
        <v>72</v>
      </c>
      <c r="FK14" s="558">
        <v>71</v>
      </c>
      <c r="FL14" s="558">
        <v>71</v>
      </c>
      <c r="FM14" s="558">
        <v>70</v>
      </c>
      <c r="FN14" s="558">
        <v>71</v>
      </c>
      <c r="FO14" s="558">
        <v>71</v>
      </c>
      <c r="FP14" s="558">
        <v>71</v>
      </c>
      <c r="FQ14" s="558">
        <v>72</v>
      </c>
      <c r="FR14" s="558">
        <v>72</v>
      </c>
      <c r="FS14" s="558">
        <v>28</v>
      </c>
      <c r="FT14" s="558">
        <v>28</v>
      </c>
      <c r="FU14" s="558">
        <v>28</v>
      </c>
      <c r="FV14" s="558">
        <v>28</v>
      </c>
      <c r="FW14" s="558">
        <v>27</v>
      </c>
      <c r="FX14" s="558">
        <v>28</v>
      </c>
      <c r="FY14" s="558">
        <v>28</v>
      </c>
      <c r="FZ14" s="558">
        <v>28</v>
      </c>
      <c r="GA14" s="558">
        <v>28</v>
      </c>
      <c r="GB14" s="558">
        <v>28</v>
      </c>
      <c r="GC14" s="558" t="s">
        <v>883</v>
      </c>
      <c r="GD14" s="558" t="s">
        <v>883</v>
      </c>
      <c r="GE14" s="558" t="s">
        <v>883</v>
      </c>
      <c r="GF14" s="558" t="s">
        <v>883</v>
      </c>
      <c r="GG14" s="558" t="s">
        <v>883</v>
      </c>
      <c r="GH14" s="558" t="s">
        <v>883</v>
      </c>
      <c r="GI14" s="558" t="s">
        <v>883</v>
      </c>
      <c r="GJ14" s="558" t="s">
        <v>883</v>
      </c>
      <c r="GK14" s="558" t="s">
        <v>883</v>
      </c>
      <c r="GL14" s="558" t="s">
        <v>883</v>
      </c>
      <c r="GM14" s="558" t="s">
        <v>883</v>
      </c>
      <c r="GN14" s="558" t="s">
        <v>883</v>
      </c>
      <c r="GO14" s="562" t="str">
        <f t="shared" si="1"/>
        <v/>
      </c>
      <c r="GP14" s="562" t="str">
        <f t="shared" si="2"/>
        <v/>
      </c>
      <c r="GQ14" s="562" t="str">
        <f t="shared" si="3"/>
        <v/>
      </c>
      <c r="GR14" s="562" t="str">
        <f t="shared" si="4"/>
        <v/>
      </c>
      <c r="GS14" s="562" t="str">
        <f t="shared" si="5"/>
        <v/>
      </c>
      <c r="GT14" s="562" t="str">
        <f t="shared" si="6"/>
        <v/>
      </c>
      <c r="GU14" s="562" t="str">
        <f t="shared" si="7"/>
        <v/>
      </c>
      <c r="GV14" s="562" t="str">
        <f t="shared" si="8"/>
        <v/>
      </c>
      <c r="GW14" s="562" t="str">
        <f t="shared" si="9"/>
        <v/>
      </c>
      <c r="GX14" s="562" t="str">
        <f t="shared" si="10"/>
        <v/>
      </c>
      <c r="GY14" s="562" t="str">
        <f t="shared" si="11"/>
        <v/>
      </c>
      <c r="GZ14" s="562" t="str">
        <f t="shared" si="12"/>
        <v/>
      </c>
      <c r="HA14" s="564" t="s">
        <v>1286</v>
      </c>
      <c r="HC14" s="349" t="s">
        <v>430</v>
      </c>
      <c r="HD14" s="349" t="s">
        <v>1514</v>
      </c>
    </row>
    <row r="15" spans="1:212">
      <c r="B15" s="549">
        <v>11</v>
      </c>
      <c r="C15" s="549">
        <v>211</v>
      </c>
      <c r="D15" s="550" t="s">
        <v>431</v>
      </c>
      <c r="E15" s="557" t="s">
        <v>13</v>
      </c>
      <c r="F15" s="555">
        <v>300</v>
      </c>
      <c r="G15" s="555">
        <v>180</v>
      </c>
      <c r="H15" s="555">
        <v>70</v>
      </c>
      <c r="I15" s="555">
        <v>50</v>
      </c>
      <c r="J15" s="551"/>
      <c r="K15" s="551"/>
      <c r="L15" s="551"/>
      <c r="M15" s="551"/>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2"/>
      <c r="AK15" s="553"/>
      <c r="AL15" s="553"/>
      <c r="AM15" s="554"/>
      <c r="AN15" s="555" t="s">
        <v>11</v>
      </c>
      <c r="AO15" s="558" t="s">
        <v>883</v>
      </c>
      <c r="AP15" s="558" t="s">
        <v>883</v>
      </c>
      <c r="AQ15" s="558" t="s">
        <v>883</v>
      </c>
      <c r="AR15" s="558" t="s">
        <v>883</v>
      </c>
      <c r="AS15" s="558" t="s">
        <v>883</v>
      </c>
      <c r="AT15" s="558" t="s">
        <v>883</v>
      </c>
      <c r="AU15" s="558" t="s">
        <v>883</v>
      </c>
      <c r="AV15" s="558" t="s">
        <v>883</v>
      </c>
      <c r="AW15" s="558" t="s">
        <v>883</v>
      </c>
      <c r="AX15" s="558" t="s">
        <v>883</v>
      </c>
      <c r="AY15" s="558" t="s">
        <v>883</v>
      </c>
      <c r="AZ15" s="558" t="s">
        <v>883</v>
      </c>
      <c r="BA15" s="558" t="s">
        <v>883</v>
      </c>
      <c r="BB15" s="558" t="s">
        <v>883</v>
      </c>
      <c r="BC15" s="558" t="s">
        <v>883</v>
      </c>
      <c r="BD15" s="558" t="s">
        <v>883</v>
      </c>
      <c r="BE15" s="558" t="s">
        <v>883</v>
      </c>
      <c r="BF15" s="558" t="s">
        <v>883</v>
      </c>
      <c r="BG15" s="558" t="s">
        <v>883</v>
      </c>
      <c r="BH15" s="558" t="s">
        <v>883</v>
      </c>
      <c r="BI15" s="558" t="s">
        <v>883</v>
      </c>
      <c r="BJ15" s="558" t="s">
        <v>883</v>
      </c>
      <c r="BK15" s="558" t="s">
        <v>883</v>
      </c>
      <c r="BL15" s="558" t="s">
        <v>883</v>
      </c>
      <c r="BM15" s="558">
        <v>0</v>
      </c>
      <c r="BN15" s="558">
        <v>0</v>
      </c>
      <c r="BO15" s="558">
        <v>0</v>
      </c>
      <c r="BP15" s="558">
        <v>0</v>
      </c>
      <c r="BQ15" s="558">
        <v>0</v>
      </c>
      <c r="BR15" s="558">
        <v>0</v>
      </c>
      <c r="BS15" s="558">
        <v>0</v>
      </c>
      <c r="BT15" s="558">
        <v>0</v>
      </c>
      <c r="BU15" s="558">
        <v>0</v>
      </c>
      <c r="BV15" s="558">
        <v>0</v>
      </c>
      <c r="BW15" s="558">
        <v>0</v>
      </c>
      <c r="BX15" s="558">
        <v>0</v>
      </c>
      <c r="BY15" s="558">
        <v>0</v>
      </c>
      <c r="BZ15" s="558">
        <v>0</v>
      </c>
      <c r="CA15" s="558">
        <v>0</v>
      </c>
      <c r="CB15" s="558">
        <v>0</v>
      </c>
      <c r="CC15" s="558">
        <v>0</v>
      </c>
      <c r="CD15" s="558">
        <v>0</v>
      </c>
      <c r="CE15" s="558">
        <v>0</v>
      </c>
      <c r="CF15" s="558">
        <v>0</v>
      </c>
      <c r="CG15" s="558">
        <v>0</v>
      </c>
      <c r="CH15" s="558">
        <v>0</v>
      </c>
      <c r="CI15" s="558">
        <v>0</v>
      </c>
      <c r="CJ15" s="558">
        <v>0</v>
      </c>
      <c r="CK15" s="558">
        <v>0</v>
      </c>
      <c r="CL15" s="558">
        <v>0</v>
      </c>
      <c r="CM15" s="558">
        <v>0</v>
      </c>
      <c r="CN15" s="558">
        <v>0</v>
      </c>
      <c r="CO15" s="558">
        <v>0</v>
      </c>
      <c r="CP15" s="558">
        <v>0</v>
      </c>
      <c r="CQ15" s="558">
        <v>0</v>
      </c>
      <c r="CR15" s="558">
        <v>0</v>
      </c>
      <c r="CS15" s="558">
        <v>0</v>
      </c>
      <c r="CT15" s="558">
        <v>0</v>
      </c>
      <c r="CU15" s="558">
        <v>0</v>
      </c>
      <c r="CV15" s="558">
        <v>0</v>
      </c>
      <c r="CW15" s="558" t="s">
        <v>13</v>
      </c>
      <c r="CX15" s="558">
        <v>3</v>
      </c>
      <c r="CY15" s="559"/>
      <c r="CZ15" s="559"/>
      <c r="DA15" s="559"/>
      <c r="DB15" s="559"/>
      <c r="DC15" s="559"/>
      <c r="DD15" s="559"/>
      <c r="DE15" s="559"/>
      <c r="DF15" s="559"/>
      <c r="DG15" s="559"/>
      <c r="DH15" s="559"/>
      <c r="DI15" s="559"/>
      <c r="DJ15" s="559"/>
      <c r="DK15" s="559"/>
      <c r="DL15" s="559"/>
      <c r="DM15" s="559"/>
      <c r="DN15" s="559"/>
      <c r="DO15" s="559"/>
      <c r="DP15" s="559"/>
      <c r="DQ15" s="559"/>
      <c r="DR15" s="559"/>
      <c r="DS15" s="559"/>
      <c r="DT15" s="559"/>
      <c r="DU15" s="559"/>
      <c r="DV15" s="559"/>
      <c r="DW15" s="559"/>
      <c r="DX15" s="559"/>
      <c r="DY15" s="559"/>
      <c r="DZ15" s="559"/>
      <c r="EA15" s="559"/>
      <c r="EB15" s="559"/>
      <c r="EC15" s="559"/>
      <c r="ED15" s="559"/>
      <c r="EE15" s="559"/>
      <c r="EF15" s="559"/>
      <c r="EG15" s="559"/>
      <c r="EH15" s="559"/>
      <c r="EI15" s="558" t="s">
        <v>1133</v>
      </c>
      <c r="EJ15" s="558" t="s">
        <v>1133</v>
      </c>
      <c r="EK15" s="558" t="s">
        <v>1133</v>
      </c>
      <c r="EL15" s="558" t="s">
        <v>1133</v>
      </c>
      <c r="EM15" s="558" t="s">
        <v>1133</v>
      </c>
      <c r="EN15" s="558" t="s">
        <v>1133</v>
      </c>
      <c r="EO15" s="558" t="s">
        <v>1133</v>
      </c>
      <c r="EP15" s="558" t="s">
        <v>1133</v>
      </c>
      <c r="EQ15" s="558" t="s">
        <v>1133</v>
      </c>
      <c r="ER15" s="558" t="s">
        <v>1133</v>
      </c>
      <c r="ES15" s="558" t="s">
        <v>1133</v>
      </c>
      <c r="ET15" s="558" t="s">
        <v>1133</v>
      </c>
      <c r="EU15" s="558">
        <v>4110</v>
      </c>
      <c r="EV15" s="558">
        <v>3980</v>
      </c>
      <c r="EW15" s="558" t="s">
        <v>1592</v>
      </c>
      <c r="EX15" s="558" t="s">
        <v>1592</v>
      </c>
      <c r="EY15" s="558" t="s">
        <v>1592</v>
      </c>
      <c r="EZ15" s="558" t="s">
        <v>1592</v>
      </c>
      <c r="FA15" s="558" t="s">
        <v>1592</v>
      </c>
      <c r="FB15" s="558" t="s">
        <v>1592</v>
      </c>
      <c r="FC15" s="558" t="s">
        <v>1592</v>
      </c>
      <c r="FD15" s="558" t="s">
        <v>1592</v>
      </c>
      <c r="FE15" s="558" t="s">
        <v>1592</v>
      </c>
      <c r="FF15" s="558" t="s">
        <v>1592</v>
      </c>
      <c r="FG15" s="558" t="s">
        <v>1592</v>
      </c>
      <c r="FH15" s="558" t="s">
        <v>1592</v>
      </c>
      <c r="FI15" s="558">
        <v>104</v>
      </c>
      <c r="FJ15" s="558">
        <v>105</v>
      </c>
      <c r="FK15" s="558">
        <v>105</v>
      </c>
      <c r="FL15" s="558">
        <v>105</v>
      </c>
      <c r="FM15" s="558">
        <v>105</v>
      </c>
      <c r="FN15" s="558">
        <v>104</v>
      </c>
      <c r="FO15" s="558">
        <v>104</v>
      </c>
      <c r="FP15" s="558">
        <v>104</v>
      </c>
      <c r="FQ15" s="558">
        <v>104</v>
      </c>
      <c r="FR15" s="558">
        <v>104</v>
      </c>
      <c r="FS15" s="558">
        <v>54</v>
      </c>
      <c r="FT15" s="558">
        <v>54</v>
      </c>
      <c r="FU15" s="558">
        <v>54</v>
      </c>
      <c r="FV15" s="558">
        <v>54</v>
      </c>
      <c r="FW15" s="558">
        <v>54</v>
      </c>
      <c r="FX15" s="558">
        <v>54</v>
      </c>
      <c r="FY15" s="558">
        <v>54</v>
      </c>
      <c r="FZ15" s="558">
        <v>54</v>
      </c>
      <c r="GA15" s="558">
        <v>54</v>
      </c>
      <c r="GB15" s="558">
        <v>54</v>
      </c>
      <c r="GC15" s="558" t="s">
        <v>1595</v>
      </c>
      <c r="GD15" s="558" t="s">
        <v>1595</v>
      </c>
      <c r="GE15" s="558" t="s">
        <v>1595</v>
      </c>
      <c r="GF15" s="558" t="s">
        <v>1595</v>
      </c>
      <c r="GG15" s="558" t="s">
        <v>1595</v>
      </c>
      <c r="GH15" s="558" t="s">
        <v>1595</v>
      </c>
      <c r="GI15" s="558" t="s">
        <v>1595</v>
      </c>
      <c r="GJ15" s="558" t="s">
        <v>1595</v>
      </c>
      <c r="GK15" s="558" t="s">
        <v>1595</v>
      </c>
      <c r="GL15" s="558" t="s">
        <v>1595</v>
      </c>
      <c r="GM15" s="558" t="s">
        <v>1595</v>
      </c>
      <c r="GN15" s="558" t="s">
        <v>1595</v>
      </c>
      <c r="GO15" s="562">
        <f t="shared" si="1"/>
        <v>79950</v>
      </c>
      <c r="GP15" s="562">
        <f t="shared" si="2"/>
        <v>79950</v>
      </c>
      <c r="GQ15" s="562">
        <f t="shared" si="3"/>
        <v>79950</v>
      </c>
      <c r="GR15" s="562">
        <f t="shared" si="4"/>
        <v>79950</v>
      </c>
      <c r="GS15" s="562">
        <f t="shared" si="5"/>
        <v>79950</v>
      </c>
      <c r="GT15" s="562">
        <f t="shared" si="6"/>
        <v>79950</v>
      </c>
      <c r="GU15" s="562">
        <f t="shared" si="7"/>
        <v>79950</v>
      </c>
      <c r="GV15" s="562">
        <f t="shared" si="8"/>
        <v>79950</v>
      </c>
      <c r="GW15" s="562">
        <f t="shared" si="9"/>
        <v>79950</v>
      </c>
      <c r="GX15" s="562">
        <f t="shared" si="10"/>
        <v>79950</v>
      </c>
      <c r="GY15" s="562">
        <f t="shared" si="11"/>
        <v>79950</v>
      </c>
      <c r="GZ15" s="562">
        <f t="shared" si="12"/>
        <v>79950</v>
      </c>
      <c r="HA15" s="564" t="s">
        <v>1284</v>
      </c>
      <c r="HC15" s="349" t="s">
        <v>431</v>
      </c>
      <c r="HD15" s="349" t="s">
        <v>1514</v>
      </c>
    </row>
    <row r="16" spans="1:212">
      <c r="B16" s="549">
        <v>12</v>
      </c>
      <c r="C16" s="549">
        <v>212</v>
      </c>
      <c r="D16" s="550" t="s">
        <v>443</v>
      </c>
      <c r="E16" s="557" t="s">
        <v>13</v>
      </c>
      <c r="F16" s="555">
        <v>90</v>
      </c>
      <c r="G16" s="555">
        <v>60</v>
      </c>
      <c r="H16" s="555">
        <v>30</v>
      </c>
      <c r="I16" s="555">
        <v>0</v>
      </c>
      <c r="J16" s="551"/>
      <c r="K16" s="551"/>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52"/>
      <c r="AK16" s="553"/>
      <c r="AL16" s="553"/>
      <c r="AM16" s="554"/>
      <c r="AN16" s="555" t="s">
        <v>11</v>
      </c>
      <c r="AO16" s="558" t="s">
        <v>883</v>
      </c>
      <c r="AP16" s="558" t="s">
        <v>883</v>
      </c>
      <c r="AQ16" s="558" t="s">
        <v>883</v>
      </c>
      <c r="AR16" s="558" t="s">
        <v>883</v>
      </c>
      <c r="AS16" s="558" t="s">
        <v>883</v>
      </c>
      <c r="AT16" s="558" t="s">
        <v>883</v>
      </c>
      <c r="AU16" s="558" t="s">
        <v>883</v>
      </c>
      <c r="AV16" s="558" t="s">
        <v>883</v>
      </c>
      <c r="AW16" s="558" t="s">
        <v>883</v>
      </c>
      <c r="AX16" s="558" t="s">
        <v>883</v>
      </c>
      <c r="AY16" s="558" t="s">
        <v>883</v>
      </c>
      <c r="AZ16" s="558" t="s">
        <v>883</v>
      </c>
      <c r="BA16" s="558" t="s">
        <v>883</v>
      </c>
      <c r="BB16" s="558" t="s">
        <v>883</v>
      </c>
      <c r="BC16" s="558" t="s">
        <v>883</v>
      </c>
      <c r="BD16" s="558" t="s">
        <v>883</v>
      </c>
      <c r="BE16" s="558" t="s">
        <v>883</v>
      </c>
      <c r="BF16" s="558" t="s">
        <v>883</v>
      </c>
      <c r="BG16" s="558" t="s">
        <v>883</v>
      </c>
      <c r="BH16" s="558" t="s">
        <v>883</v>
      </c>
      <c r="BI16" s="558" t="s">
        <v>883</v>
      </c>
      <c r="BJ16" s="558" t="s">
        <v>883</v>
      </c>
      <c r="BK16" s="558" t="s">
        <v>883</v>
      </c>
      <c r="BL16" s="558" t="s">
        <v>883</v>
      </c>
      <c r="BM16" s="558">
        <v>0</v>
      </c>
      <c r="BN16" s="558">
        <v>0</v>
      </c>
      <c r="BO16" s="558">
        <v>0</v>
      </c>
      <c r="BP16" s="558">
        <v>0</v>
      </c>
      <c r="BQ16" s="558">
        <v>0</v>
      </c>
      <c r="BR16" s="558">
        <v>0</v>
      </c>
      <c r="BS16" s="558">
        <v>0</v>
      </c>
      <c r="BT16" s="558">
        <v>0</v>
      </c>
      <c r="BU16" s="558">
        <v>0</v>
      </c>
      <c r="BV16" s="558">
        <v>0</v>
      </c>
      <c r="BW16" s="558">
        <v>0</v>
      </c>
      <c r="BX16" s="558">
        <v>0</v>
      </c>
      <c r="BY16" s="558">
        <v>0</v>
      </c>
      <c r="BZ16" s="558">
        <v>0</v>
      </c>
      <c r="CA16" s="558">
        <v>0</v>
      </c>
      <c r="CB16" s="558">
        <v>0</v>
      </c>
      <c r="CC16" s="558">
        <v>0</v>
      </c>
      <c r="CD16" s="558">
        <v>0</v>
      </c>
      <c r="CE16" s="558">
        <v>0</v>
      </c>
      <c r="CF16" s="558">
        <v>0</v>
      </c>
      <c r="CG16" s="558">
        <v>0</v>
      </c>
      <c r="CH16" s="558">
        <v>0</v>
      </c>
      <c r="CI16" s="558">
        <v>0</v>
      </c>
      <c r="CJ16" s="558">
        <v>0</v>
      </c>
      <c r="CK16" s="558">
        <v>0</v>
      </c>
      <c r="CL16" s="558">
        <v>0</v>
      </c>
      <c r="CM16" s="558">
        <v>0</v>
      </c>
      <c r="CN16" s="558">
        <v>0</v>
      </c>
      <c r="CO16" s="558">
        <v>0</v>
      </c>
      <c r="CP16" s="558">
        <v>0</v>
      </c>
      <c r="CQ16" s="558">
        <v>0</v>
      </c>
      <c r="CR16" s="558">
        <v>0</v>
      </c>
      <c r="CS16" s="558">
        <v>0</v>
      </c>
      <c r="CT16" s="558">
        <v>0</v>
      </c>
      <c r="CU16" s="558">
        <v>0</v>
      </c>
      <c r="CV16" s="558">
        <v>0</v>
      </c>
      <c r="CW16" s="558" t="s">
        <v>13</v>
      </c>
      <c r="CX16" s="558">
        <v>0</v>
      </c>
      <c r="CY16" s="559"/>
      <c r="CZ16" s="559"/>
      <c r="DA16" s="559"/>
      <c r="DB16" s="559"/>
      <c r="DC16" s="559"/>
      <c r="DD16" s="559"/>
      <c r="DE16" s="559"/>
      <c r="DF16" s="559"/>
      <c r="DG16" s="559"/>
      <c r="DH16" s="559"/>
      <c r="DI16" s="559"/>
      <c r="DJ16" s="559"/>
      <c r="DK16" s="559"/>
      <c r="DL16" s="559"/>
      <c r="DM16" s="559"/>
      <c r="DN16" s="559"/>
      <c r="DO16" s="559"/>
      <c r="DP16" s="559"/>
      <c r="DQ16" s="559"/>
      <c r="DR16" s="559"/>
      <c r="DS16" s="559"/>
      <c r="DT16" s="559"/>
      <c r="DU16" s="559"/>
      <c r="DV16" s="559"/>
      <c r="DW16" s="559"/>
      <c r="DX16" s="559"/>
      <c r="DY16" s="559"/>
      <c r="DZ16" s="559"/>
      <c r="EA16" s="559"/>
      <c r="EB16" s="559"/>
      <c r="EC16" s="559"/>
      <c r="ED16" s="559"/>
      <c r="EE16" s="559"/>
      <c r="EF16" s="559"/>
      <c r="EG16" s="559"/>
      <c r="EH16" s="559"/>
      <c r="EI16" s="558" t="s">
        <v>1133</v>
      </c>
      <c r="EJ16" s="558" t="s">
        <v>1133</v>
      </c>
      <c r="EK16" s="558" t="s">
        <v>1133</v>
      </c>
      <c r="EL16" s="558" t="s">
        <v>1133</v>
      </c>
      <c r="EM16" s="558" t="s">
        <v>1133</v>
      </c>
      <c r="EN16" s="558" t="s">
        <v>1133</v>
      </c>
      <c r="EO16" s="558" t="s">
        <v>1133</v>
      </c>
      <c r="EP16" s="558" t="s">
        <v>1133</v>
      </c>
      <c r="EQ16" s="558" t="s">
        <v>1133</v>
      </c>
      <c r="ER16" s="558" t="s">
        <v>1133</v>
      </c>
      <c r="ES16" s="558" t="s">
        <v>1133</v>
      </c>
      <c r="ET16" s="558" t="s">
        <v>1133</v>
      </c>
      <c r="EU16" s="558">
        <v>4200</v>
      </c>
      <c r="EV16" s="558">
        <v>4070</v>
      </c>
      <c r="EW16" s="558" t="s">
        <v>1592</v>
      </c>
      <c r="EX16" s="558" t="s">
        <v>1592</v>
      </c>
      <c r="EY16" s="558" t="s">
        <v>1592</v>
      </c>
      <c r="EZ16" s="558" t="s">
        <v>1592</v>
      </c>
      <c r="FA16" s="558" t="s">
        <v>1592</v>
      </c>
      <c r="FB16" s="558" t="s">
        <v>1592</v>
      </c>
      <c r="FC16" s="558" t="s">
        <v>1592</v>
      </c>
      <c r="FD16" s="558" t="s">
        <v>1592</v>
      </c>
      <c r="FE16" s="558" t="s">
        <v>1592</v>
      </c>
      <c r="FF16" s="558" t="s">
        <v>1592</v>
      </c>
      <c r="FG16" s="558" t="s">
        <v>1592</v>
      </c>
      <c r="FH16" s="558" t="s">
        <v>1592</v>
      </c>
      <c r="FI16" s="558">
        <v>28</v>
      </c>
      <c r="FJ16" s="558">
        <v>27</v>
      </c>
      <c r="FK16" s="558">
        <v>27</v>
      </c>
      <c r="FL16" s="558">
        <v>28</v>
      </c>
      <c r="FM16" s="558">
        <v>25</v>
      </c>
      <c r="FN16" s="558">
        <v>25</v>
      </c>
      <c r="FO16" s="558">
        <v>25</v>
      </c>
      <c r="FP16" s="558">
        <v>26</v>
      </c>
      <c r="FQ16" s="558">
        <v>26</v>
      </c>
      <c r="FR16" s="558">
        <v>26</v>
      </c>
      <c r="FS16" s="558">
        <v>21</v>
      </c>
      <c r="FT16" s="558">
        <v>22</v>
      </c>
      <c r="FU16" s="558">
        <v>22</v>
      </c>
      <c r="FV16" s="558">
        <v>22</v>
      </c>
      <c r="FW16" s="558">
        <v>25</v>
      </c>
      <c r="FX16" s="558">
        <v>25</v>
      </c>
      <c r="FY16" s="558">
        <v>25</v>
      </c>
      <c r="FZ16" s="558">
        <v>24</v>
      </c>
      <c r="GA16" s="558">
        <v>24</v>
      </c>
      <c r="GB16" s="558">
        <v>24</v>
      </c>
      <c r="GC16" s="558" t="s">
        <v>1596</v>
      </c>
      <c r="GD16" s="558" t="s">
        <v>1596</v>
      </c>
      <c r="GE16" s="558" t="s">
        <v>1596</v>
      </c>
      <c r="GF16" s="558" t="s">
        <v>1596</v>
      </c>
      <c r="GG16" s="558" t="s">
        <v>1596</v>
      </c>
      <c r="GH16" s="558" t="s">
        <v>1596</v>
      </c>
      <c r="GI16" s="558" t="s">
        <v>1596</v>
      </c>
      <c r="GJ16" s="558" t="s">
        <v>1596</v>
      </c>
      <c r="GK16" s="558" t="s">
        <v>1596</v>
      </c>
      <c r="GL16" s="558" t="s">
        <v>1596</v>
      </c>
      <c r="GM16" s="558" t="s">
        <v>1596</v>
      </c>
      <c r="GN16" s="558" t="s">
        <v>1596</v>
      </c>
      <c r="GO16" s="562" t="str">
        <f t="shared" si="1"/>
        <v/>
      </c>
      <c r="GP16" s="562" t="str">
        <f t="shared" si="2"/>
        <v/>
      </c>
      <c r="GQ16" s="562" t="str">
        <f t="shared" si="3"/>
        <v/>
      </c>
      <c r="GR16" s="562" t="str">
        <f t="shared" si="4"/>
        <v/>
      </c>
      <c r="GS16" s="562" t="str">
        <f t="shared" si="5"/>
        <v/>
      </c>
      <c r="GT16" s="562" t="str">
        <f t="shared" si="6"/>
        <v/>
      </c>
      <c r="GU16" s="562" t="str">
        <f t="shared" si="7"/>
        <v/>
      </c>
      <c r="GV16" s="562" t="str">
        <f t="shared" si="8"/>
        <v/>
      </c>
      <c r="GW16" s="562" t="str">
        <f t="shared" si="9"/>
        <v/>
      </c>
      <c r="GX16" s="562" t="str">
        <f t="shared" si="10"/>
        <v/>
      </c>
      <c r="GY16" s="562" t="str">
        <f t="shared" si="11"/>
        <v/>
      </c>
      <c r="GZ16" s="562" t="str">
        <f t="shared" si="12"/>
        <v/>
      </c>
      <c r="HA16" s="564" t="s">
        <v>1286</v>
      </c>
      <c r="HC16" s="349" t="s">
        <v>443</v>
      </c>
      <c r="HD16" s="349" t="s">
        <v>1514</v>
      </c>
    </row>
    <row r="17" spans="2:212">
      <c r="B17" s="549">
        <v>13</v>
      </c>
      <c r="C17" s="549">
        <v>213</v>
      </c>
      <c r="D17" s="550" t="s">
        <v>421</v>
      </c>
      <c r="E17" s="557" t="s">
        <v>13</v>
      </c>
      <c r="F17" s="555">
        <v>145</v>
      </c>
      <c r="G17" s="555">
        <v>105</v>
      </c>
      <c r="H17" s="555">
        <v>40</v>
      </c>
      <c r="I17" s="555">
        <v>0</v>
      </c>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c r="AK17" s="553"/>
      <c r="AL17" s="553"/>
      <c r="AM17" s="554"/>
      <c r="AN17" s="555" t="s">
        <v>11</v>
      </c>
      <c r="AO17" s="558" t="s">
        <v>883</v>
      </c>
      <c r="AP17" s="558" t="s">
        <v>883</v>
      </c>
      <c r="AQ17" s="558" t="s">
        <v>883</v>
      </c>
      <c r="AR17" s="558" t="s">
        <v>883</v>
      </c>
      <c r="AS17" s="558" t="s">
        <v>883</v>
      </c>
      <c r="AT17" s="558" t="s">
        <v>883</v>
      </c>
      <c r="AU17" s="558" t="s">
        <v>883</v>
      </c>
      <c r="AV17" s="558" t="s">
        <v>883</v>
      </c>
      <c r="AW17" s="558" t="s">
        <v>883</v>
      </c>
      <c r="AX17" s="558" t="s">
        <v>883</v>
      </c>
      <c r="AY17" s="558" t="s">
        <v>883</v>
      </c>
      <c r="AZ17" s="558" t="s">
        <v>883</v>
      </c>
      <c r="BA17" s="558" t="s">
        <v>883</v>
      </c>
      <c r="BB17" s="558" t="s">
        <v>883</v>
      </c>
      <c r="BC17" s="558" t="s">
        <v>883</v>
      </c>
      <c r="BD17" s="558" t="s">
        <v>883</v>
      </c>
      <c r="BE17" s="558" t="s">
        <v>883</v>
      </c>
      <c r="BF17" s="558" t="s">
        <v>883</v>
      </c>
      <c r="BG17" s="558" t="s">
        <v>883</v>
      </c>
      <c r="BH17" s="558" t="s">
        <v>883</v>
      </c>
      <c r="BI17" s="558" t="s">
        <v>883</v>
      </c>
      <c r="BJ17" s="558" t="s">
        <v>883</v>
      </c>
      <c r="BK17" s="558" t="s">
        <v>883</v>
      </c>
      <c r="BL17" s="558" t="s">
        <v>883</v>
      </c>
      <c r="BM17" s="558">
        <v>0</v>
      </c>
      <c r="BN17" s="558">
        <v>0</v>
      </c>
      <c r="BO17" s="558">
        <v>0</v>
      </c>
      <c r="BP17" s="558">
        <v>0</v>
      </c>
      <c r="BQ17" s="558">
        <v>0</v>
      </c>
      <c r="BR17" s="558">
        <v>0</v>
      </c>
      <c r="BS17" s="558">
        <v>0</v>
      </c>
      <c r="BT17" s="558">
        <v>0</v>
      </c>
      <c r="BU17" s="558">
        <v>0</v>
      </c>
      <c r="BV17" s="558">
        <v>0</v>
      </c>
      <c r="BW17" s="558">
        <v>0</v>
      </c>
      <c r="BX17" s="558">
        <v>0</v>
      </c>
      <c r="BY17" s="558">
        <v>0</v>
      </c>
      <c r="BZ17" s="558">
        <v>0</v>
      </c>
      <c r="CA17" s="558">
        <v>0</v>
      </c>
      <c r="CB17" s="558">
        <v>0</v>
      </c>
      <c r="CC17" s="558">
        <v>0</v>
      </c>
      <c r="CD17" s="558">
        <v>0</v>
      </c>
      <c r="CE17" s="558">
        <v>0</v>
      </c>
      <c r="CF17" s="558">
        <v>0</v>
      </c>
      <c r="CG17" s="558">
        <v>0</v>
      </c>
      <c r="CH17" s="558">
        <v>0</v>
      </c>
      <c r="CI17" s="558">
        <v>0</v>
      </c>
      <c r="CJ17" s="558">
        <v>0</v>
      </c>
      <c r="CK17" s="558">
        <v>0</v>
      </c>
      <c r="CL17" s="558">
        <v>0</v>
      </c>
      <c r="CM17" s="558">
        <v>0</v>
      </c>
      <c r="CN17" s="558">
        <v>0</v>
      </c>
      <c r="CO17" s="558">
        <v>0</v>
      </c>
      <c r="CP17" s="558">
        <v>0</v>
      </c>
      <c r="CQ17" s="558">
        <v>0</v>
      </c>
      <c r="CR17" s="558">
        <v>0</v>
      </c>
      <c r="CS17" s="558">
        <v>0</v>
      </c>
      <c r="CT17" s="558">
        <v>0</v>
      </c>
      <c r="CU17" s="558">
        <v>0</v>
      </c>
      <c r="CV17" s="558">
        <v>0</v>
      </c>
      <c r="CW17" s="558" t="s">
        <v>13</v>
      </c>
      <c r="CX17" s="558">
        <v>0</v>
      </c>
      <c r="CY17" s="559"/>
      <c r="CZ17" s="559"/>
      <c r="DA17" s="559"/>
      <c r="DB17" s="559"/>
      <c r="DC17" s="559"/>
      <c r="DD17" s="559"/>
      <c r="DE17" s="559"/>
      <c r="DF17" s="559"/>
      <c r="DG17" s="559"/>
      <c r="DH17" s="559"/>
      <c r="DI17" s="559"/>
      <c r="DJ17" s="559"/>
      <c r="DK17" s="559"/>
      <c r="DL17" s="559"/>
      <c r="DM17" s="559"/>
      <c r="DN17" s="559"/>
      <c r="DO17" s="559"/>
      <c r="DP17" s="559"/>
      <c r="DQ17" s="559"/>
      <c r="DR17" s="559"/>
      <c r="DS17" s="559"/>
      <c r="DT17" s="559"/>
      <c r="DU17" s="559"/>
      <c r="DV17" s="559"/>
      <c r="DW17" s="559"/>
      <c r="DX17" s="559"/>
      <c r="DY17" s="559"/>
      <c r="DZ17" s="559"/>
      <c r="EA17" s="559"/>
      <c r="EB17" s="559"/>
      <c r="EC17" s="559"/>
      <c r="ED17" s="559"/>
      <c r="EE17" s="559"/>
      <c r="EF17" s="559"/>
      <c r="EG17" s="559"/>
      <c r="EH17" s="559"/>
      <c r="EI17" s="558" t="s">
        <v>1133</v>
      </c>
      <c r="EJ17" s="558" t="s">
        <v>1133</v>
      </c>
      <c r="EK17" s="558" t="s">
        <v>1133</v>
      </c>
      <c r="EL17" s="558" t="s">
        <v>1133</v>
      </c>
      <c r="EM17" s="558" t="s">
        <v>1133</v>
      </c>
      <c r="EN17" s="558" t="s">
        <v>1133</v>
      </c>
      <c r="EO17" s="558" t="s">
        <v>1133</v>
      </c>
      <c r="EP17" s="558" t="s">
        <v>1133</v>
      </c>
      <c r="EQ17" s="558" t="s">
        <v>1133</v>
      </c>
      <c r="ER17" s="558" t="s">
        <v>1133</v>
      </c>
      <c r="ES17" s="558" t="s">
        <v>1133</v>
      </c>
      <c r="ET17" s="558" t="s">
        <v>1133</v>
      </c>
      <c r="EU17" s="558">
        <v>4200</v>
      </c>
      <c r="EV17" s="558">
        <v>4070</v>
      </c>
      <c r="EW17" s="558" t="s">
        <v>1592</v>
      </c>
      <c r="EX17" s="558" t="s">
        <v>1592</v>
      </c>
      <c r="EY17" s="558" t="s">
        <v>1592</v>
      </c>
      <c r="EZ17" s="558" t="s">
        <v>1592</v>
      </c>
      <c r="FA17" s="558" t="s">
        <v>1592</v>
      </c>
      <c r="FB17" s="558" t="s">
        <v>1592</v>
      </c>
      <c r="FC17" s="558" t="s">
        <v>1592</v>
      </c>
      <c r="FD17" s="558" t="s">
        <v>1592</v>
      </c>
      <c r="FE17" s="558" t="s">
        <v>1592</v>
      </c>
      <c r="FF17" s="558" t="s">
        <v>1592</v>
      </c>
      <c r="FG17" s="558" t="s">
        <v>1592</v>
      </c>
      <c r="FH17" s="558" t="s">
        <v>1592</v>
      </c>
      <c r="FI17" s="558">
        <v>58</v>
      </c>
      <c r="FJ17" s="558">
        <v>60</v>
      </c>
      <c r="FK17" s="558">
        <v>59</v>
      </c>
      <c r="FL17" s="558">
        <v>60</v>
      </c>
      <c r="FM17" s="558">
        <v>59</v>
      </c>
      <c r="FN17" s="558">
        <v>59</v>
      </c>
      <c r="FO17" s="558">
        <v>59</v>
      </c>
      <c r="FP17" s="558">
        <v>59</v>
      </c>
      <c r="FQ17" s="558">
        <v>58</v>
      </c>
      <c r="FR17" s="558">
        <v>58</v>
      </c>
      <c r="FS17" s="558">
        <v>34</v>
      </c>
      <c r="FT17" s="558">
        <v>33</v>
      </c>
      <c r="FU17" s="558">
        <v>34</v>
      </c>
      <c r="FV17" s="558">
        <v>34</v>
      </c>
      <c r="FW17" s="558">
        <v>34</v>
      </c>
      <c r="FX17" s="558">
        <v>34</v>
      </c>
      <c r="FY17" s="558">
        <v>33</v>
      </c>
      <c r="FZ17" s="558">
        <v>34</v>
      </c>
      <c r="GA17" s="558">
        <v>35</v>
      </c>
      <c r="GB17" s="558">
        <v>35</v>
      </c>
      <c r="GC17" s="558" t="s">
        <v>1596</v>
      </c>
      <c r="GD17" s="558" t="s">
        <v>1596</v>
      </c>
      <c r="GE17" s="558" t="s">
        <v>1596</v>
      </c>
      <c r="GF17" s="558" t="s">
        <v>1596</v>
      </c>
      <c r="GG17" s="558" t="s">
        <v>1596</v>
      </c>
      <c r="GH17" s="558" t="s">
        <v>1596</v>
      </c>
      <c r="GI17" s="558" t="s">
        <v>1596</v>
      </c>
      <c r="GJ17" s="558" t="s">
        <v>1596</v>
      </c>
      <c r="GK17" s="558" t="s">
        <v>1596</v>
      </c>
      <c r="GL17" s="558" t="s">
        <v>1596</v>
      </c>
      <c r="GM17" s="558" t="s">
        <v>1596</v>
      </c>
      <c r="GN17" s="558" t="s">
        <v>1596</v>
      </c>
      <c r="GO17" s="562" t="str">
        <f t="shared" si="1"/>
        <v/>
      </c>
      <c r="GP17" s="562" t="str">
        <f t="shared" si="2"/>
        <v/>
      </c>
      <c r="GQ17" s="562" t="str">
        <f t="shared" si="3"/>
        <v/>
      </c>
      <c r="GR17" s="562" t="str">
        <f t="shared" si="4"/>
        <v/>
      </c>
      <c r="GS17" s="562" t="str">
        <f t="shared" si="5"/>
        <v/>
      </c>
      <c r="GT17" s="562" t="str">
        <f t="shared" si="6"/>
        <v/>
      </c>
      <c r="GU17" s="562" t="str">
        <f t="shared" si="7"/>
        <v/>
      </c>
      <c r="GV17" s="562" t="str">
        <f t="shared" si="8"/>
        <v/>
      </c>
      <c r="GW17" s="562" t="str">
        <f t="shared" si="9"/>
        <v/>
      </c>
      <c r="GX17" s="562" t="str">
        <f t="shared" si="10"/>
        <v/>
      </c>
      <c r="GY17" s="562" t="str">
        <f t="shared" si="11"/>
        <v/>
      </c>
      <c r="GZ17" s="562" t="str">
        <f t="shared" si="12"/>
        <v/>
      </c>
      <c r="HA17" s="564" t="s">
        <v>1286</v>
      </c>
      <c r="HC17" s="349" t="s">
        <v>421</v>
      </c>
      <c r="HD17" s="349" t="s">
        <v>1514</v>
      </c>
    </row>
    <row r="18" spans="2:212">
      <c r="B18" s="549">
        <v>14</v>
      </c>
      <c r="C18" s="549">
        <v>214</v>
      </c>
      <c r="D18" s="550" t="s">
        <v>439</v>
      </c>
      <c r="E18" s="557" t="s">
        <v>13</v>
      </c>
      <c r="F18" s="555">
        <v>220</v>
      </c>
      <c r="G18" s="555">
        <v>90</v>
      </c>
      <c r="H18" s="555">
        <v>90</v>
      </c>
      <c r="I18" s="555">
        <v>40</v>
      </c>
      <c r="J18" s="551"/>
      <c r="K18" s="551"/>
      <c r="L18" s="551"/>
      <c r="M18" s="551"/>
      <c r="N18" s="551"/>
      <c r="O18" s="551"/>
      <c r="P18" s="551"/>
      <c r="Q18" s="551"/>
      <c r="R18" s="551"/>
      <c r="S18" s="551"/>
      <c r="T18" s="551"/>
      <c r="U18" s="551"/>
      <c r="V18" s="551"/>
      <c r="W18" s="551"/>
      <c r="X18" s="551"/>
      <c r="Y18" s="551"/>
      <c r="Z18" s="551"/>
      <c r="AA18" s="551"/>
      <c r="AB18" s="551"/>
      <c r="AC18" s="551"/>
      <c r="AD18" s="551"/>
      <c r="AE18" s="551"/>
      <c r="AF18" s="551"/>
      <c r="AG18" s="551"/>
      <c r="AH18" s="551"/>
      <c r="AI18" s="551"/>
      <c r="AJ18" s="552"/>
      <c r="AK18" s="553"/>
      <c r="AL18" s="553"/>
      <c r="AM18" s="554"/>
      <c r="AN18" s="555" t="s">
        <v>11</v>
      </c>
      <c r="AO18" s="558" t="s">
        <v>883</v>
      </c>
      <c r="AP18" s="558" t="s">
        <v>883</v>
      </c>
      <c r="AQ18" s="558" t="s">
        <v>883</v>
      </c>
      <c r="AR18" s="558" t="s">
        <v>883</v>
      </c>
      <c r="AS18" s="558" t="s">
        <v>883</v>
      </c>
      <c r="AT18" s="558" t="s">
        <v>883</v>
      </c>
      <c r="AU18" s="558" t="s">
        <v>883</v>
      </c>
      <c r="AV18" s="558" t="s">
        <v>883</v>
      </c>
      <c r="AW18" s="558" t="s">
        <v>883</v>
      </c>
      <c r="AX18" s="558" t="s">
        <v>883</v>
      </c>
      <c r="AY18" s="558" t="s">
        <v>883</v>
      </c>
      <c r="AZ18" s="558" t="s">
        <v>883</v>
      </c>
      <c r="BA18" s="558" t="s">
        <v>883</v>
      </c>
      <c r="BB18" s="558" t="s">
        <v>883</v>
      </c>
      <c r="BC18" s="558" t="s">
        <v>883</v>
      </c>
      <c r="BD18" s="558" t="s">
        <v>883</v>
      </c>
      <c r="BE18" s="558" t="s">
        <v>883</v>
      </c>
      <c r="BF18" s="558" t="s">
        <v>883</v>
      </c>
      <c r="BG18" s="558" t="s">
        <v>883</v>
      </c>
      <c r="BH18" s="558" t="s">
        <v>883</v>
      </c>
      <c r="BI18" s="558" t="s">
        <v>883</v>
      </c>
      <c r="BJ18" s="558" t="s">
        <v>883</v>
      </c>
      <c r="BK18" s="558" t="s">
        <v>883</v>
      </c>
      <c r="BL18" s="558" t="s">
        <v>883</v>
      </c>
      <c r="BM18" s="558">
        <v>0</v>
      </c>
      <c r="BN18" s="558">
        <v>0</v>
      </c>
      <c r="BO18" s="558">
        <v>0</v>
      </c>
      <c r="BP18" s="558">
        <v>0</v>
      </c>
      <c r="BQ18" s="558">
        <v>0</v>
      </c>
      <c r="BR18" s="558">
        <v>0</v>
      </c>
      <c r="BS18" s="558">
        <v>0</v>
      </c>
      <c r="BT18" s="558">
        <v>0</v>
      </c>
      <c r="BU18" s="558">
        <v>0</v>
      </c>
      <c r="BV18" s="558">
        <v>0</v>
      </c>
      <c r="BW18" s="558">
        <v>0</v>
      </c>
      <c r="BX18" s="558">
        <v>0</v>
      </c>
      <c r="BY18" s="558">
        <v>0</v>
      </c>
      <c r="BZ18" s="558">
        <v>0</v>
      </c>
      <c r="CA18" s="558">
        <v>0</v>
      </c>
      <c r="CB18" s="558">
        <v>0</v>
      </c>
      <c r="CC18" s="558">
        <v>0</v>
      </c>
      <c r="CD18" s="558">
        <v>0</v>
      </c>
      <c r="CE18" s="558">
        <v>0</v>
      </c>
      <c r="CF18" s="558">
        <v>0</v>
      </c>
      <c r="CG18" s="558">
        <v>0</v>
      </c>
      <c r="CH18" s="558">
        <v>0</v>
      </c>
      <c r="CI18" s="558">
        <v>0</v>
      </c>
      <c r="CJ18" s="558">
        <v>0</v>
      </c>
      <c r="CK18" s="558">
        <v>0</v>
      </c>
      <c r="CL18" s="558">
        <v>0</v>
      </c>
      <c r="CM18" s="558">
        <v>0</v>
      </c>
      <c r="CN18" s="558">
        <v>0</v>
      </c>
      <c r="CO18" s="558">
        <v>0</v>
      </c>
      <c r="CP18" s="558">
        <v>0</v>
      </c>
      <c r="CQ18" s="558">
        <v>0</v>
      </c>
      <c r="CR18" s="558">
        <v>0</v>
      </c>
      <c r="CS18" s="558">
        <v>0</v>
      </c>
      <c r="CT18" s="558">
        <v>0</v>
      </c>
      <c r="CU18" s="558">
        <v>0</v>
      </c>
      <c r="CV18" s="558">
        <v>0</v>
      </c>
      <c r="CW18" s="558" t="s">
        <v>13</v>
      </c>
      <c r="CX18" s="558">
        <v>0</v>
      </c>
      <c r="CY18" s="559"/>
      <c r="CZ18" s="559"/>
      <c r="DA18" s="559"/>
      <c r="DB18" s="559"/>
      <c r="DC18" s="559"/>
      <c r="DD18" s="559"/>
      <c r="DE18" s="559"/>
      <c r="DF18" s="559"/>
      <c r="DG18" s="559"/>
      <c r="DH18" s="559"/>
      <c r="DI18" s="559"/>
      <c r="DJ18" s="559"/>
      <c r="DK18" s="559"/>
      <c r="DL18" s="559"/>
      <c r="DM18" s="559"/>
      <c r="DN18" s="559"/>
      <c r="DO18" s="559"/>
      <c r="DP18" s="559"/>
      <c r="DQ18" s="559"/>
      <c r="DR18" s="559"/>
      <c r="DS18" s="559"/>
      <c r="DT18" s="559"/>
      <c r="DU18" s="559"/>
      <c r="DV18" s="559"/>
      <c r="DW18" s="559"/>
      <c r="DX18" s="559"/>
      <c r="DY18" s="559"/>
      <c r="DZ18" s="559"/>
      <c r="EA18" s="559"/>
      <c r="EB18" s="559"/>
      <c r="EC18" s="559"/>
      <c r="ED18" s="559"/>
      <c r="EE18" s="559"/>
      <c r="EF18" s="559"/>
      <c r="EG18" s="559"/>
      <c r="EH18" s="559"/>
      <c r="EI18" s="558" t="s">
        <v>1133</v>
      </c>
      <c r="EJ18" s="558" t="s">
        <v>1133</v>
      </c>
      <c r="EK18" s="558" t="s">
        <v>1133</v>
      </c>
      <c r="EL18" s="558" t="s">
        <v>1133</v>
      </c>
      <c r="EM18" s="558" t="s">
        <v>1133</v>
      </c>
      <c r="EN18" s="558" t="s">
        <v>1133</v>
      </c>
      <c r="EO18" s="558" t="s">
        <v>1133</v>
      </c>
      <c r="EP18" s="558" t="s">
        <v>1133</v>
      </c>
      <c r="EQ18" s="558" t="s">
        <v>1133</v>
      </c>
      <c r="ER18" s="558" t="s">
        <v>1133</v>
      </c>
      <c r="ES18" s="558" t="s">
        <v>1133</v>
      </c>
      <c r="ET18" s="558" t="s">
        <v>1133</v>
      </c>
      <c r="EU18" s="558">
        <v>4050</v>
      </c>
      <c r="EV18" s="558">
        <v>3920</v>
      </c>
      <c r="EW18" s="558" t="s">
        <v>1592</v>
      </c>
      <c r="EX18" s="558" t="s">
        <v>1592</v>
      </c>
      <c r="EY18" s="558" t="s">
        <v>1592</v>
      </c>
      <c r="EZ18" s="558" t="s">
        <v>1592</v>
      </c>
      <c r="FA18" s="558" t="s">
        <v>1592</v>
      </c>
      <c r="FB18" s="558" t="s">
        <v>1592</v>
      </c>
      <c r="FC18" s="558" t="s">
        <v>1592</v>
      </c>
      <c r="FD18" s="558" t="s">
        <v>1592</v>
      </c>
      <c r="FE18" s="558" t="s">
        <v>1592</v>
      </c>
      <c r="FF18" s="558" t="s">
        <v>1592</v>
      </c>
      <c r="FG18" s="558" t="s">
        <v>1592</v>
      </c>
      <c r="FH18" s="558" t="s">
        <v>1592</v>
      </c>
      <c r="FI18" s="558">
        <v>58</v>
      </c>
      <c r="FJ18" s="558">
        <v>58</v>
      </c>
      <c r="FK18" s="558">
        <v>58</v>
      </c>
      <c r="FL18" s="558">
        <v>59</v>
      </c>
      <c r="FM18" s="558">
        <v>59</v>
      </c>
      <c r="FN18" s="558">
        <v>59</v>
      </c>
      <c r="FO18" s="558">
        <v>59</v>
      </c>
      <c r="FP18" s="558">
        <v>61</v>
      </c>
      <c r="FQ18" s="558">
        <v>60</v>
      </c>
      <c r="FR18" s="558">
        <v>59</v>
      </c>
      <c r="FS18" s="558">
        <v>60</v>
      </c>
      <c r="FT18" s="558">
        <v>60</v>
      </c>
      <c r="FU18" s="558">
        <v>60</v>
      </c>
      <c r="FV18" s="558">
        <v>60</v>
      </c>
      <c r="FW18" s="558">
        <v>60</v>
      </c>
      <c r="FX18" s="558">
        <v>60</v>
      </c>
      <c r="FY18" s="558">
        <v>60</v>
      </c>
      <c r="FZ18" s="558">
        <v>58</v>
      </c>
      <c r="GA18" s="558">
        <v>58</v>
      </c>
      <c r="GB18" s="558">
        <v>58</v>
      </c>
      <c r="GC18" s="558" t="s">
        <v>1595</v>
      </c>
      <c r="GD18" s="558" t="s">
        <v>1595</v>
      </c>
      <c r="GE18" s="558" t="s">
        <v>1595</v>
      </c>
      <c r="GF18" s="558" t="s">
        <v>1595</v>
      </c>
      <c r="GG18" s="558" t="s">
        <v>1595</v>
      </c>
      <c r="GH18" s="558" t="s">
        <v>1595</v>
      </c>
      <c r="GI18" s="558" t="s">
        <v>1595</v>
      </c>
      <c r="GJ18" s="558" t="s">
        <v>1595</v>
      </c>
      <c r="GK18" s="558" t="s">
        <v>1595</v>
      </c>
      <c r="GL18" s="558" t="s">
        <v>1595</v>
      </c>
      <c r="GM18" s="558" t="s">
        <v>1595</v>
      </c>
      <c r="GN18" s="558" t="s">
        <v>1595</v>
      </c>
      <c r="GO18" s="562">
        <f t="shared" si="1"/>
        <v>79950</v>
      </c>
      <c r="GP18" s="562">
        <f t="shared" si="2"/>
        <v>79950</v>
      </c>
      <c r="GQ18" s="562">
        <f t="shared" si="3"/>
        <v>79950</v>
      </c>
      <c r="GR18" s="562">
        <f t="shared" si="4"/>
        <v>79950</v>
      </c>
      <c r="GS18" s="562">
        <f t="shared" si="5"/>
        <v>79950</v>
      </c>
      <c r="GT18" s="562">
        <f t="shared" si="6"/>
        <v>79950</v>
      </c>
      <c r="GU18" s="562">
        <f t="shared" si="7"/>
        <v>79950</v>
      </c>
      <c r="GV18" s="562">
        <f t="shared" si="8"/>
        <v>79950</v>
      </c>
      <c r="GW18" s="562">
        <f t="shared" si="9"/>
        <v>79950</v>
      </c>
      <c r="GX18" s="562">
        <f t="shared" si="10"/>
        <v>79950</v>
      </c>
      <c r="GY18" s="562">
        <f t="shared" si="11"/>
        <v>79950</v>
      </c>
      <c r="GZ18" s="562">
        <f t="shared" si="12"/>
        <v>79950</v>
      </c>
      <c r="HA18" s="564" t="s">
        <v>1284</v>
      </c>
      <c r="HC18" s="349" t="s">
        <v>439</v>
      </c>
      <c r="HD18" s="349" t="s">
        <v>1514</v>
      </c>
    </row>
    <row r="19" spans="2:212">
      <c r="B19" s="549">
        <v>15</v>
      </c>
      <c r="C19" s="549">
        <v>215</v>
      </c>
      <c r="D19" s="550" t="s">
        <v>423</v>
      </c>
      <c r="E19" s="557" t="s">
        <v>13</v>
      </c>
      <c r="F19" s="555">
        <v>70</v>
      </c>
      <c r="G19" s="555">
        <v>60</v>
      </c>
      <c r="H19" s="555">
        <v>10</v>
      </c>
      <c r="I19" s="555">
        <v>0</v>
      </c>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c r="AK19" s="553"/>
      <c r="AL19" s="553"/>
      <c r="AM19" s="554"/>
      <c r="AN19" s="555" t="s">
        <v>11</v>
      </c>
      <c r="AO19" s="558" t="s">
        <v>883</v>
      </c>
      <c r="AP19" s="558" t="s">
        <v>883</v>
      </c>
      <c r="AQ19" s="558" t="s">
        <v>883</v>
      </c>
      <c r="AR19" s="558" t="s">
        <v>883</v>
      </c>
      <c r="AS19" s="558" t="s">
        <v>883</v>
      </c>
      <c r="AT19" s="558" t="s">
        <v>883</v>
      </c>
      <c r="AU19" s="558" t="s">
        <v>883</v>
      </c>
      <c r="AV19" s="558" t="s">
        <v>883</v>
      </c>
      <c r="AW19" s="558" t="s">
        <v>883</v>
      </c>
      <c r="AX19" s="558" t="s">
        <v>883</v>
      </c>
      <c r="AY19" s="558" t="s">
        <v>883</v>
      </c>
      <c r="AZ19" s="558" t="s">
        <v>883</v>
      </c>
      <c r="BA19" s="558" t="s">
        <v>883</v>
      </c>
      <c r="BB19" s="558" t="s">
        <v>883</v>
      </c>
      <c r="BC19" s="558" t="s">
        <v>883</v>
      </c>
      <c r="BD19" s="558" t="s">
        <v>883</v>
      </c>
      <c r="BE19" s="558" t="s">
        <v>883</v>
      </c>
      <c r="BF19" s="558" t="s">
        <v>883</v>
      </c>
      <c r="BG19" s="558" t="s">
        <v>883</v>
      </c>
      <c r="BH19" s="558" t="s">
        <v>883</v>
      </c>
      <c r="BI19" s="558" t="s">
        <v>883</v>
      </c>
      <c r="BJ19" s="558" t="s">
        <v>883</v>
      </c>
      <c r="BK19" s="558" t="s">
        <v>883</v>
      </c>
      <c r="BL19" s="558" t="s">
        <v>883</v>
      </c>
      <c r="BM19" s="558">
        <v>0</v>
      </c>
      <c r="BN19" s="558">
        <v>0</v>
      </c>
      <c r="BO19" s="558">
        <v>0</v>
      </c>
      <c r="BP19" s="558">
        <v>0</v>
      </c>
      <c r="BQ19" s="558">
        <v>0</v>
      </c>
      <c r="BR19" s="558">
        <v>0</v>
      </c>
      <c r="BS19" s="558">
        <v>0</v>
      </c>
      <c r="BT19" s="558">
        <v>0</v>
      </c>
      <c r="BU19" s="558">
        <v>0</v>
      </c>
      <c r="BV19" s="558">
        <v>0</v>
      </c>
      <c r="BW19" s="558">
        <v>0</v>
      </c>
      <c r="BX19" s="558">
        <v>0</v>
      </c>
      <c r="BY19" s="558">
        <v>0</v>
      </c>
      <c r="BZ19" s="558">
        <v>0</v>
      </c>
      <c r="CA19" s="558">
        <v>0</v>
      </c>
      <c r="CB19" s="558">
        <v>0</v>
      </c>
      <c r="CC19" s="558">
        <v>0</v>
      </c>
      <c r="CD19" s="558">
        <v>0</v>
      </c>
      <c r="CE19" s="558">
        <v>0</v>
      </c>
      <c r="CF19" s="558">
        <v>0</v>
      </c>
      <c r="CG19" s="558">
        <v>0</v>
      </c>
      <c r="CH19" s="558">
        <v>0</v>
      </c>
      <c r="CI19" s="558">
        <v>0</v>
      </c>
      <c r="CJ19" s="558">
        <v>0</v>
      </c>
      <c r="CK19" s="558">
        <v>0</v>
      </c>
      <c r="CL19" s="558">
        <v>0</v>
      </c>
      <c r="CM19" s="558">
        <v>0</v>
      </c>
      <c r="CN19" s="558">
        <v>0</v>
      </c>
      <c r="CO19" s="558">
        <v>0</v>
      </c>
      <c r="CP19" s="558">
        <v>0</v>
      </c>
      <c r="CQ19" s="558">
        <v>0</v>
      </c>
      <c r="CR19" s="558">
        <v>0</v>
      </c>
      <c r="CS19" s="558">
        <v>0</v>
      </c>
      <c r="CT19" s="558">
        <v>0</v>
      </c>
      <c r="CU19" s="558">
        <v>0</v>
      </c>
      <c r="CV19" s="558">
        <v>0</v>
      </c>
      <c r="CW19" s="558" t="s">
        <v>13</v>
      </c>
      <c r="CX19" s="558">
        <v>1</v>
      </c>
      <c r="CY19" s="559"/>
      <c r="CZ19" s="559"/>
      <c r="DA19" s="559"/>
      <c r="DB19" s="559"/>
      <c r="DC19" s="559"/>
      <c r="DD19" s="559"/>
      <c r="DE19" s="559"/>
      <c r="DF19" s="559"/>
      <c r="DG19" s="559"/>
      <c r="DH19" s="559"/>
      <c r="DI19" s="559"/>
      <c r="DJ19" s="559"/>
      <c r="DK19" s="559"/>
      <c r="DL19" s="559"/>
      <c r="DM19" s="559"/>
      <c r="DN19" s="559"/>
      <c r="DO19" s="559"/>
      <c r="DP19" s="559"/>
      <c r="DQ19" s="559"/>
      <c r="DR19" s="559"/>
      <c r="DS19" s="559"/>
      <c r="DT19" s="559"/>
      <c r="DU19" s="559"/>
      <c r="DV19" s="559"/>
      <c r="DW19" s="559"/>
      <c r="DX19" s="559"/>
      <c r="DY19" s="559"/>
      <c r="DZ19" s="559"/>
      <c r="EA19" s="559"/>
      <c r="EB19" s="559"/>
      <c r="EC19" s="559"/>
      <c r="ED19" s="559"/>
      <c r="EE19" s="559"/>
      <c r="EF19" s="559"/>
      <c r="EG19" s="559"/>
      <c r="EH19" s="559"/>
      <c r="EI19" s="558" t="s">
        <v>1133</v>
      </c>
      <c r="EJ19" s="558" t="s">
        <v>1133</v>
      </c>
      <c r="EK19" s="558" t="s">
        <v>1133</v>
      </c>
      <c r="EL19" s="558" t="s">
        <v>1133</v>
      </c>
      <c r="EM19" s="558" t="s">
        <v>1133</v>
      </c>
      <c r="EN19" s="558" t="s">
        <v>1133</v>
      </c>
      <c r="EO19" s="558" t="s">
        <v>1133</v>
      </c>
      <c r="EP19" s="558" t="s">
        <v>1133</v>
      </c>
      <c r="EQ19" s="558" t="s">
        <v>1133</v>
      </c>
      <c r="ER19" s="558" t="s">
        <v>1133</v>
      </c>
      <c r="ES19" s="558" t="s">
        <v>1133</v>
      </c>
      <c r="ET19" s="558" t="s">
        <v>1133</v>
      </c>
      <c r="EU19" s="558">
        <v>4140</v>
      </c>
      <c r="EV19" s="558">
        <v>4010</v>
      </c>
      <c r="EW19" s="558" t="s">
        <v>1592</v>
      </c>
      <c r="EX19" s="558" t="s">
        <v>1592</v>
      </c>
      <c r="EY19" s="558" t="s">
        <v>1592</v>
      </c>
      <c r="EZ19" s="558" t="s">
        <v>1592</v>
      </c>
      <c r="FA19" s="558" t="s">
        <v>1592</v>
      </c>
      <c r="FB19" s="558" t="s">
        <v>1592</v>
      </c>
      <c r="FC19" s="558" t="s">
        <v>1592</v>
      </c>
      <c r="FD19" s="558" t="s">
        <v>1592</v>
      </c>
      <c r="FE19" s="558" t="s">
        <v>1592</v>
      </c>
      <c r="FF19" s="558" t="s">
        <v>1592</v>
      </c>
      <c r="FG19" s="558" t="s">
        <v>1592</v>
      </c>
      <c r="FH19" s="558" t="s">
        <v>1592</v>
      </c>
      <c r="FI19" s="558">
        <v>31</v>
      </c>
      <c r="FJ19" s="558">
        <v>33</v>
      </c>
      <c r="FK19" s="558">
        <v>33</v>
      </c>
      <c r="FL19" s="558">
        <v>32</v>
      </c>
      <c r="FM19" s="558">
        <v>32</v>
      </c>
      <c r="FN19" s="558">
        <v>32</v>
      </c>
      <c r="FO19" s="558">
        <v>32</v>
      </c>
      <c r="FP19" s="558">
        <v>34</v>
      </c>
      <c r="FQ19" s="558">
        <v>34</v>
      </c>
      <c r="FR19" s="558">
        <v>34</v>
      </c>
      <c r="FS19" s="558">
        <v>13</v>
      </c>
      <c r="FT19" s="558">
        <v>13</v>
      </c>
      <c r="FU19" s="558">
        <v>13</v>
      </c>
      <c r="FV19" s="558">
        <v>13</v>
      </c>
      <c r="FW19" s="558">
        <v>13</v>
      </c>
      <c r="FX19" s="558">
        <v>13</v>
      </c>
      <c r="FY19" s="558">
        <v>13</v>
      </c>
      <c r="FZ19" s="558">
        <v>13</v>
      </c>
      <c r="GA19" s="558">
        <v>13</v>
      </c>
      <c r="GB19" s="558">
        <v>13</v>
      </c>
      <c r="GC19" s="558" t="s">
        <v>883</v>
      </c>
      <c r="GD19" s="558" t="s">
        <v>883</v>
      </c>
      <c r="GE19" s="558" t="s">
        <v>883</v>
      </c>
      <c r="GF19" s="558" t="s">
        <v>883</v>
      </c>
      <c r="GG19" s="558" t="s">
        <v>883</v>
      </c>
      <c r="GH19" s="558" t="s">
        <v>883</v>
      </c>
      <c r="GI19" s="558" t="s">
        <v>883</v>
      </c>
      <c r="GJ19" s="558" t="s">
        <v>883</v>
      </c>
      <c r="GK19" s="558" t="s">
        <v>883</v>
      </c>
      <c r="GL19" s="558" t="s">
        <v>883</v>
      </c>
      <c r="GM19" s="558" t="s">
        <v>883</v>
      </c>
      <c r="GN19" s="558" t="s">
        <v>883</v>
      </c>
      <c r="GO19" s="562" t="str">
        <f t="shared" si="1"/>
        <v/>
      </c>
      <c r="GP19" s="562" t="str">
        <f t="shared" si="2"/>
        <v/>
      </c>
      <c r="GQ19" s="562" t="str">
        <f t="shared" si="3"/>
        <v/>
      </c>
      <c r="GR19" s="562" t="str">
        <f t="shared" si="4"/>
        <v/>
      </c>
      <c r="GS19" s="562" t="str">
        <f t="shared" si="5"/>
        <v/>
      </c>
      <c r="GT19" s="562" t="str">
        <f t="shared" si="6"/>
        <v/>
      </c>
      <c r="GU19" s="562" t="str">
        <f t="shared" si="7"/>
        <v/>
      </c>
      <c r="GV19" s="562" t="str">
        <f t="shared" si="8"/>
        <v/>
      </c>
      <c r="GW19" s="562" t="str">
        <f t="shared" si="9"/>
        <v/>
      </c>
      <c r="GX19" s="562" t="str">
        <f t="shared" si="10"/>
        <v/>
      </c>
      <c r="GY19" s="562" t="str">
        <f t="shared" si="11"/>
        <v/>
      </c>
      <c r="GZ19" s="562" t="str">
        <f t="shared" si="12"/>
        <v/>
      </c>
      <c r="HA19" s="564" t="s">
        <v>1286</v>
      </c>
      <c r="HC19" s="349" t="s">
        <v>423</v>
      </c>
      <c r="HD19" s="349" t="s">
        <v>1514</v>
      </c>
    </row>
    <row r="20" spans="2:212">
      <c r="B20" s="549">
        <v>16</v>
      </c>
      <c r="C20" s="549">
        <v>216</v>
      </c>
      <c r="D20" s="550" t="s">
        <v>427</v>
      </c>
      <c r="E20" s="557" t="s">
        <v>13</v>
      </c>
      <c r="F20" s="555">
        <v>100</v>
      </c>
      <c r="G20" s="555">
        <v>80</v>
      </c>
      <c r="H20" s="555">
        <v>20</v>
      </c>
      <c r="I20" s="555">
        <v>0</v>
      </c>
      <c r="J20" s="551"/>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2"/>
      <c r="AK20" s="553"/>
      <c r="AL20" s="553"/>
      <c r="AM20" s="554"/>
      <c r="AN20" s="555" t="s">
        <v>11</v>
      </c>
      <c r="AO20" s="558" t="s">
        <v>883</v>
      </c>
      <c r="AP20" s="558" t="s">
        <v>883</v>
      </c>
      <c r="AQ20" s="558" t="s">
        <v>883</v>
      </c>
      <c r="AR20" s="558" t="s">
        <v>883</v>
      </c>
      <c r="AS20" s="558" t="s">
        <v>883</v>
      </c>
      <c r="AT20" s="558" t="s">
        <v>883</v>
      </c>
      <c r="AU20" s="558" t="s">
        <v>883</v>
      </c>
      <c r="AV20" s="558" t="s">
        <v>883</v>
      </c>
      <c r="AW20" s="558" t="s">
        <v>883</v>
      </c>
      <c r="AX20" s="558" t="s">
        <v>883</v>
      </c>
      <c r="AY20" s="558" t="s">
        <v>883</v>
      </c>
      <c r="AZ20" s="558" t="s">
        <v>883</v>
      </c>
      <c r="BA20" s="558" t="s">
        <v>883</v>
      </c>
      <c r="BB20" s="558" t="s">
        <v>883</v>
      </c>
      <c r="BC20" s="558" t="s">
        <v>883</v>
      </c>
      <c r="BD20" s="558" t="s">
        <v>883</v>
      </c>
      <c r="BE20" s="558" t="s">
        <v>883</v>
      </c>
      <c r="BF20" s="558" t="s">
        <v>883</v>
      </c>
      <c r="BG20" s="558" t="s">
        <v>883</v>
      </c>
      <c r="BH20" s="558" t="s">
        <v>883</v>
      </c>
      <c r="BI20" s="558" t="s">
        <v>883</v>
      </c>
      <c r="BJ20" s="558" t="s">
        <v>883</v>
      </c>
      <c r="BK20" s="558" t="s">
        <v>883</v>
      </c>
      <c r="BL20" s="558" t="s">
        <v>883</v>
      </c>
      <c r="BM20" s="558">
        <v>0</v>
      </c>
      <c r="BN20" s="558">
        <v>0</v>
      </c>
      <c r="BO20" s="558">
        <v>0</v>
      </c>
      <c r="BP20" s="558">
        <v>0</v>
      </c>
      <c r="BQ20" s="558">
        <v>0</v>
      </c>
      <c r="BR20" s="558">
        <v>0</v>
      </c>
      <c r="BS20" s="558">
        <v>0</v>
      </c>
      <c r="BT20" s="558">
        <v>0</v>
      </c>
      <c r="BU20" s="558">
        <v>0</v>
      </c>
      <c r="BV20" s="558">
        <v>0</v>
      </c>
      <c r="BW20" s="558">
        <v>0</v>
      </c>
      <c r="BX20" s="558">
        <v>0</v>
      </c>
      <c r="BY20" s="558">
        <v>0</v>
      </c>
      <c r="BZ20" s="558">
        <v>0</v>
      </c>
      <c r="CA20" s="558">
        <v>0</v>
      </c>
      <c r="CB20" s="558">
        <v>0</v>
      </c>
      <c r="CC20" s="558">
        <v>0</v>
      </c>
      <c r="CD20" s="558">
        <v>0</v>
      </c>
      <c r="CE20" s="558">
        <v>0</v>
      </c>
      <c r="CF20" s="558">
        <v>0</v>
      </c>
      <c r="CG20" s="558">
        <v>0</v>
      </c>
      <c r="CH20" s="558">
        <v>0</v>
      </c>
      <c r="CI20" s="558">
        <v>0</v>
      </c>
      <c r="CJ20" s="558">
        <v>0</v>
      </c>
      <c r="CK20" s="558">
        <v>0</v>
      </c>
      <c r="CL20" s="558">
        <v>0</v>
      </c>
      <c r="CM20" s="558">
        <v>0</v>
      </c>
      <c r="CN20" s="558">
        <v>0</v>
      </c>
      <c r="CO20" s="558">
        <v>0</v>
      </c>
      <c r="CP20" s="558">
        <v>0</v>
      </c>
      <c r="CQ20" s="558">
        <v>0</v>
      </c>
      <c r="CR20" s="558">
        <v>0</v>
      </c>
      <c r="CS20" s="558">
        <v>0</v>
      </c>
      <c r="CT20" s="558">
        <v>0</v>
      </c>
      <c r="CU20" s="558">
        <v>0</v>
      </c>
      <c r="CV20" s="558">
        <v>0</v>
      </c>
      <c r="CW20" s="558" t="s">
        <v>13</v>
      </c>
      <c r="CX20" s="558">
        <v>1</v>
      </c>
      <c r="CY20" s="559"/>
      <c r="CZ20" s="559"/>
      <c r="DA20" s="559"/>
      <c r="DB20" s="559"/>
      <c r="DC20" s="559"/>
      <c r="DD20" s="559"/>
      <c r="DE20" s="559"/>
      <c r="DF20" s="559"/>
      <c r="DG20" s="559"/>
      <c r="DH20" s="559"/>
      <c r="DI20" s="559"/>
      <c r="DJ20" s="559"/>
      <c r="DK20" s="559"/>
      <c r="DL20" s="559"/>
      <c r="DM20" s="559"/>
      <c r="DN20" s="559"/>
      <c r="DO20" s="559"/>
      <c r="DP20" s="559"/>
      <c r="DQ20" s="559"/>
      <c r="DR20" s="559"/>
      <c r="DS20" s="559"/>
      <c r="DT20" s="559"/>
      <c r="DU20" s="559"/>
      <c r="DV20" s="559"/>
      <c r="DW20" s="559"/>
      <c r="DX20" s="559"/>
      <c r="DY20" s="559"/>
      <c r="DZ20" s="559"/>
      <c r="EA20" s="559"/>
      <c r="EB20" s="559"/>
      <c r="EC20" s="559"/>
      <c r="ED20" s="559"/>
      <c r="EE20" s="559"/>
      <c r="EF20" s="559"/>
      <c r="EG20" s="559"/>
      <c r="EH20" s="559"/>
      <c r="EI20" s="558" t="s">
        <v>1133</v>
      </c>
      <c r="EJ20" s="558" t="s">
        <v>1133</v>
      </c>
      <c r="EK20" s="558" t="s">
        <v>1133</v>
      </c>
      <c r="EL20" s="558" t="s">
        <v>1133</v>
      </c>
      <c r="EM20" s="558" t="s">
        <v>1133</v>
      </c>
      <c r="EN20" s="558" t="s">
        <v>1133</v>
      </c>
      <c r="EO20" s="558" t="s">
        <v>1133</v>
      </c>
      <c r="EP20" s="558" t="s">
        <v>1133</v>
      </c>
      <c r="EQ20" s="558" t="s">
        <v>1133</v>
      </c>
      <c r="ER20" s="558" t="s">
        <v>1133</v>
      </c>
      <c r="ES20" s="558" t="s">
        <v>1133</v>
      </c>
      <c r="ET20" s="558" t="s">
        <v>1133</v>
      </c>
      <c r="EU20" s="558">
        <v>4200</v>
      </c>
      <c r="EV20" s="558">
        <v>4070</v>
      </c>
      <c r="EW20" s="558" t="s">
        <v>1592</v>
      </c>
      <c r="EX20" s="558" t="s">
        <v>1592</v>
      </c>
      <c r="EY20" s="558" t="s">
        <v>1592</v>
      </c>
      <c r="EZ20" s="558" t="s">
        <v>1592</v>
      </c>
      <c r="FA20" s="558" t="s">
        <v>1592</v>
      </c>
      <c r="FB20" s="558" t="s">
        <v>1592</v>
      </c>
      <c r="FC20" s="558" t="s">
        <v>1592</v>
      </c>
      <c r="FD20" s="558" t="s">
        <v>1592</v>
      </c>
      <c r="FE20" s="558" t="s">
        <v>1592</v>
      </c>
      <c r="FF20" s="558" t="s">
        <v>1592</v>
      </c>
      <c r="FG20" s="558" t="s">
        <v>1592</v>
      </c>
      <c r="FH20" s="558" t="s">
        <v>1592</v>
      </c>
      <c r="FI20" s="558">
        <v>37</v>
      </c>
      <c r="FJ20" s="558">
        <v>37</v>
      </c>
      <c r="FK20" s="558">
        <v>37</v>
      </c>
      <c r="FL20" s="558">
        <v>37</v>
      </c>
      <c r="FM20" s="558">
        <v>36</v>
      </c>
      <c r="FN20" s="558">
        <v>36</v>
      </c>
      <c r="FO20" s="558">
        <v>36</v>
      </c>
      <c r="FP20" s="558">
        <v>36</v>
      </c>
      <c r="FQ20" s="558">
        <v>36</v>
      </c>
      <c r="FR20" s="558">
        <v>34</v>
      </c>
      <c r="FS20" s="558">
        <v>16</v>
      </c>
      <c r="FT20" s="558">
        <v>16</v>
      </c>
      <c r="FU20" s="558">
        <v>16</v>
      </c>
      <c r="FV20" s="558">
        <v>16</v>
      </c>
      <c r="FW20" s="558">
        <v>16</v>
      </c>
      <c r="FX20" s="558">
        <v>16</v>
      </c>
      <c r="FY20" s="558">
        <v>16</v>
      </c>
      <c r="FZ20" s="558">
        <v>16</v>
      </c>
      <c r="GA20" s="558">
        <v>16</v>
      </c>
      <c r="GB20" s="558">
        <v>16</v>
      </c>
      <c r="GC20" s="558" t="s">
        <v>883</v>
      </c>
      <c r="GD20" s="558" t="s">
        <v>883</v>
      </c>
      <c r="GE20" s="558" t="s">
        <v>883</v>
      </c>
      <c r="GF20" s="558" t="s">
        <v>883</v>
      </c>
      <c r="GG20" s="558" t="s">
        <v>883</v>
      </c>
      <c r="GH20" s="558" t="s">
        <v>883</v>
      </c>
      <c r="GI20" s="558" t="s">
        <v>883</v>
      </c>
      <c r="GJ20" s="558" t="s">
        <v>883</v>
      </c>
      <c r="GK20" s="558" t="s">
        <v>883</v>
      </c>
      <c r="GL20" s="558" t="s">
        <v>883</v>
      </c>
      <c r="GM20" s="558" t="s">
        <v>883</v>
      </c>
      <c r="GN20" s="558" t="s">
        <v>883</v>
      </c>
      <c r="GO20" s="562" t="str">
        <f t="shared" si="1"/>
        <v/>
      </c>
      <c r="GP20" s="562" t="str">
        <f t="shared" si="2"/>
        <v/>
      </c>
      <c r="GQ20" s="562" t="str">
        <f t="shared" si="3"/>
        <v/>
      </c>
      <c r="GR20" s="562" t="str">
        <f t="shared" si="4"/>
        <v/>
      </c>
      <c r="GS20" s="562" t="str">
        <f t="shared" si="5"/>
        <v/>
      </c>
      <c r="GT20" s="562" t="str">
        <f t="shared" si="6"/>
        <v/>
      </c>
      <c r="GU20" s="562" t="str">
        <f t="shared" si="7"/>
        <v/>
      </c>
      <c r="GV20" s="562" t="str">
        <f t="shared" si="8"/>
        <v/>
      </c>
      <c r="GW20" s="562" t="str">
        <f t="shared" si="9"/>
        <v/>
      </c>
      <c r="GX20" s="562" t="str">
        <f t="shared" si="10"/>
        <v/>
      </c>
      <c r="GY20" s="562" t="str">
        <f t="shared" si="11"/>
        <v/>
      </c>
      <c r="GZ20" s="562" t="str">
        <f t="shared" si="12"/>
        <v/>
      </c>
      <c r="HA20" s="564" t="s">
        <v>1286</v>
      </c>
      <c r="HC20" s="349" t="s">
        <v>427</v>
      </c>
      <c r="HD20" s="349" t="s">
        <v>1514</v>
      </c>
    </row>
    <row r="21" spans="2:212">
      <c r="B21" s="549">
        <v>17</v>
      </c>
      <c r="C21" s="549">
        <v>217</v>
      </c>
      <c r="D21" s="550" t="s">
        <v>440</v>
      </c>
      <c r="E21" s="557" t="s">
        <v>13</v>
      </c>
      <c r="F21" s="555">
        <v>120</v>
      </c>
      <c r="G21" s="555">
        <v>60</v>
      </c>
      <c r="H21" s="555">
        <v>40</v>
      </c>
      <c r="I21" s="555">
        <v>20</v>
      </c>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2"/>
      <c r="AK21" s="553"/>
      <c r="AL21" s="553"/>
      <c r="AM21" s="554"/>
      <c r="AN21" s="555" t="s">
        <v>11</v>
      </c>
      <c r="AO21" s="558" t="s">
        <v>883</v>
      </c>
      <c r="AP21" s="558" t="s">
        <v>883</v>
      </c>
      <c r="AQ21" s="558" t="s">
        <v>883</v>
      </c>
      <c r="AR21" s="558" t="s">
        <v>883</v>
      </c>
      <c r="AS21" s="558" t="s">
        <v>883</v>
      </c>
      <c r="AT21" s="558" t="s">
        <v>883</v>
      </c>
      <c r="AU21" s="558" t="s">
        <v>883</v>
      </c>
      <c r="AV21" s="558" t="s">
        <v>883</v>
      </c>
      <c r="AW21" s="558" t="s">
        <v>883</v>
      </c>
      <c r="AX21" s="558" t="s">
        <v>883</v>
      </c>
      <c r="AY21" s="558" t="s">
        <v>883</v>
      </c>
      <c r="AZ21" s="558" t="s">
        <v>883</v>
      </c>
      <c r="BA21" s="558" t="s">
        <v>883</v>
      </c>
      <c r="BB21" s="558" t="s">
        <v>883</v>
      </c>
      <c r="BC21" s="558" t="s">
        <v>883</v>
      </c>
      <c r="BD21" s="558" t="s">
        <v>883</v>
      </c>
      <c r="BE21" s="558" t="s">
        <v>883</v>
      </c>
      <c r="BF21" s="558" t="s">
        <v>883</v>
      </c>
      <c r="BG21" s="558" t="s">
        <v>883</v>
      </c>
      <c r="BH21" s="558" t="s">
        <v>883</v>
      </c>
      <c r="BI21" s="558" t="s">
        <v>883</v>
      </c>
      <c r="BJ21" s="558" t="s">
        <v>883</v>
      </c>
      <c r="BK21" s="558" t="s">
        <v>883</v>
      </c>
      <c r="BL21" s="558" t="s">
        <v>883</v>
      </c>
      <c r="BM21" s="558">
        <v>1</v>
      </c>
      <c r="BN21" s="558">
        <v>1</v>
      </c>
      <c r="BO21" s="558">
        <v>1</v>
      </c>
      <c r="BP21" s="558">
        <v>1</v>
      </c>
      <c r="BQ21" s="558">
        <v>1</v>
      </c>
      <c r="BR21" s="558">
        <v>1</v>
      </c>
      <c r="BS21" s="558">
        <v>1</v>
      </c>
      <c r="BT21" s="558">
        <v>1</v>
      </c>
      <c r="BU21" s="558">
        <v>1</v>
      </c>
      <c r="BV21" s="558">
        <v>1</v>
      </c>
      <c r="BW21" s="558">
        <v>1</v>
      </c>
      <c r="BX21" s="558">
        <v>1</v>
      </c>
      <c r="BY21" s="558">
        <v>0</v>
      </c>
      <c r="BZ21" s="558">
        <v>0</v>
      </c>
      <c r="CA21" s="558">
        <v>0</v>
      </c>
      <c r="CB21" s="558">
        <v>0</v>
      </c>
      <c r="CC21" s="558">
        <v>0</v>
      </c>
      <c r="CD21" s="558">
        <v>0</v>
      </c>
      <c r="CE21" s="558">
        <v>0</v>
      </c>
      <c r="CF21" s="558">
        <v>0</v>
      </c>
      <c r="CG21" s="558">
        <v>0</v>
      </c>
      <c r="CH21" s="558">
        <v>0</v>
      </c>
      <c r="CI21" s="558">
        <v>0</v>
      </c>
      <c r="CJ21" s="558">
        <v>0</v>
      </c>
      <c r="CK21" s="558">
        <v>0</v>
      </c>
      <c r="CL21" s="558">
        <v>0</v>
      </c>
      <c r="CM21" s="558">
        <v>0</v>
      </c>
      <c r="CN21" s="558">
        <v>0</v>
      </c>
      <c r="CO21" s="558">
        <v>0</v>
      </c>
      <c r="CP21" s="558">
        <v>0</v>
      </c>
      <c r="CQ21" s="558">
        <v>0</v>
      </c>
      <c r="CR21" s="558">
        <v>0</v>
      </c>
      <c r="CS21" s="558">
        <v>0</v>
      </c>
      <c r="CT21" s="558">
        <v>0</v>
      </c>
      <c r="CU21" s="558">
        <v>0</v>
      </c>
      <c r="CV21" s="558">
        <v>0</v>
      </c>
      <c r="CW21" s="558" t="s">
        <v>13</v>
      </c>
      <c r="CX21" s="558">
        <v>1</v>
      </c>
      <c r="CY21" s="559"/>
      <c r="CZ21" s="559"/>
      <c r="DA21" s="559"/>
      <c r="DB21" s="559"/>
      <c r="DC21" s="559"/>
      <c r="DD21" s="559"/>
      <c r="DE21" s="559"/>
      <c r="DF21" s="559"/>
      <c r="DG21" s="559"/>
      <c r="DH21" s="559"/>
      <c r="DI21" s="559"/>
      <c r="DJ21" s="559"/>
      <c r="DK21" s="559"/>
      <c r="DL21" s="559"/>
      <c r="DM21" s="559"/>
      <c r="DN21" s="559"/>
      <c r="DO21" s="559"/>
      <c r="DP21" s="559"/>
      <c r="DQ21" s="559"/>
      <c r="DR21" s="559"/>
      <c r="DS21" s="559"/>
      <c r="DT21" s="559"/>
      <c r="DU21" s="559"/>
      <c r="DV21" s="559"/>
      <c r="DW21" s="559"/>
      <c r="DX21" s="559"/>
      <c r="DY21" s="559"/>
      <c r="DZ21" s="559"/>
      <c r="EA21" s="559"/>
      <c r="EB21" s="559"/>
      <c r="EC21" s="559"/>
      <c r="ED21" s="559"/>
      <c r="EE21" s="559"/>
      <c r="EF21" s="559"/>
      <c r="EG21" s="559"/>
      <c r="EH21" s="559"/>
      <c r="EI21" s="558" t="s">
        <v>1133</v>
      </c>
      <c r="EJ21" s="558" t="s">
        <v>1133</v>
      </c>
      <c r="EK21" s="558" t="s">
        <v>1133</v>
      </c>
      <c r="EL21" s="558" t="s">
        <v>1133</v>
      </c>
      <c r="EM21" s="558" t="s">
        <v>1133</v>
      </c>
      <c r="EN21" s="558" t="s">
        <v>1133</v>
      </c>
      <c r="EO21" s="558" t="s">
        <v>1133</v>
      </c>
      <c r="EP21" s="558" t="s">
        <v>1133</v>
      </c>
      <c r="EQ21" s="558" t="s">
        <v>1133</v>
      </c>
      <c r="ER21" s="558" t="s">
        <v>1133</v>
      </c>
      <c r="ES21" s="558" t="s">
        <v>1133</v>
      </c>
      <c r="ET21" s="558" t="s">
        <v>1133</v>
      </c>
      <c r="EU21" s="558">
        <v>4200</v>
      </c>
      <c r="EV21" s="558">
        <v>4070</v>
      </c>
      <c r="EW21" s="558" t="s">
        <v>1592</v>
      </c>
      <c r="EX21" s="558" t="s">
        <v>1592</v>
      </c>
      <c r="EY21" s="558" t="s">
        <v>1592</v>
      </c>
      <c r="EZ21" s="558" t="s">
        <v>1592</v>
      </c>
      <c r="FA21" s="558" t="s">
        <v>1592</v>
      </c>
      <c r="FB21" s="558" t="s">
        <v>1592</v>
      </c>
      <c r="FC21" s="558" t="s">
        <v>1592</v>
      </c>
      <c r="FD21" s="558" t="s">
        <v>1592</v>
      </c>
      <c r="FE21" s="558" t="s">
        <v>1592</v>
      </c>
      <c r="FF21" s="558" t="s">
        <v>1592</v>
      </c>
      <c r="FG21" s="558" t="s">
        <v>1592</v>
      </c>
      <c r="FH21" s="558" t="s">
        <v>1592</v>
      </c>
      <c r="FI21" s="558">
        <v>25</v>
      </c>
      <c r="FJ21" s="558">
        <v>24</v>
      </c>
      <c r="FK21" s="558">
        <v>25</v>
      </c>
      <c r="FL21" s="558">
        <v>25</v>
      </c>
      <c r="FM21" s="558">
        <v>23</v>
      </c>
      <c r="FN21" s="558">
        <v>23</v>
      </c>
      <c r="FO21" s="558">
        <v>24</v>
      </c>
      <c r="FP21" s="558">
        <v>23</v>
      </c>
      <c r="FQ21" s="558">
        <v>21</v>
      </c>
      <c r="FR21" s="558">
        <v>22</v>
      </c>
      <c r="FS21" s="558">
        <v>32</v>
      </c>
      <c r="FT21" s="558">
        <v>34</v>
      </c>
      <c r="FU21" s="558">
        <v>33</v>
      </c>
      <c r="FV21" s="558">
        <v>33</v>
      </c>
      <c r="FW21" s="558">
        <v>34</v>
      </c>
      <c r="FX21" s="558">
        <v>34</v>
      </c>
      <c r="FY21" s="558">
        <v>34</v>
      </c>
      <c r="FZ21" s="558">
        <v>35</v>
      </c>
      <c r="GA21" s="558">
        <v>36</v>
      </c>
      <c r="GB21" s="558">
        <v>35</v>
      </c>
      <c r="GC21" s="558" t="s">
        <v>1596</v>
      </c>
      <c r="GD21" s="558" t="s">
        <v>1596</v>
      </c>
      <c r="GE21" s="558" t="s">
        <v>1596</v>
      </c>
      <c r="GF21" s="558" t="s">
        <v>1596</v>
      </c>
      <c r="GG21" s="558" t="s">
        <v>1596</v>
      </c>
      <c r="GH21" s="558" t="s">
        <v>1596</v>
      </c>
      <c r="GI21" s="558" t="s">
        <v>1596</v>
      </c>
      <c r="GJ21" s="558" t="s">
        <v>1596</v>
      </c>
      <c r="GK21" s="558" t="s">
        <v>1596</v>
      </c>
      <c r="GL21" s="558" t="s">
        <v>1596</v>
      </c>
      <c r="GM21" s="558" t="s">
        <v>1596</v>
      </c>
      <c r="GN21" s="558" t="s">
        <v>1596</v>
      </c>
      <c r="GO21" s="562" t="str">
        <f t="shared" si="1"/>
        <v/>
      </c>
      <c r="GP21" s="562" t="str">
        <f t="shared" si="2"/>
        <v/>
      </c>
      <c r="GQ21" s="562" t="str">
        <f t="shared" si="3"/>
        <v/>
      </c>
      <c r="GR21" s="562" t="str">
        <f t="shared" si="4"/>
        <v/>
      </c>
      <c r="GS21" s="562" t="str">
        <f t="shared" si="5"/>
        <v/>
      </c>
      <c r="GT21" s="562" t="str">
        <f t="shared" si="6"/>
        <v/>
      </c>
      <c r="GU21" s="562" t="str">
        <f t="shared" si="7"/>
        <v/>
      </c>
      <c r="GV21" s="562" t="str">
        <f t="shared" si="8"/>
        <v/>
      </c>
      <c r="GW21" s="562" t="str">
        <f t="shared" si="9"/>
        <v/>
      </c>
      <c r="GX21" s="562" t="str">
        <f t="shared" si="10"/>
        <v/>
      </c>
      <c r="GY21" s="562" t="str">
        <f t="shared" si="11"/>
        <v/>
      </c>
      <c r="GZ21" s="562" t="str">
        <f t="shared" si="12"/>
        <v/>
      </c>
      <c r="HA21" s="564" t="s">
        <v>1286</v>
      </c>
      <c r="HC21" s="349" t="s">
        <v>440</v>
      </c>
      <c r="HD21" s="349" t="s">
        <v>1514</v>
      </c>
    </row>
    <row r="22" spans="2:212">
      <c r="B22" s="549">
        <v>18</v>
      </c>
      <c r="C22" s="549">
        <v>218</v>
      </c>
      <c r="D22" s="550" t="s">
        <v>452</v>
      </c>
      <c r="E22" s="557" t="s">
        <v>13</v>
      </c>
      <c r="F22" s="555">
        <v>155</v>
      </c>
      <c r="G22" s="555">
        <v>135</v>
      </c>
      <c r="H22" s="555">
        <v>20</v>
      </c>
      <c r="I22" s="555">
        <v>0</v>
      </c>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2"/>
      <c r="AK22" s="553"/>
      <c r="AL22" s="553"/>
      <c r="AM22" s="554"/>
      <c r="AN22" s="555" t="s">
        <v>11</v>
      </c>
      <c r="AO22" s="558" t="s">
        <v>883</v>
      </c>
      <c r="AP22" s="558" t="s">
        <v>883</v>
      </c>
      <c r="AQ22" s="558" t="s">
        <v>883</v>
      </c>
      <c r="AR22" s="558" t="s">
        <v>883</v>
      </c>
      <c r="AS22" s="558" t="s">
        <v>883</v>
      </c>
      <c r="AT22" s="558" t="s">
        <v>883</v>
      </c>
      <c r="AU22" s="558" t="s">
        <v>883</v>
      </c>
      <c r="AV22" s="558" t="s">
        <v>883</v>
      </c>
      <c r="AW22" s="558" t="s">
        <v>883</v>
      </c>
      <c r="AX22" s="558" t="s">
        <v>883</v>
      </c>
      <c r="AY22" s="558" t="s">
        <v>883</v>
      </c>
      <c r="AZ22" s="558" t="s">
        <v>883</v>
      </c>
      <c r="BA22" s="558" t="s">
        <v>883</v>
      </c>
      <c r="BB22" s="558" t="s">
        <v>883</v>
      </c>
      <c r="BC22" s="558" t="s">
        <v>883</v>
      </c>
      <c r="BD22" s="558" t="s">
        <v>883</v>
      </c>
      <c r="BE22" s="558" t="s">
        <v>883</v>
      </c>
      <c r="BF22" s="558" t="s">
        <v>883</v>
      </c>
      <c r="BG22" s="558" t="s">
        <v>883</v>
      </c>
      <c r="BH22" s="558" t="s">
        <v>883</v>
      </c>
      <c r="BI22" s="558" t="s">
        <v>883</v>
      </c>
      <c r="BJ22" s="558" t="s">
        <v>883</v>
      </c>
      <c r="BK22" s="558" t="s">
        <v>883</v>
      </c>
      <c r="BL22" s="558" t="s">
        <v>883</v>
      </c>
      <c r="BM22" s="558">
        <v>0</v>
      </c>
      <c r="BN22" s="558">
        <v>0</v>
      </c>
      <c r="BO22" s="558">
        <v>0</v>
      </c>
      <c r="BP22" s="558">
        <v>0</v>
      </c>
      <c r="BQ22" s="558">
        <v>0</v>
      </c>
      <c r="BR22" s="558">
        <v>0</v>
      </c>
      <c r="BS22" s="558">
        <v>0</v>
      </c>
      <c r="BT22" s="558">
        <v>0</v>
      </c>
      <c r="BU22" s="558">
        <v>0</v>
      </c>
      <c r="BV22" s="558">
        <v>0</v>
      </c>
      <c r="BW22" s="558">
        <v>0</v>
      </c>
      <c r="BX22" s="558">
        <v>0</v>
      </c>
      <c r="BY22" s="558">
        <v>0</v>
      </c>
      <c r="BZ22" s="558">
        <v>0</v>
      </c>
      <c r="CA22" s="558">
        <v>0</v>
      </c>
      <c r="CB22" s="558">
        <v>0</v>
      </c>
      <c r="CC22" s="558">
        <v>0</v>
      </c>
      <c r="CD22" s="558">
        <v>0</v>
      </c>
      <c r="CE22" s="558">
        <v>0</v>
      </c>
      <c r="CF22" s="558">
        <v>0</v>
      </c>
      <c r="CG22" s="558">
        <v>0</v>
      </c>
      <c r="CH22" s="558">
        <v>0</v>
      </c>
      <c r="CI22" s="558">
        <v>0</v>
      </c>
      <c r="CJ22" s="558">
        <v>0</v>
      </c>
      <c r="CK22" s="558">
        <v>0</v>
      </c>
      <c r="CL22" s="558">
        <v>0</v>
      </c>
      <c r="CM22" s="558">
        <v>0</v>
      </c>
      <c r="CN22" s="558">
        <v>0</v>
      </c>
      <c r="CO22" s="558">
        <v>0</v>
      </c>
      <c r="CP22" s="558">
        <v>0</v>
      </c>
      <c r="CQ22" s="558">
        <v>0</v>
      </c>
      <c r="CR22" s="558">
        <v>0</v>
      </c>
      <c r="CS22" s="558">
        <v>0</v>
      </c>
      <c r="CT22" s="558">
        <v>0</v>
      </c>
      <c r="CU22" s="558">
        <v>0</v>
      </c>
      <c r="CV22" s="558">
        <v>0</v>
      </c>
      <c r="CW22" s="558" t="s">
        <v>13</v>
      </c>
      <c r="CX22" s="558">
        <v>0</v>
      </c>
      <c r="CY22" s="559"/>
      <c r="CZ22" s="559"/>
      <c r="DA22" s="559"/>
      <c r="DB22" s="559"/>
      <c r="DC22" s="559"/>
      <c r="DD22" s="559"/>
      <c r="DE22" s="559"/>
      <c r="DF22" s="559"/>
      <c r="DG22" s="559"/>
      <c r="DH22" s="559"/>
      <c r="DI22" s="559"/>
      <c r="DJ22" s="559"/>
      <c r="DK22" s="559"/>
      <c r="DL22" s="559"/>
      <c r="DM22" s="559"/>
      <c r="DN22" s="559"/>
      <c r="DO22" s="559"/>
      <c r="DP22" s="559"/>
      <c r="DQ22" s="559"/>
      <c r="DR22" s="559"/>
      <c r="DS22" s="559"/>
      <c r="DT22" s="559"/>
      <c r="DU22" s="559"/>
      <c r="DV22" s="559"/>
      <c r="DW22" s="559"/>
      <c r="DX22" s="559"/>
      <c r="DY22" s="559"/>
      <c r="DZ22" s="559"/>
      <c r="EA22" s="559"/>
      <c r="EB22" s="559"/>
      <c r="EC22" s="559"/>
      <c r="ED22" s="559"/>
      <c r="EE22" s="559"/>
      <c r="EF22" s="559"/>
      <c r="EG22" s="559"/>
      <c r="EH22" s="559"/>
      <c r="EI22" s="558" t="s">
        <v>1133</v>
      </c>
      <c r="EJ22" s="558" t="s">
        <v>1133</v>
      </c>
      <c r="EK22" s="558" t="s">
        <v>1133</v>
      </c>
      <c r="EL22" s="558" t="s">
        <v>1133</v>
      </c>
      <c r="EM22" s="558" t="s">
        <v>1133</v>
      </c>
      <c r="EN22" s="558" t="s">
        <v>1133</v>
      </c>
      <c r="EO22" s="558" t="s">
        <v>1133</v>
      </c>
      <c r="EP22" s="558" t="s">
        <v>1133</v>
      </c>
      <c r="EQ22" s="558" t="s">
        <v>1133</v>
      </c>
      <c r="ER22" s="558" t="s">
        <v>1133</v>
      </c>
      <c r="ES22" s="558" t="s">
        <v>1133</v>
      </c>
      <c r="ET22" s="558" t="s">
        <v>1133</v>
      </c>
      <c r="EU22" s="558">
        <v>4200</v>
      </c>
      <c r="EV22" s="558">
        <v>4070</v>
      </c>
      <c r="EW22" s="558" t="s">
        <v>1592</v>
      </c>
      <c r="EX22" s="558" t="s">
        <v>1592</v>
      </c>
      <c r="EY22" s="558" t="s">
        <v>1592</v>
      </c>
      <c r="EZ22" s="558" t="s">
        <v>1592</v>
      </c>
      <c r="FA22" s="558" t="s">
        <v>1592</v>
      </c>
      <c r="FB22" s="558" t="s">
        <v>1592</v>
      </c>
      <c r="FC22" s="558" t="s">
        <v>1592</v>
      </c>
      <c r="FD22" s="558" t="s">
        <v>1592</v>
      </c>
      <c r="FE22" s="558" t="s">
        <v>1592</v>
      </c>
      <c r="FF22" s="558" t="s">
        <v>1592</v>
      </c>
      <c r="FG22" s="558" t="s">
        <v>1592</v>
      </c>
      <c r="FH22" s="558" t="s">
        <v>1592</v>
      </c>
      <c r="FI22" s="558">
        <v>87</v>
      </c>
      <c r="FJ22" s="558">
        <v>87</v>
      </c>
      <c r="FK22" s="558">
        <v>87</v>
      </c>
      <c r="FL22" s="558">
        <v>87</v>
      </c>
      <c r="FM22" s="558">
        <v>87</v>
      </c>
      <c r="FN22" s="558">
        <v>87</v>
      </c>
      <c r="FO22" s="558">
        <v>86</v>
      </c>
      <c r="FP22" s="558">
        <v>86</v>
      </c>
      <c r="FQ22" s="558">
        <v>87</v>
      </c>
      <c r="FR22" s="558">
        <v>88</v>
      </c>
      <c r="FS22" s="558">
        <v>16</v>
      </c>
      <c r="FT22" s="558">
        <v>16</v>
      </c>
      <c r="FU22" s="558">
        <v>16</v>
      </c>
      <c r="FV22" s="558">
        <v>16</v>
      </c>
      <c r="FW22" s="558">
        <v>16</v>
      </c>
      <c r="FX22" s="558">
        <v>16</v>
      </c>
      <c r="FY22" s="558">
        <v>16</v>
      </c>
      <c r="FZ22" s="558">
        <v>16</v>
      </c>
      <c r="GA22" s="558">
        <v>16</v>
      </c>
      <c r="GB22" s="558">
        <v>16</v>
      </c>
      <c r="GC22" s="558" t="s">
        <v>1596</v>
      </c>
      <c r="GD22" s="558" t="s">
        <v>1596</v>
      </c>
      <c r="GE22" s="558" t="s">
        <v>1596</v>
      </c>
      <c r="GF22" s="558" t="s">
        <v>1596</v>
      </c>
      <c r="GG22" s="558" t="s">
        <v>1596</v>
      </c>
      <c r="GH22" s="558" t="s">
        <v>1596</v>
      </c>
      <c r="GI22" s="558" t="s">
        <v>1596</v>
      </c>
      <c r="GJ22" s="558" t="s">
        <v>1596</v>
      </c>
      <c r="GK22" s="558" t="s">
        <v>1596</v>
      </c>
      <c r="GL22" s="558" t="s">
        <v>1596</v>
      </c>
      <c r="GM22" s="558" t="s">
        <v>1596</v>
      </c>
      <c r="GN22" s="558" t="s">
        <v>1596</v>
      </c>
      <c r="GO22" s="562" t="str">
        <f t="shared" si="1"/>
        <v/>
      </c>
      <c r="GP22" s="562" t="str">
        <f t="shared" si="2"/>
        <v/>
      </c>
      <c r="GQ22" s="562" t="str">
        <f t="shared" si="3"/>
        <v/>
      </c>
      <c r="GR22" s="562" t="str">
        <f t="shared" si="4"/>
        <v/>
      </c>
      <c r="GS22" s="562" t="str">
        <f t="shared" si="5"/>
        <v/>
      </c>
      <c r="GT22" s="562" t="str">
        <f t="shared" si="6"/>
        <v/>
      </c>
      <c r="GU22" s="562" t="str">
        <f t="shared" si="7"/>
        <v/>
      </c>
      <c r="GV22" s="562" t="str">
        <f t="shared" si="8"/>
        <v/>
      </c>
      <c r="GW22" s="562" t="str">
        <f t="shared" si="9"/>
        <v/>
      </c>
      <c r="GX22" s="562" t="str">
        <f t="shared" si="10"/>
        <v/>
      </c>
      <c r="GY22" s="562" t="str">
        <f t="shared" si="11"/>
        <v/>
      </c>
      <c r="GZ22" s="562" t="str">
        <f t="shared" si="12"/>
        <v/>
      </c>
      <c r="HA22" s="564" t="s">
        <v>1286</v>
      </c>
      <c r="HC22" s="349" t="s">
        <v>452</v>
      </c>
      <c r="HD22" s="349" t="s">
        <v>1514</v>
      </c>
    </row>
    <row r="23" spans="2:212">
      <c r="B23" s="549">
        <v>19</v>
      </c>
      <c r="C23" s="549">
        <v>219</v>
      </c>
      <c r="D23" s="550" t="s">
        <v>462</v>
      </c>
      <c r="E23" s="557" t="s">
        <v>13</v>
      </c>
      <c r="F23" s="555">
        <v>120</v>
      </c>
      <c r="G23" s="555">
        <v>90</v>
      </c>
      <c r="H23" s="555">
        <v>30</v>
      </c>
      <c r="I23" s="555">
        <v>0</v>
      </c>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2"/>
      <c r="AK23" s="553"/>
      <c r="AL23" s="553"/>
      <c r="AM23" s="554"/>
      <c r="AN23" s="555" t="s">
        <v>11</v>
      </c>
      <c r="AO23" s="558" t="s">
        <v>883</v>
      </c>
      <c r="AP23" s="558" t="s">
        <v>883</v>
      </c>
      <c r="AQ23" s="558" t="s">
        <v>883</v>
      </c>
      <c r="AR23" s="558" t="s">
        <v>883</v>
      </c>
      <c r="AS23" s="558" t="s">
        <v>883</v>
      </c>
      <c r="AT23" s="558" t="s">
        <v>883</v>
      </c>
      <c r="AU23" s="558" t="s">
        <v>883</v>
      </c>
      <c r="AV23" s="558" t="s">
        <v>883</v>
      </c>
      <c r="AW23" s="558" t="s">
        <v>883</v>
      </c>
      <c r="AX23" s="558" t="s">
        <v>883</v>
      </c>
      <c r="AY23" s="558" t="s">
        <v>883</v>
      </c>
      <c r="AZ23" s="558" t="s">
        <v>883</v>
      </c>
      <c r="BA23" s="558" t="s">
        <v>883</v>
      </c>
      <c r="BB23" s="558" t="s">
        <v>883</v>
      </c>
      <c r="BC23" s="558" t="s">
        <v>883</v>
      </c>
      <c r="BD23" s="558" t="s">
        <v>883</v>
      </c>
      <c r="BE23" s="558" t="s">
        <v>883</v>
      </c>
      <c r="BF23" s="558" t="s">
        <v>883</v>
      </c>
      <c r="BG23" s="558" t="s">
        <v>883</v>
      </c>
      <c r="BH23" s="558" t="s">
        <v>883</v>
      </c>
      <c r="BI23" s="558" t="s">
        <v>883</v>
      </c>
      <c r="BJ23" s="558" t="s">
        <v>883</v>
      </c>
      <c r="BK23" s="558" t="s">
        <v>883</v>
      </c>
      <c r="BL23" s="558" t="s">
        <v>883</v>
      </c>
      <c r="BM23" s="558">
        <v>0</v>
      </c>
      <c r="BN23" s="558">
        <v>0</v>
      </c>
      <c r="BO23" s="558">
        <v>0</v>
      </c>
      <c r="BP23" s="558">
        <v>0</v>
      </c>
      <c r="BQ23" s="558">
        <v>0</v>
      </c>
      <c r="BR23" s="558">
        <v>0</v>
      </c>
      <c r="BS23" s="558">
        <v>0</v>
      </c>
      <c r="BT23" s="558">
        <v>0</v>
      </c>
      <c r="BU23" s="558">
        <v>0</v>
      </c>
      <c r="BV23" s="558">
        <v>0</v>
      </c>
      <c r="BW23" s="558">
        <v>0</v>
      </c>
      <c r="BX23" s="558">
        <v>0</v>
      </c>
      <c r="BY23" s="558">
        <v>0</v>
      </c>
      <c r="BZ23" s="558">
        <v>0</v>
      </c>
      <c r="CA23" s="558">
        <v>0</v>
      </c>
      <c r="CB23" s="558">
        <v>0</v>
      </c>
      <c r="CC23" s="558">
        <v>0</v>
      </c>
      <c r="CD23" s="558">
        <v>0</v>
      </c>
      <c r="CE23" s="558">
        <v>0</v>
      </c>
      <c r="CF23" s="558">
        <v>0</v>
      </c>
      <c r="CG23" s="558">
        <v>0</v>
      </c>
      <c r="CH23" s="558">
        <v>0</v>
      </c>
      <c r="CI23" s="558">
        <v>0</v>
      </c>
      <c r="CJ23" s="558">
        <v>0</v>
      </c>
      <c r="CK23" s="558">
        <v>0</v>
      </c>
      <c r="CL23" s="558">
        <v>0</v>
      </c>
      <c r="CM23" s="558">
        <v>0</v>
      </c>
      <c r="CN23" s="558">
        <v>0</v>
      </c>
      <c r="CO23" s="558">
        <v>0</v>
      </c>
      <c r="CP23" s="558">
        <v>0</v>
      </c>
      <c r="CQ23" s="558">
        <v>0</v>
      </c>
      <c r="CR23" s="558">
        <v>0</v>
      </c>
      <c r="CS23" s="558">
        <v>0</v>
      </c>
      <c r="CT23" s="558">
        <v>0</v>
      </c>
      <c r="CU23" s="558">
        <v>0</v>
      </c>
      <c r="CV23" s="558">
        <v>0</v>
      </c>
      <c r="CW23" s="558" t="s">
        <v>13</v>
      </c>
      <c r="CX23" s="558">
        <v>0</v>
      </c>
      <c r="CY23" s="559"/>
      <c r="CZ23" s="559"/>
      <c r="DA23" s="559"/>
      <c r="DB23" s="559"/>
      <c r="DC23" s="559"/>
      <c r="DD23" s="559"/>
      <c r="DE23" s="559"/>
      <c r="DF23" s="559"/>
      <c r="DG23" s="559"/>
      <c r="DH23" s="559"/>
      <c r="DI23" s="559"/>
      <c r="DJ23" s="559"/>
      <c r="DK23" s="559"/>
      <c r="DL23" s="559"/>
      <c r="DM23" s="559"/>
      <c r="DN23" s="559"/>
      <c r="DO23" s="559"/>
      <c r="DP23" s="559"/>
      <c r="DQ23" s="559"/>
      <c r="DR23" s="559"/>
      <c r="DS23" s="559"/>
      <c r="DT23" s="559"/>
      <c r="DU23" s="559"/>
      <c r="DV23" s="559"/>
      <c r="DW23" s="559"/>
      <c r="DX23" s="559"/>
      <c r="DY23" s="559"/>
      <c r="DZ23" s="559"/>
      <c r="EA23" s="559"/>
      <c r="EB23" s="559"/>
      <c r="EC23" s="559"/>
      <c r="ED23" s="559"/>
      <c r="EE23" s="559"/>
      <c r="EF23" s="559"/>
      <c r="EG23" s="559"/>
      <c r="EH23" s="559"/>
      <c r="EI23" s="558" t="s">
        <v>1133</v>
      </c>
      <c r="EJ23" s="558" t="s">
        <v>1133</v>
      </c>
      <c r="EK23" s="558" t="s">
        <v>1133</v>
      </c>
      <c r="EL23" s="558" t="s">
        <v>1133</v>
      </c>
      <c r="EM23" s="558" t="s">
        <v>1133</v>
      </c>
      <c r="EN23" s="558" t="s">
        <v>1133</v>
      </c>
      <c r="EO23" s="558" t="s">
        <v>1133</v>
      </c>
      <c r="EP23" s="558" t="s">
        <v>1133</v>
      </c>
      <c r="EQ23" s="558" t="s">
        <v>1133</v>
      </c>
      <c r="ER23" s="558" t="s">
        <v>1133</v>
      </c>
      <c r="ES23" s="558" t="s">
        <v>1133</v>
      </c>
      <c r="ET23" s="558" t="s">
        <v>1133</v>
      </c>
      <c r="EU23" s="558">
        <v>4170</v>
      </c>
      <c r="EV23" s="558">
        <v>4040</v>
      </c>
      <c r="EW23" s="558" t="s">
        <v>1592</v>
      </c>
      <c r="EX23" s="558" t="s">
        <v>1592</v>
      </c>
      <c r="EY23" s="558" t="s">
        <v>1592</v>
      </c>
      <c r="EZ23" s="558" t="s">
        <v>1592</v>
      </c>
      <c r="FA23" s="558" t="s">
        <v>1592</v>
      </c>
      <c r="FB23" s="558" t="s">
        <v>1592</v>
      </c>
      <c r="FC23" s="558" t="s">
        <v>1592</v>
      </c>
      <c r="FD23" s="558" t="s">
        <v>1592</v>
      </c>
      <c r="FE23" s="558" t="s">
        <v>1592</v>
      </c>
      <c r="FF23" s="558" t="s">
        <v>1592</v>
      </c>
      <c r="FG23" s="558" t="s">
        <v>1592</v>
      </c>
      <c r="FH23" s="558" t="s">
        <v>1592</v>
      </c>
      <c r="FI23" s="558">
        <v>53</v>
      </c>
      <c r="FJ23" s="558">
        <v>54</v>
      </c>
      <c r="FK23" s="558">
        <v>53</v>
      </c>
      <c r="FL23" s="558">
        <v>53</v>
      </c>
      <c r="FM23" s="558">
        <v>53</v>
      </c>
      <c r="FN23" s="558">
        <v>52</v>
      </c>
      <c r="FO23" s="558">
        <v>53</v>
      </c>
      <c r="FP23" s="558">
        <v>53</v>
      </c>
      <c r="FQ23" s="558">
        <v>53</v>
      </c>
      <c r="FR23" s="558">
        <v>53</v>
      </c>
      <c r="FS23" s="558">
        <v>15</v>
      </c>
      <c r="FT23" s="558">
        <v>15</v>
      </c>
      <c r="FU23" s="558">
        <v>16</v>
      </c>
      <c r="FV23" s="558">
        <v>16</v>
      </c>
      <c r="FW23" s="558">
        <v>16</v>
      </c>
      <c r="FX23" s="558">
        <v>17</v>
      </c>
      <c r="FY23" s="558">
        <v>18</v>
      </c>
      <c r="FZ23" s="558">
        <v>18</v>
      </c>
      <c r="GA23" s="558">
        <v>18</v>
      </c>
      <c r="GB23" s="558">
        <v>18</v>
      </c>
      <c r="GC23" s="558" t="s">
        <v>883</v>
      </c>
      <c r="GD23" s="558" t="s">
        <v>883</v>
      </c>
      <c r="GE23" s="558" t="s">
        <v>883</v>
      </c>
      <c r="GF23" s="558" t="s">
        <v>883</v>
      </c>
      <c r="GG23" s="558" t="s">
        <v>883</v>
      </c>
      <c r="GH23" s="558" t="s">
        <v>883</v>
      </c>
      <c r="GI23" s="558" t="s">
        <v>883</v>
      </c>
      <c r="GJ23" s="558" t="s">
        <v>883</v>
      </c>
      <c r="GK23" s="558" t="s">
        <v>883</v>
      </c>
      <c r="GL23" s="558" t="s">
        <v>883</v>
      </c>
      <c r="GM23" s="558" t="s">
        <v>883</v>
      </c>
      <c r="GN23" s="558" t="s">
        <v>883</v>
      </c>
      <c r="GO23" s="562" t="str">
        <f t="shared" si="1"/>
        <v/>
      </c>
      <c r="GP23" s="562" t="str">
        <f t="shared" si="2"/>
        <v/>
      </c>
      <c r="GQ23" s="562" t="str">
        <f t="shared" si="3"/>
        <v/>
      </c>
      <c r="GR23" s="562" t="str">
        <f t="shared" si="4"/>
        <v/>
      </c>
      <c r="GS23" s="562" t="str">
        <f t="shared" si="5"/>
        <v/>
      </c>
      <c r="GT23" s="562" t="str">
        <f t="shared" si="6"/>
        <v/>
      </c>
      <c r="GU23" s="562" t="str">
        <f t="shared" si="7"/>
        <v/>
      </c>
      <c r="GV23" s="562" t="str">
        <f t="shared" si="8"/>
        <v/>
      </c>
      <c r="GW23" s="562" t="str">
        <f t="shared" si="9"/>
        <v/>
      </c>
      <c r="GX23" s="562" t="str">
        <f t="shared" si="10"/>
        <v/>
      </c>
      <c r="GY23" s="562" t="str">
        <f t="shared" si="11"/>
        <v/>
      </c>
      <c r="GZ23" s="562" t="str">
        <f t="shared" si="12"/>
        <v/>
      </c>
      <c r="HA23" s="564" t="s">
        <v>1286</v>
      </c>
      <c r="HC23" s="349" t="s">
        <v>462</v>
      </c>
      <c r="HD23" s="349" t="s">
        <v>1514</v>
      </c>
    </row>
    <row r="24" spans="2:212">
      <c r="B24" s="549">
        <v>20</v>
      </c>
      <c r="C24" s="549">
        <v>220</v>
      </c>
      <c r="D24" s="550" t="s">
        <v>470</v>
      </c>
      <c r="E24" s="557" t="s">
        <v>13</v>
      </c>
      <c r="F24" s="555">
        <v>280</v>
      </c>
      <c r="G24" s="555">
        <v>210</v>
      </c>
      <c r="H24" s="555">
        <v>70</v>
      </c>
      <c r="I24" s="555">
        <v>0</v>
      </c>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K24" s="553"/>
      <c r="AL24" s="553"/>
      <c r="AM24" s="554"/>
      <c r="AN24" s="555" t="s">
        <v>11</v>
      </c>
      <c r="AO24" s="558" t="s">
        <v>883</v>
      </c>
      <c r="AP24" s="558" t="s">
        <v>883</v>
      </c>
      <c r="AQ24" s="558" t="s">
        <v>883</v>
      </c>
      <c r="AR24" s="558" t="s">
        <v>883</v>
      </c>
      <c r="AS24" s="558" t="s">
        <v>883</v>
      </c>
      <c r="AT24" s="558" t="s">
        <v>883</v>
      </c>
      <c r="AU24" s="558" t="s">
        <v>883</v>
      </c>
      <c r="AV24" s="558" t="s">
        <v>883</v>
      </c>
      <c r="AW24" s="558" t="s">
        <v>883</v>
      </c>
      <c r="AX24" s="558" t="s">
        <v>883</v>
      </c>
      <c r="AY24" s="558" t="s">
        <v>883</v>
      </c>
      <c r="AZ24" s="558" t="s">
        <v>883</v>
      </c>
      <c r="BA24" s="558" t="s">
        <v>883</v>
      </c>
      <c r="BB24" s="558" t="s">
        <v>883</v>
      </c>
      <c r="BC24" s="558" t="s">
        <v>883</v>
      </c>
      <c r="BD24" s="558" t="s">
        <v>883</v>
      </c>
      <c r="BE24" s="558" t="s">
        <v>883</v>
      </c>
      <c r="BF24" s="558" t="s">
        <v>883</v>
      </c>
      <c r="BG24" s="558" t="s">
        <v>883</v>
      </c>
      <c r="BH24" s="558" t="s">
        <v>883</v>
      </c>
      <c r="BI24" s="558" t="s">
        <v>883</v>
      </c>
      <c r="BJ24" s="558" t="s">
        <v>883</v>
      </c>
      <c r="BK24" s="558" t="s">
        <v>883</v>
      </c>
      <c r="BL24" s="558" t="s">
        <v>883</v>
      </c>
      <c r="BM24" s="558">
        <v>0</v>
      </c>
      <c r="BN24" s="558">
        <v>0</v>
      </c>
      <c r="BO24" s="558">
        <v>0</v>
      </c>
      <c r="BP24" s="558">
        <v>0</v>
      </c>
      <c r="BQ24" s="558">
        <v>0</v>
      </c>
      <c r="BR24" s="558">
        <v>0</v>
      </c>
      <c r="BS24" s="558">
        <v>0</v>
      </c>
      <c r="BT24" s="558">
        <v>0</v>
      </c>
      <c r="BU24" s="558">
        <v>0</v>
      </c>
      <c r="BV24" s="558">
        <v>0</v>
      </c>
      <c r="BW24" s="558">
        <v>0</v>
      </c>
      <c r="BX24" s="558">
        <v>0</v>
      </c>
      <c r="BY24" s="558">
        <v>0</v>
      </c>
      <c r="BZ24" s="558">
        <v>0</v>
      </c>
      <c r="CA24" s="558">
        <v>0</v>
      </c>
      <c r="CB24" s="558">
        <v>0</v>
      </c>
      <c r="CC24" s="558">
        <v>0</v>
      </c>
      <c r="CD24" s="558">
        <v>0</v>
      </c>
      <c r="CE24" s="558">
        <v>0</v>
      </c>
      <c r="CF24" s="558">
        <v>0</v>
      </c>
      <c r="CG24" s="558">
        <v>0</v>
      </c>
      <c r="CH24" s="558">
        <v>0</v>
      </c>
      <c r="CI24" s="558">
        <v>0</v>
      </c>
      <c r="CJ24" s="558">
        <v>0</v>
      </c>
      <c r="CK24" s="558">
        <v>0</v>
      </c>
      <c r="CL24" s="558">
        <v>0</v>
      </c>
      <c r="CM24" s="558">
        <v>0</v>
      </c>
      <c r="CN24" s="558">
        <v>0</v>
      </c>
      <c r="CO24" s="558">
        <v>0</v>
      </c>
      <c r="CP24" s="558">
        <v>0</v>
      </c>
      <c r="CQ24" s="558">
        <v>0</v>
      </c>
      <c r="CR24" s="558">
        <v>0</v>
      </c>
      <c r="CS24" s="558">
        <v>0</v>
      </c>
      <c r="CT24" s="558">
        <v>0</v>
      </c>
      <c r="CU24" s="558">
        <v>0</v>
      </c>
      <c r="CV24" s="558">
        <v>0</v>
      </c>
      <c r="CW24" s="558" t="s">
        <v>13</v>
      </c>
      <c r="CX24" s="558">
        <v>1</v>
      </c>
      <c r="CY24" s="559"/>
      <c r="CZ24" s="559"/>
      <c r="DA24" s="559"/>
      <c r="DB24" s="559"/>
      <c r="DC24" s="559"/>
      <c r="DD24" s="559"/>
      <c r="DE24" s="559"/>
      <c r="DF24" s="559"/>
      <c r="DG24" s="559"/>
      <c r="DH24" s="559"/>
      <c r="DI24" s="559"/>
      <c r="DJ24" s="559"/>
      <c r="DK24" s="561"/>
      <c r="DL24" s="559"/>
      <c r="DM24" s="559"/>
      <c r="DN24" s="559"/>
      <c r="DO24" s="559"/>
      <c r="DP24" s="559"/>
      <c r="DQ24" s="559"/>
      <c r="DR24" s="559"/>
      <c r="DS24" s="559"/>
      <c r="DT24" s="559"/>
      <c r="DU24" s="559"/>
      <c r="DV24" s="559"/>
      <c r="DW24" s="561"/>
      <c r="DX24" s="559"/>
      <c r="DY24" s="559"/>
      <c r="DZ24" s="559"/>
      <c r="EA24" s="559"/>
      <c r="EB24" s="559"/>
      <c r="EC24" s="559"/>
      <c r="ED24" s="559"/>
      <c r="EE24" s="559"/>
      <c r="EF24" s="559"/>
      <c r="EG24" s="559"/>
      <c r="EH24" s="559"/>
      <c r="EI24" s="558" t="s">
        <v>1133</v>
      </c>
      <c r="EJ24" s="558" t="s">
        <v>1133</v>
      </c>
      <c r="EK24" s="558" t="s">
        <v>1133</v>
      </c>
      <c r="EL24" s="558" t="s">
        <v>1133</v>
      </c>
      <c r="EM24" s="558" t="s">
        <v>1133</v>
      </c>
      <c r="EN24" s="558" t="s">
        <v>1133</v>
      </c>
      <c r="EO24" s="558" t="s">
        <v>1133</v>
      </c>
      <c r="EP24" s="558" t="s">
        <v>1133</v>
      </c>
      <c r="EQ24" s="558" t="s">
        <v>1133</v>
      </c>
      <c r="ER24" s="558" t="s">
        <v>1133</v>
      </c>
      <c r="ES24" s="558" t="s">
        <v>1133</v>
      </c>
      <c r="ET24" s="558" t="s">
        <v>1133</v>
      </c>
      <c r="EU24" s="558">
        <v>4110</v>
      </c>
      <c r="EV24" s="558">
        <v>3980</v>
      </c>
      <c r="EW24" s="558" t="s">
        <v>1592</v>
      </c>
      <c r="EX24" s="558" t="s">
        <v>1592</v>
      </c>
      <c r="EY24" s="558" t="s">
        <v>1592</v>
      </c>
      <c r="EZ24" s="558" t="s">
        <v>1592</v>
      </c>
      <c r="FA24" s="558" t="s">
        <v>1592</v>
      </c>
      <c r="FB24" s="558" t="s">
        <v>1592</v>
      </c>
      <c r="FC24" s="558" t="s">
        <v>1592</v>
      </c>
      <c r="FD24" s="558" t="s">
        <v>1592</v>
      </c>
      <c r="FE24" s="558" t="s">
        <v>1592</v>
      </c>
      <c r="FF24" s="558" t="s">
        <v>1592</v>
      </c>
      <c r="FG24" s="558" t="s">
        <v>1592</v>
      </c>
      <c r="FH24" s="558" t="s">
        <v>1592</v>
      </c>
      <c r="FI24" s="558">
        <v>99</v>
      </c>
      <c r="FJ24" s="558">
        <v>99</v>
      </c>
      <c r="FK24" s="558">
        <v>99</v>
      </c>
      <c r="FL24" s="558">
        <v>101</v>
      </c>
      <c r="FM24" s="558">
        <v>99</v>
      </c>
      <c r="FN24" s="558">
        <v>99</v>
      </c>
      <c r="FO24" s="558">
        <v>99</v>
      </c>
      <c r="FP24" s="558">
        <v>98</v>
      </c>
      <c r="FQ24" s="558">
        <v>100</v>
      </c>
      <c r="FR24" s="558">
        <v>100</v>
      </c>
      <c r="FS24" s="558">
        <v>62</v>
      </c>
      <c r="FT24" s="558">
        <v>63</v>
      </c>
      <c r="FU24" s="558">
        <v>63</v>
      </c>
      <c r="FV24" s="558">
        <v>63</v>
      </c>
      <c r="FW24" s="558">
        <v>63</v>
      </c>
      <c r="FX24" s="558">
        <v>63</v>
      </c>
      <c r="FY24" s="558">
        <v>63</v>
      </c>
      <c r="FZ24" s="558">
        <v>63</v>
      </c>
      <c r="GA24" s="558">
        <v>62</v>
      </c>
      <c r="GB24" s="558">
        <v>62</v>
      </c>
      <c r="GC24" s="558" t="s">
        <v>883</v>
      </c>
      <c r="GD24" s="558" t="s">
        <v>883</v>
      </c>
      <c r="GE24" s="558" t="s">
        <v>883</v>
      </c>
      <c r="GF24" s="558" t="s">
        <v>883</v>
      </c>
      <c r="GG24" s="558" t="s">
        <v>883</v>
      </c>
      <c r="GH24" s="558" t="s">
        <v>883</v>
      </c>
      <c r="GI24" s="558" t="s">
        <v>883</v>
      </c>
      <c r="GJ24" s="558" t="s">
        <v>883</v>
      </c>
      <c r="GK24" s="558" t="s">
        <v>883</v>
      </c>
      <c r="GL24" s="558" t="s">
        <v>883</v>
      </c>
      <c r="GM24" s="558" t="s">
        <v>883</v>
      </c>
      <c r="GN24" s="558" t="s">
        <v>883</v>
      </c>
      <c r="GO24" s="562" t="str">
        <f t="shared" si="1"/>
        <v/>
      </c>
      <c r="GP24" s="562" t="str">
        <f t="shared" si="2"/>
        <v/>
      </c>
      <c r="GQ24" s="562" t="str">
        <f t="shared" si="3"/>
        <v/>
      </c>
      <c r="GR24" s="562" t="str">
        <f t="shared" si="4"/>
        <v/>
      </c>
      <c r="GS24" s="562" t="str">
        <f t="shared" si="5"/>
        <v/>
      </c>
      <c r="GT24" s="562" t="str">
        <f t="shared" si="6"/>
        <v/>
      </c>
      <c r="GU24" s="562" t="str">
        <f t="shared" si="7"/>
        <v/>
      </c>
      <c r="GV24" s="562" t="str">
        <f t="shared" si="8"/>
        <v/>
      </c>
      <c r="GW24" s="562" t="str">
        <f t="shared" si="9"/>
        <v/>
      </c>
      <c r="GX24" s="562" t="str">
        <f t="shared" si="10"/>
        <v/>
      </c>
      <c r="GY24" s="562" t="str">
        <f t="shared" si="11"/>
        <v/>
      </c>
      <c r="GZ24" s="562" t="str">
        <f t="shared" si="12"/>
        <v/>
      </c>
      <c r="HA24" s="564" t="s">
        <v>1286</v>
      </c>
      <c r="HC24" s="349" t="s">
        <v>470</v>
      </c>
      <c r="HD24" s="349" t="s">
        <v>1514</v>
      </c>
    </row>
    <row r="25" spans="2:212">
      <c r="B25" s="549">
        <v>21</v>
      </c>
      <c r="C25" s="549">
        <v>221</v>
      </c>
      <c r="D25" s="550" t="s">
        <v>1029</v>
      </c>
      <c r="E25" s="557" t="s">
        <v>13</v>
      </c>
      <c r="F25" s="555">
        <v>315</v>
      </c>
      <c r="G25" s="555">
        <v>240</v>
      </c>
      <c r="H25" s="555">
        <v>45</v>
      </c>
      <c r="I25" s="555">
        <v>30</v>
      </c>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2"/>
      <c r="AK25" s="553"/>
      <c r="AL25" s="553"/>
      <c r="AM25" s="554"/>
      <c r="AN25" s="555" t="s">
        <v>11</v>
      </c>
      <c r="AO25" s="558" t="s">
        <v>883</v>
      </c>
      <c r="AP25" s="558" t="s">
        <v>883</v>
      </c>
      <c r="AQ25" s="558" t="s">
        <v>883</v>
      </c>
      <c r="AR25" s="558" t="s">
        <v>883</v>
      </c>
      <c r="AS25" s="558" t="s">
        <v>883</v>
      </c>
      <c r="AT25" s="558" t="s">
        <v>883</v>
      </c>
      <c r="AU25" s="558" t="s">
        <v>883</v>
      </c>
      <c r="AV25" s="558" t="s">
        <v>883</v>
      </c>
      <c r="AW25" s="558" t="s">
        <v>883</v>
      </c>
      <c r="AX25" s="558" t="s">
        <v>883</v>
      </c>
      <c r="AY25" s="558" t="s">
        <v>883</v>
      </c>
      <c r="AZ25" s="558" t="s">
        <v>883</v>
      </c>
      <c r="BA25" s="558" t="s">
        <v>883</v>
      </c>
      <c r="BB25" s="558" t="s">
        <v>883</v>
      </c>
      <c r="BC25" s="558" t="s">
        <v>883</v>
      </c>
      <c r="BD25" s="558" t="s">
        <v>883</v>
      </c>
      <c r="BE25" s="558" t="s">
        <v>883</v>
      </c>
      <c r="BF25" s="558" t="s">
        <v>883</v>
      </c>
      <c r="BG25" s="558" t="s">
        <v>883</v>
      </c>
      <c r="BH25" s="558" t="s">
        <v>883</v>
      </c>
      <c r="BI25" s="558" t="s">
        <v>883</v>
      </c>
      <c r="BJ25" s="558" t="s">
        <v>883</v>
      </c>
      <c r="BK25" s="558" t="s">
        <v>883</v>
      </c>
      <c r="BL25" s="558" t="s">
        <v>883</v>
      </c>
      <c r="BM25" s="558">
        <v>1</v>
      </c>
      <c r="BN25" s="558">
        <v>1</v>
      </c>
      <c r="BO25" s="558">
        <v>1</v>
      </c>
      <c r="BP25" s="558">
        <v>1</v>
      </c>
      <c r="BQ25" s="558">
        <v>1</v>
      </c>
      <c r="BR25" s="558">
        <v>1</v>
      </c>
      <c r="BS25" s="558">
        <v>1</v>
      </c>
      <c r="BT25" s="558">
        <v>1</v>
      </c>
      <c r="BU25" s="558">
        <v>1</v>
      </c>
      <c r="BV25" s="558">
        <v>1</v>
      </c>
      <c r="BW25" s="558">
        <v>1</v>
      </c>
      <c r="BX25" s="558">
        <v>1</v>
      </c>
      <c r="BY25" s="558">
        <v>0</v>
      </c>
      <c r="BZ25" s="558">
        <v>0</v>
      </c>
      <c r="CA25" s="558">
        <v>0</v>
      </c>
      <c r="CB25" s="558">
        <v>0</v>
      </c>
      <c r="CC25" s="558">
        <v>0</v>
      </c>
      <c r="CD25" s="558">
        <v>0</v>
      </c>
      <c r="CE25" s="558">
        <v>0</v>
      </c>
      <c r="CF25" s="558">
        <v>0</v>
      </c>
      <c r="CG25" s="558">
        <v>0</v>
      </c>
      <c r="CH25" s="558">
        <v>0</v>
      </c>
      <c r="CI25" s="558">
        <v>0</v>
      </c>
      <c r="CJ25" s="558">
        <v>0</v>
      </c>
      <c r="CK25" s="558">
        <v>0</v>
      </c>
      <c r="CL25" s="558">
        <v>0</v>
      </c>
      <c r="CM25" s="558">
        <v>0</v>
      </c>
      <c r="CN25" s="558">
        <v>0</v>
      </c>
      <c r="CO25" s="558">
        <v>0</v>
      </c>
      <c r="CP25" s="558">
        <v>0</v>
      </c>
      <c r="CQ25" s="558">
        <v>0</v>
      </c>
      <c r="CR25" s="558">
        <v>0</v>
      </c>
      <c r="CS25" s="558">
        <v>0</v>
      </c>
      <c r="CT25" s="558">
        <v>0</v>
      </c>
      <c r="CU25" s="558">
        <v>0</v>
      </c>
      <c r="CV25" s="558">
        <v>0</v>
      </c>
      <c r="CW25" s="558" t="s">
        <v>13</v>
      </c>
      <c r="CX25" s="558">
        <v>1</v>
      </c>
      <c r="CY25" s="559"/>
      <c r="CZ25" s="559"/>
      <c r="DA25" s="559"/>
      <c r="DB25" s="559"/>
      <c r="DC25" s="559"/>
      <c r="DD25" s="559"/>
      <c r="DE25" s="559"/>
      <c r="DF25" s="559"/>
      <c r="DG25" s="559"/>
      <c r="DH25" s="559"/>
      <c r="DI25" s="559"/>
      <c r="DJ25" s="559"/>
      <c r="DK25" s="559"/>
      <c r="DL25" s="559"/>
      <c r="DM25" s="559"/>
      <c r="DN25" s="559"/>
      <c r="DO25" s="559"/>
      <c r="DP25" s="559"/>
      <c r="DQ25" s="559"/>
      <c r="DR25" s="559"/>
      <c r="DS25" s="559"/>
      <c r="DT25" s="559"/>
      <c r="DU25" s="559"/>
      <c r="DV25" s="559"/>
      <c r="DW25" s="559"/>
      <c r="DX25" s="559"/>
      <c r="DY25" s="559"/>
      <c r="DZ25" s="559"/>
      <c r="EA25" s="559"/>
      <c r="EB25" s="559"/>
      <c r="EC25" s="559"/>
      <c r="ED25" s="559"/>
      <c r="EE25" s="559"/>
      <c r="EF25" s="559"/>
      <c r="EG25" s="559"/>
      <c r="EH25" s="559"/>
      <c r="EI25" s="558" t="s">
        <v>1133</v>
      </c>
      <c r="EJ25" s="558" t="s">
        <v>1133</v>
      </c>
      <c r="EK25" s="558" t="s">
        <v>1133</v>
      </c>
      <c r="EL25" s="558" t="s">
        <v>1133</v>
      </c>
      <c r="EM25" s="558" t="s">
        <v>1133</v>
      </c>
      <c r="EN25" s="558" t="s">
        <v>1133</v>
      </c>
      <c r="EO25" s="558" t="s">
        <v>1133</v>
      </c>
      <c r="EP25" s="558" t="s">
        <v>1133</v>
      </c>
      <c r="EQ25" s="558" t="s">
        <v>1133</v>
      </c>
      <c r="ER25" s="558" t="s">
        <v>1133</v>
      </c>
      <c r="ES25" s="558" t="s">
        <v>1133</v>
      </c>
      <c r="ET25" s="558" t="s">
        <v>1133</v>
      </c>
      <c r="EU25" s="558">
        <v>4200</v>
      </c>
      <c r="EV25" s="558">
        <v>4070</v>
      </c>
      <c r="EW25" s="558" t="s">
        <v>1592</v>
      </c>
      <c r="EX25" s="558" t="s">
        <v>1592</v>
      </c>
      <c r="EY25" s="558" t="s">
        <v>1592</v>
      </c>
      <c r="EZ25" s="558" t="s">
        <v>1592</v>
      </c>
      <c r="FA25" s="558" t="s">
        <v>1592</v>
      </c>
      <c r="FB25" s="558" t="s">
        <v>1592</v>
      </c>
      <c r="FC25" s="558" t="s">
        <v>1592</v>
      </c>
      <c r="FD25" s="558" t="s">
        <v>1592</v>
      </c>
      <c r="FE25" s="558" t="s">
        <v>1592</v>
      </c>
      <c r="FF25" s="558" t="s">
        <v>1592</v>
      </c>
      <c r="FG25" s="558" t="s">
        <v>1592</v>
      </c>
      <c r="FH25" s="558" t="s">
        <v>1592</v>
      </c>
      <c r="FI25" s="558">
        <v>148</v>
      </c>
      <c r="FJ25" s="558">
        <v>147</v>
      </c>
      <c r="FK25" s="558">
        <v>146</v>
      </c>
      <c r="FL25" s="558">
        <v>146</v>
      </c>
      <c r="FM25" s="558">
        <v>145</v>
      </c>
      <c r="FN25" s="558">
        <v>145</v>
      </c>
      <c r="FO25" s="558">
        <v>145</v>
      </c>
      <c r="FP25" s="558">
        <v>143</v>
      </c>
      <c r="FQ25" s="558">
        <v>143</v>
      </c>
      <c r="FR25" s="558">
        <v>144</v>
      </c>
      <c r="FS25" s="558">
        <v>34</v>
      </c>
      <c r="FT25" s="558">
        <v>36</v>
      </c>
      <c r="FU25" s="558">
        <v>36</v>
      </c>
      <c r="FV25" s="558">
        <v>36</v>
      </c>
      <c r="FW25" s="558">
        <v>36</v>
      </c>
      <c r="FX25" s="558">
        <v>36</v>
      </c>
      <c r="FY25" s="558">
        <v>35</v>
      </c>
      <c r="FZ25" s="558">
        <v>36</v>
      </c>
      <c r="GA25" s="558">
        <v>36</v>
      </c>
      <c r="GB25" s="558">
        <v>36</v>
      </c>
      <c r="GC25" s="558" t="s">
        <v>1595</v>
      </c>
      <c r="GD25" s="558" t="s">
        <v>1595</v>
      </c>
      <c r="GE25" s="558" t="s">
        <v>1595</v>
      </c>
      <c r="GF25" s="558" t="s">
        <v>1595</v>
      </c>
      <c r="GG25" s="558" t="s">
        <v>1595</v>
      </c>
      <c r="GH25" s="558" t="s">
        <v>1595</v>
      </c>
      <c r="GI25" s="558" t="s">
        <v>1595</v>
      </c>
      <c r="GJ25" s="558" t="s">
        <v>1595</v>
      </c>
      <c r="GK25" s="558" t="s">
        <v>1595</v>
      </c>
      <c r="GL25" s="558" t="s">
        <v>1595</v>
      </c>
      <c r="GM25" s="558" t="s">
        <v>1595</v>
      </c>
      <c r="GN25" s="558" t="s">
        <v>1595</v>
      </c>
      <c r="GO25" s="562">
        <f t="shared" si="1"/>
        <v>79950</v>
      </c>
      <c r="GP25" s="562">
        <f t="shared" si="2"/>
        <v>79950</v>
      </c>
      <c r="GQ25" s="562">
        <f t="shared" si="3"/>
        <v>79950</v>
      </c>
      <c r="GR25" s="562">
        <f t="shared" si="4"/>
        <v>79950</v>
      </c>
      <c r="GS25" s="562">
        <f t="shared" si="5"/>
        <v>79950</v>
      </c>
      <c r="GT25" s="562">
        <f t="shared" si="6"/>
        <v>79950</v>
      </c>
      <c r="GU25" s="562">
        <f t="shared" si="7"/>
        <v>79950</v>
      </c>
      <c r="GV25" s="562">
        <f t="shared" si="8"/>
        <v>79950</v>
      </c>
      <c r="GW25" s="562">
        <f t="shared" si="9"/>
        <v>79950</v>
      </c>
      <c r="GX25" s="562">
        <f t="shared" si="10"/>
        <v>79950</v>
      </c>
      <c r="GY25" s="562">
        <f t="shared" si="11"/>
        <v>79950</v>
      </c>
      <c r="GZ25" s="562">
        <f t="shared" si="12"/>
        <v>79950</v>
      </c>
      <c r="HA25" s="565" t="s">
        <v>1286</v>
      </c>
      <c r="HC25" s="349" t="s">
        <v>1029</v>
      </c>
      <c r="HD25" s="349" t="s">
        <v>1514</v>
      </c>
    </row>
    <row r="26" spans="2:212">
      <c r="B26" s="549">
        <v>22</v>
      </c>
      <c r="C26" s="549">
        <v>222</v>
      </c>
      <c r="D26" s="550" t="s">
        <v>1030</v>
      </c>
      <c r="E26" s="557" t="s">
        <v>13</v>
      </c>
      <c r="F26" s="555">
        <v>85</v>
      </c>
      <c r="G26" s="555">
        <v>75</v>
      </c>
      <c r="H26" s="555">
        <v>10</v>
      </c>
      <c r="I26" s="555">
        <v>0</v>
      </c>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2"/>
      <c r="AK26" s="553"/>
      <c r="AL26" s="553"/>
      <c r="AM26" s="554"/>
      <c r="AN26" s="555" t="s">
        <v>11</v>
      </c>
      <c r="AO26" s="558" t="s">
        <v>883</v>
      </c>
      <c r="AP26" s="558" t="s">
        <v>883</v>
      </c>
      <c r="AQ26" s="558" t="s">
        <v>883</v>
      </c>
      <c r="AR26" s="558" t="s">
        <v>883</v>
      </c>
      <c r="AS26" s="558" t="s">
        <v>883</v>
      </c>
      <c r="AT26" s="558" t="s">
        <v>883</v>
      </c>
      <c r="AU26" s="558" t="s">
        <v>883</v>
      </c>
      <c r="AV26" s="558" t="s">
        <v>883</v>
      </c>
      <c r="AW26" s="558" t="s">
        <v>883</v>
      </c>
      <c r="AX26" s="558" t="s">
        <v>883</v>
      </c>
      <c r="AY26" s="558" t="s">
        <v>883</v>
      </c>
      <c r="AZ26" s="558" t="s">
        <v>883</v>
      </c>
      <c r="BA26" s="558" t="s">
        <v>883</v>
      </c>
      <c r="BB26" s="558" t="s">
        <v>883</v>
      </c>
      <c r="BC26" s="558" t="s">
        <v>883</v>
      </c>
      <c r="BD26" s="558" t="s">
        <v>883</v>
      </c>
      <c r="BE26" s="558" t="s">
        <v>883</v>
      </c>
      <c r="BF26" s="558" t="s">
        <v>883</v>
      </c>
      <c r="BG26" s="558" t="s">
        <v>883</v>
      </c>
      <c r="BH26" s="558" t="s">
        <v>883</v>
      </c>
      <c r="BI26" s="558" t="s">
        <v>883</v>
      </c>
      <c r="BJ26" s="558" t="s">
        <v>883</v>
      </c>
      <c r="BK26" s="558" t="s">
        <v>883</v>
      </c>
      <c r="BL26" s="558" t="s">
        <v>883</v>
      </c>
      <c r="BM26" s="558">
        <v>0</v>
      </c>
      <c r="BN26" s="558">
        <v>0</v>
      </c>
      <c r="BO26" s="558">
        <v>0</v>
      </c>
      <c r="BP26" s="558">
        <v>0</v>
      </c>
      <c r="BQ26" s="558">
        <v>0</v>
      </c>
      <c r="BR26" s="558">
        <v>0</v>
      </c>
      <c r="BS26" s="558">
        <v>0</v>
      </c>
      <c r="BT26" s="558">
        <v>0</v>
      </c>
      <c r="BU26" s="558">
        <v>0</v>
      </c>
      <c r="BV26" s="558">
        <v>0</v>
      </c>
      <c r="BW26" s="558">
        <v>0</v>
      </c>
      <c r="BX26" s="558">
        <v>0</v>
      </c>
      <c r="BY26" s="558">
        <v>0</v>
      </c>
      <c r="BZ26" s="558">
        <v>0</v>
      </c>
      <c r="CA26" s="558">
        <v>0</v>
      </c>
      <c r="CB26" s="558">
        <v>0</v>
      </c>
      <c r="CC26" s="558">
        <v>0</v>
      </c>
      <c r="CD26" s="558">
        <v>0</v>
      </c>
      <c r="CE26" s="558">
        <v>0</v>
      </c>
      <c r="CF26" s="558">
        <v>0</v>
      </c>
      <c r="CG26" s="558">
        <v>0</v>
      </c>
      <c r="CH26" s="558">
        <v>0</v>
      </c>
      <c r="CI26" s="558">
        <v>0</v>
      </c>
      <c r="CJ26" s="558">
        <v>0</v>
      </c>
      <c r="CK26" s="558">
        <v>0</v>
      </c>
      <c r="CL26" s="558">
        <v>0</v>
      </c>
      <c r="CM26" s="558">
        <v>0</v>
      </c>
      <c r="CN26" s="558">
        <v>0</v>
      </c>
      <c r="CO26" s="558">
        <v>0</v>
      </c>
      <c r="CP26" s="558">
        <v>0</v>
      </c>
      <c r="CQ26" s="558">
        <v>0</v>
      </c>
      <c r="CR26" s="558">
        <v>0</v>
      </c>
      <c r="CS26" s="558">
        <v>0</v>
      </c>
      <c r="CT26" s="558">
        <v>0</v>
      </c>
      <c r="CU26" s="558">
        <v>0</v>
      </c>
      <c r="CV26" s="558">
        <v>0</v>
      </c>
      <c r="CW26" s="558" t="s">
        <v>13</v>
      </c>
      <c r="CX26" s="558">
        <v>1</v>
      </c>
      <c r="CY26" s="559"/>
      <c r="CZ26" s="559"/>
      <c r="DA26" s="559"/>
      <c r="DB26" s="559"/>
      <c r="DC26" s="559"/>
      <c r="DD26" s="559"/>
      <c r="DE26" s="559"/>
      <c r="DF26" s="559"/>
      <c r="DG26" s="559"/>
      <c r="DH26" s="559"/>
      <c r="DI26" s="559"/>
      <c r="DJ26" s="559"/>
      <c r="DK26" s="559"/>
      <c r="DL26" s="559"/>
      <c r="DM26" s="559"/>
      <c r="DN26" s="559"/>
      <c r="DO26" s="559"/>
      <c r="DP26" s="559"/>
      <c r="DQ26" s="559"/>
      <c r="DR26" s="559"/>
      <c r="DS26" s="559"/>
      <c r="DT26" s="559"/>
      <c r="DU26" s="559"/>
      <c r="DV26" s="559"/>
      <c r="DW26" s="559"/>
      <c r="DX26" s="559"/>
      <c r="DY26" s="559"/>
      <c r="DZ26" s="559"/>
      <c r="EA26" s="559"/>
      <c r="EB26" s="559"/>
      <c r="EC26" s="559"/>
      <c r="ED26" s="559"/>
      <c r="EE26" s="559"/>
      <c r="EF26" s="559"/>
      <c r="EG26" s="559"/>
      <c r="EH26" s="559"/>
      <c r="EI26" s="558" t="s">
        <v>1133</v>
      </c>
      <c r="EJ26" s="558" t="s">
        <v>1133</v>
      </c>
      <c r="EK26" s="558" t="s">
        <v>1133</v>
      </c>
      <c r="EL26" s="558" t="s">
        <v>1133</v>
      </c>
      <c r="EM26" s="558" t="s">
        <v>1133</v>
      </c>
      <c r="EN26" s="558" t="s">
        <v>1133</v>
      </c>
      <c r="EO26" s="558" t="s">
        <v>1133</v>
      </c>
      <c r="EP26" s="558" t="s">
        <v>1133</v>
      </c>
      <c r="EQ26" s="558" t="s">
        <v>1133</v>
      </c>
      <c r="ER26" s="558" t="s">
        <v>1133</v>
      </c>
      <c r="ES26" s="558" t="s">
        <v>1133</v>
      </c>
      <c r="ET26" s="558" t="s">
        <v>1133</v>
      </c>
      <c r="EU26" s="558">
        <v>4170</v>
      </c>
      <c r="EV26" s="558">
        <v>4040</v>
      </c>
      <c r="EW26" s="558" t="s">
        <v>1592</v>
      </c>
      <c r="EX26" s="558" t="s">
        <v>1592</v>
      </c>
      <c r="EY26" s="558" t="s">
        <v>1592</v>
      </c>
      <c r="EZ26" s="558" t="s">
        <v>1592</v>
      </c>
      <c r="FA26" s="558" t="s">
        <v>1592</v>
      </c>
      <c r="FB26" s="558" t="s">
        <v>1592</v>
      </c>
      <c r="FC26" s="558" t="s">
        <v>1592</v>
      </c>
      <c r="FD26" s="558" t="s">
        <v>1592</v>
      </c>
      <c r="FE26" s="558" t="s">
        <v>1592</v>
      </c>
      <c r="FF26" s="558" t="s">
        <v>1592</v>
      </c>
      <c r="FG26" s="558" t="s">
        <v>1592</v>
      </c>
      <c r="FH26" s="558" t="s">
        <v>1592</v>
      </c>
      <c r="FI26" s="558">
        <v>42</v>
      </c>
      <c r="FJ26" s="558">
        <v>42</v>
      </c>
      <c r="FK26" s="558">
        <v>42</v>
      </c>
      <c r="FL26" s="558">
        <v>42</v>
      </c>
      <c r="FM26" s="558">
        <v>42</v>
      </c>
      <c r="FN26" s="558">
        <v>43</v>
      </c>
      <c r="FO26" s="558">
        <v>43</v>
      </c>
      <c r="FP26" s="558">
        <v>43</v>
      </c>
      <c r="FQ26" s="558">
        <v>43</v>
      </c>
      <c r="FR26" s="558">
        <v>42</v>
      </c>
      <c r="FS26" s="558">
        <v>8</v>
      </c>
      <c r="FT26" s="558">
        <v>9</v>
      </c>
      <c r="FU26" s="558">
        <v>9</v>
      </c>
      <c r="FV26" s="558">
        <v>9</v>
      </c>
      <c r="FW26" s="558">
        <v>9</v>
      </c>
      <c r="FX26" s="558">
        <v>9</v>
      </c>
      <c r="FY26" s="558">
        <v>9</v>
      </c>
      <c r="FZ26" s="558">
        <v>9</v>
      </c>
      <c r="GA26" s="558">
        <v>9</v>
      </c>
      <c r="GB26" s="558">
        <v>9</v>
      </c>
      <c r="GC26" s="558" t="s">
        <v>1596</v>
      </c>
      <c r="GD26" s="558" t="s">
        <v>1596</v>
      </c>
      <c r="GE26" s="558" t="s">
        <v>1596</v>
      </c>
      <c r="GF26" s="558" t="s">
        <v>1596</v>
      </c>
      <c r="GG26" s="558" t="s">
        <v>1596</v>
      </c>
      <c r="GH26" s="558" t="s">
        <v>1596</v>
      </c>
      <c r="GI26" s="558" t="s">
        <v>1596</v>
      </c>
      <c r="GJ26" s="558" t="s">
        <v>1596</v>
      </c>
      <c r="GK26" s="558" t="s">
        <v>1596</v>
      </c>
      <c r="GL26" s="558" t="s">
        <v>1596</v>
      </c>
      <c r="GM26" s="558" t="s">
        <v>1596</v>
      </c>
      <c r="GN26" s="558" t="s">
        <v>1596</v>
      </c>
      <c r="GO26" s="562" t="str">
        <f t="shared" si="1"/>
        <v/>
      </c>
      <c r="GP26" s="562" t="str">
        <f t="shared" si="2"/>
        <v/>
      </c>
      <c r="GQ26" s="562" t="str">
        <f t="shared" si="3"/>
        <v/>
      </c>
      <c r="GR26" s="562" t="str">
        <f t="shared" si="4"/>
        <v/>
      </c>
      <c r="GS26" s="562" t="str">
        <f t="shared" si="5"/>
        <v/>
      </c>
      <c r="GT26" s="562" t="str">
        <f t="shared" si="6"/>
        <v/>
      </c>
      <c r="GU26" s="562" t="str">
        <f t="shared" si="7"/>
        <v/>
      </c>
      <c r="GV26" s="562" t="str">
        <f t="shared" si="8"/>
        <v/>
      </c>
      <c r="GW26" s="562" t="str">
        <f t="shared" si="9"/>
        <v/>
      </c>
      <c r="GX26" s="562" t="str">
        <f t="shared" si="10"/>
        <v/>
      </c>
      <c r="GY26" s="562" t="str">
        <f t="shared" si="11"/>
        <v/>
      </c>
      <c r="GZ26" s="562" t="str">
        <f t="shared" si="12"/>
        <v/>
      </c>
      <c r="HA26" s="566" t="s">
        <v>1286</v>
      </c>
      <c r="HC26" s="349" t="s">
        <v>1030</v>
      </c>
      <c r="HD26" s="349" t="s">
        <v>1514</v>
      </c>
    </row>
    <row r="27" spans="2:212">
      <c r="B27" s="549">
        <v>23</v>
      </c>
      <c r="C27" s="549">
        <v>223</v>
      </c>
      <c r="D27" s="550" t="s">
        <v>1031</v>
      </c>
      <c r="E27" s="557" t="s">
        <v>13</v>
      </c>
      <c r="F27" s="555">
        <v>85</v>
      </c>
      <c r="G27" s="555">
        <v>75</v>
      </c>
      <c r="H27" s="555">
        <v>10</v>
      </c>
      <c r="I27" s="555">
        <v>0</v>
      </c>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2"/>
      <c r="AK27" s="553"/>
      <c r="AL27" s="553"/>
      <c r="AM27" s="554"/>
      <c r="AN27" s="555" t="s">
        <v>11</v>
      </c>
      <c r="AO27" s="558" t="s">
        <v>883</v>
      </c>
      <c r="AP27" s="558" t="s">
        <v>883</v>
      </c>
      <c r="AQ27" s="558" t="s">
        <v>883</v>
      </c>
      <c r="AR27" s="558" t="s">
        <v>883</v>
      </c>
      <c r="AS27" s="558" t="s">
        <v>883</v>
      </c>
      <c r="AT27" s="558" t="s">
        <v>883</v>
      </c>
      <c r="AU27" s="558" t="s">
        <v>883</v>
      </c>
      <c r="AV27" s="558" t="s">
        <v>883</v>
      </c>
      <c r="AW27" s="558" t="s">
        <v>883</v>
      </c>
      <c r="AX27" s="558" t="s">
        <v>883</v>
      </c>
      <c r="AY27" s="558" t="s">
        <v>883</v>
      </c>
      <c r="AZ27" s="558" t="s">
        <v>883</v>
      </c>
      <c r="BA27" s="558" t="s">
        <v>883</v>
      </c>
      <c r="BB27" s="558" t="s">
        <v>883</v>
      </c>
      <c r="BC27" s="558" t="s">
        <v>883</v>
      </c>
      <c r="BD27" s="558" t="s">
        <v>883</v>
      </c>
      <c r="BE27" s="558" t="s">
        <v>883</v>
      </c>
      <c r="BF27" s="558" t="s">
        <v>883</v>
      </c>
      <c r="BG27" s="558" t="s">
        <v>883</v>
      </c>
      <c r="BH27" s="558" t="s">
        <v>883</v>
      </c>
      <c r="BI27" s="558" t="s">
        <v>883</v>
      </c>
      <c r="BJ27" s="558" t="s">
        <v>883</v>
      </c>
      <c r="BK27" s="558" t="s">
        <v>883</v>
      </c>
      <c r="BL27" s="558" t="s">
        <v>883</v>
      </c>
      <c r="BM27" s="558">
        <v>0</v>
      </c>
      <c r="BN27" s="558">
        <v>0</v>
      </c>
      <c r="BO27" s="558">
        <v>0</v>
      </c>
      <c r="BP27" s="558">
        <v>0</v>
      </c>
      <c r="BQ27" s="558">
        <v>0</v>
      </c>
      <c r="BR27" s="558">
        <v>0</v>
      </c>
      <c r="BS27" s="558">
        <v>0</v>
      </c>
      <c r="BT27" s="558">
        <v>0</v>
      </c>
      <c r="BU27" s="558">
        <v>0</v>
      </c>
      <c r="BV27" s="558">
        <v>0</v>
      </c>
      <c r="BW27" s="558">
        <v>0</v>
      </c>
      <c r="BX27" s="558">
        <v>0</v>
      </c>
      <c r="BY27" s="558">
        <v>0</v>
      </c>
      <c r="BZ27" s="558">
        <v>0</v>
      </c>
      <c r="CA27" s="558">
        <v>0</v>
      </c>
      <c r="CB27" s="558">
        <v>0</v>
      </c>
      <c r="CC27" s="558">
        <v>0</v>
      </c>
      <c r="CD27" s="558">
        <v>0</v>
      </c>
      <c r="CE27" s="558">
        <v>0</v>
      </c>
      <c r="CF27" s="558">
        <v>0</v>
      </c>
      <c r="CG27" s="558">
        <v>0</v>
      </c>
      <c r="CH27" s="558">
        <v>0</v>
      </c>
      <c r="CI27" s="558">
        <v>0</v>
      </c>
      <c r="CJ27" s="558">
        <v>0</v>
      </c>
      <c r="CK27" s="558">
        <v>0</v>
      </c>
      <c r="CL27" s="558">
        <v>0</v>
      </c>
      <c r="CM27" s="558">
        <v>0</v>
      </c>
      <c r="CN27" s="558">
        <v>0</v>
      </c>
      <c r="CO27" s="558">
        <v>0</v>
      </c>
      <c r="CP27" s="558">
        <v>0</v>
      </c>
      <c r="CQ27" s="558">
        <v>0</v>
      </c>
      <c r="CR27" s="558">
        <v>0</v>
      </c>
      <c r="CS27" s="558">
        <v>0</v>
      </c>
      <c r="CT27" s="558">
        <v>0</v>
      </c>
      <c r="CU27" s="558">
        <v>0</v>
      </c>
      <c r="CV27" s="558">
        <v>0</v>
      </c>
      <c r="CW27" s="558" t="s">
        <v>13</v>
      </c>
      <c r="CX27" s="558">
        <v>2</v>
      </c>
      <c r="CY27" s="559"/>
      <c r="CZ27" s="559"/>
      <c r="DA27" s="559"/>
      <c r="DB27" s="559"/>
      <c r="DC27" s="559"/>
      <c r="DD27" s="559"/>
      <c r="DE27" s="559"/>
      <c r="DF27" s="559"/>
      <c r="DG27" s="559"/>
      <c r="DH27" s="559"/>
      <c r="DI27" s="559"/>
      <c r="DJ27" s="559"/>
      <c r="DK27" s="559"/>
      <c r="DL27" s="559"/>
      <c r="DM27" s="559"/>
      <c r="DN27" s="559"/>
      <c r="DO27" s="559"/>
      <c r="DP27" s="559"/>
      <c r="DQ27" s="559"/>
      <c r="DR27" s="559"/>
      <c r="DS27" s="559"/>
      <c r="DT27" s="559"/>
      <c r="DU27" s="559"/>
      <c r="DV27" s="559"/>
      <c r="DW27" s="559"/>
      <c r="DX27" s="559"/>
      <c r="DY27" s="559"/>
      <c r="DZ27" s="559"/>
      <c r="EA27" s="559"/>
      <c r="EB27" s="559"/>
      <c r="EC27" s="559"/>
      <c r="ED27" s="559"/>
      <c r="EE27" s="559"/>
      <c r="EF27" s="559"/>
      <c r="EG27" s="559"/>
      <c r="EH27" s="559"/>
      <c r="EI27" s="558" t="s">
        <v>1133</v>
      </c>
      <c r="EJ27" s="558" t="s">
        <v>1133</v>
      </c>
      <c r="EK27" s="558" t="s">
        <v>1133</v>
      </c>
      <c r="EL27" s="558" t="s">
        <v>1133</v>
      </c>
      <c r="EM27" s="558" t="s">
        <v>1133</v>
      </c>
      <c r="EN27" s="558" t="s">
        <v>1133</v>
      </c>
      <c r="EO27" s="558" t="s">
        <v>1133</v>
      </c>
      <c r="EP27" s="558" t="s">
        <v>1133</v>
      </c>
      <c r="EQ27" s="558" t="s">
        <v>1133</v>
      </c>
      <c r="ER27" s="558" t="s">
        <v>1133</v>
      </c>
      <c r="ES27" s="558" t="s">
        <v>1133</v>
      </c>
      <c r="ET27" s="558" t="s">
        <v>1133</v>
      </c>
      <c r="EU27" s="558">
        <v>4200</v>
      </c>
      <c r="EV27" s="558">
        <v>4070</v>
      </c>
      <c r="EW27" s="558" t="s">
        <v>1133</v>
      </c>
      <c r="EX27" s="558" t="s">
        <v>1133</v>
      </c>
      <c r="EY27" s="558" t="s">
        <v>1133</v>
      </c>
      <c r="EZ27" s="558" t="s">
        <v>1133</v>
      </c>
      <c r="FA27" s="558" t="s">
        <v>1133</v>
      </c>
      <c r="FB27" s="558" t="s">
        <v>1133</v>
      </c>
      <c r="FC27" s="558" t="s">
        <v>1133</v>
      </c>
      <c r="FD27" s="558" t="s">
        <v>1133</v>
      </c>
      <c r="FE27" s="558" t="s">
        <v>1133</v>
      </c>
      <c r="FF27" s="558" t="s">
        <v>1133</v>
      </c>
      <c r="FG27" s="558" t="s">
        <v>1133</v>
      </c>
      <c r="FH27" s="558" t="s">
        <v>1133</v>
      </c>
      <c r="FI27" s="558">
        <v>43</v>
      </c>
      <c r="FJ27" s="558">
        <v>43</v>
      </c>
      <c r="FK27" s="558">
        <v>43</v>
      </c>
      <c r="FL27" s="558">
        <v>43</v>
      </c>
      <c r="FM27" s="558">
        <v>43</v>
      </c>
      <c r="FN27" s="558">
        <v>43</v>
      </c>
      <c r="FO27" s="558">
        <v>43</v>
      </c>
      <c r="FP27" s="558">
        <v>43</v>
      </c>
      <c r="FQ27" s="558">
        <v>43</v>
      </c>
      <c r="FR27" s="558">
        <v>43</v>
      </c>
      <c r="FS27" s="558">
        <v>8</v>
      </c>
      <c r="FT27" s="558">
        <v>8</v>
      </c>
      <c r="FU27" s="558">
        <v>8</v>
      </c>
      <c r="FV27" s="558">
        <v>8</v>
      </c>
      <c r="FW27" s="558">
        <v>8</v>
      </c>
      <c r="FX27" s="558">
        <v>8</v>
      </c>
      <c r="FY27" s="558">
        <v>8</v>
      </c>
      <c r="FZ27" s="558">
        <v>8</v>
      </c>
      <c r="GA27" s="558">
        <v>8</v>
      </c>
      <c r="GB27" s="558">
        <v>8</v>
      </c>
      <c r="GC27" s="558" t="s">
        <v>1596</v>
      </c>
      <c r="GD27" s="558" t="s">
        <v>1596</v>
      </c>
      <c r="GE27" s="558" t="s">
        <v>1596</v>
      </c>
      <c r="GF27" s="558" t="s">
        <v>1596</v>
      </c>
      <c r="GG27" s="558" t="s">
        <v>1596</v>
      </c>
      <c r="GH27" s="558" t="s">
        <v>1596</v>
      </c>
      <c r="GI27" s="558" t="s">
        <v>1596</v>
      </c>
      <c r="GJ27" s="558" t="s">
        <v>1596</v>
      </c>
      <c r="GK27" s="558" t="s">
        <v>1596</v>
      </c>
      <c r="GL27" s="558" t="s">
        <v>1596</v>
      </c>
      <c r="GM27" s="558" t="s">
        <v>1596</v>
      </c>
      <c r="GN27" s="558" t="s">
        <v>1596</v>
      </c>
      <c r="GO27" s="562" t="str">
        <f t="shared" si="1"/>
        <v/>
      </c>
      <c r="GP27" s="562" t="str">
        <f t="shared" si="2"/>
        <v/>
      </c>
      <c r="GQ27" s="562" t="str">
        <f t="shared" si="3"/>
        <v/>
      </c>
      <c r="GR27" s="562" t="str">
        <f t="shared" si="4"/>
        <v/>
      </c>
      <c r="GS27" s="562" t="str">
        <f t="shared" si="5"/>
        <v/>
      </c>
      <c r="GT27" s="562" t="str">
        <f t="shared" si="6"/>
        <v/>
      </c>
      <c r="GU27" s="562" t="str">
        <f t="shared" si="7"/>
        <v/>
      </c>
      <c r="GV27" s="562" t="str">
        <f t="shared" si="8"/>
        <v/>
      </c>
      <c r="GW27" s="562" t="str">
        <f t="shared" si="9"/>
        <v/>
      </c>
      <c r="GX27" s="562" t="str">
        <f t="shared" si="10"/>
        <v/>
      </c>
      <c r="GY27" s="562" t="str">
        <f t="shared" si="11"/>
        <v/>
      </c>
      <c r="GZ27" s="562" t="str">
        <f t="shared" si="12"/>
        <v/>
      </c>
      <c r="HA27" s="566" t="s">
        <v>1286</v>
      </c>
      <c r="HC27" s="349" t="s">
        <v>1031</v>
      </c>
      <c r="HD27" s="349" t="s">
        <v>1514</v>
      </c>
    </row>
    <row r="28" spans="2:212">
      <c r="B28" s="549">
        <v>24</v>
      </c>
      <c r="C28" s="549">
        <v>224</v>
      </c>
      <c r="D28" s="550" t="s">
        <v>1033</v>
      </c>
      <c r="E28" s="557" t="s">
        <v>13</v>
      </c>
      <c r="F28" s="555">
        <v>200</v>
      </c>
      <c r="G28" s="555">
        <v>170</v>
      </c>
      <c r="H28" s="555">
        <v>30</v>
      </c>
      <c r="I28" s="555">
        <v>0</v>
      </c>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2"/>
      <c r="AK28" s="553"/>
      <c r="AL28" s="553"/>
      <c r="AM28" s="554"/>
      <c r="AN28" s="555" t="s">
        <v>11</v>
      </c>
      <c r="AO28" s="558" t="s">
        <v>883</v>
      </c>
      <c r="AP28" s="558" t="s">
        <v>883</v>
      </c>
      <c r="AQ28" s="558" t="s">
        <v>883</v>
      </c>
      <c r="AR28" s="558" t="s">
        <v>883</v>
      </c>
      <c r="AS28" s="558" t="s">
        <v>883</v>
      </c>
      <c r="AT28" s="558" t="s">
        <v>883</v>
      </c>
      <c r="AU28" s="558" t="s">
        <v>883</v>
      </c>
      <c r="AV28" s="558" t="s">
        <v>883</v>
      </c>
      <c r="AW28" s="558" t="s">
        <v>883</v>
      </c>
      <c r="AX28" s="558" t="s">
        <v>883</v>
      </c>
      <c r="AY28" s="558" t="s">
        <v>883</v>
      </c>
      <c r="AZ28" s="558" t="s">
        <v>883</v>
      </c>
      <c r="BA28" s="558" t="s">
        <v>883</v>
      </c>
      <c r="BB28" s="558" t="s">
        <v>883</v>
      </c>
      <c r="BC28" s="558" t="s">
        <v>883</v>
      </c>
      <c r="BD28" s="558" t="s">
        <v>883</v>
      </c>
      <c r="BE28" s="558" t="s">
        <v>883</v>
      </c>
      <c r="BF28" s="558" t="s">
        <v>883</v>
      </c>
      <c r="BG28" s="558" t="s">
        <v>883</v>
      </c>
      <c r="BH28" s="558" t="s">
        <v>883</v>
      </c>
      <c r="BI28" s="558" t="s">
        <v>883</v>
      </c>
      <c r="BJ28" s="558" t="s">
        <v>883</v>
      </c>
      <c r="BK28" s="558" t="s">
        <v>883</v>
      </c>
      <c r="BL28" s="558" t="s">
        <v>883</v>
      </c>
      <c r="BM28" s="558">
        <v>0</v>
      </c>
      <c r="BN28" s="558">
        <v>0</v>
      </c>
      <c r="BO28" s="558">
        <v>0</v>
      </c>
      <c r="BP28" s="558">
        <v>0</v>
      </c>
      <c r="BQ28" s="558">
        <v>0</v>
      </c>
      <c r="BR28" s="558">
        <v>0</v>
      </c>
      <c r="BS28" s="558">
        <v>0</v>
      </c>
      <c r="BT28" s="558">
        <v>0</v>
      </c>
      <c r="BU28" s="558">
        <v>0</v>
      </c>
      <c r="BV28" s="558">
        <v>0</v>
      </c>
      <c r="BW28" s="558">
        <v>0</v>
      </c>
      <c r="BX28" s="558">
        <v>0</v>
      </c>
      <c r="BY28" s="558">
        <v>0</v>
      </c>
      <c r="BZ28" s="558">
        <v>0</v>
      </c>
      <c r="CA28" s="558">
        <v>0</v>
      </c>
      <c r="CB28" s="558">
        <v>0</v>
      </c>
      <c r="CC28" s="558">
        <v>0</v>
      </c>
      <c r="CD28" s="558">
        <v>0</v>
      </c>
      <c r="CE28" s="558">
        <v>0</v>
      </c>
      <c r="CF28" s="558">
        <v>0</v>
      </c>
      <c r="CG28" s="558">
        <v>0</v>
      </c>
      <c r="CH28" s="558">
        <v>0</v>
      </c>
      <c r="CI28" s="558">
        <v>0</v>
      </c>
      <c r="CJ28" s="558">
        <v>0</v>
      </c>
      <c r="CK28" s="558">
        <v>0</v>
      </c>
      <c r="CL28" s="558">
        <v>0</v>
      </c>
      <c r="CM28" s="558">
        <v>0</v>
      </c>
      <c r="CN28" s="558">
        <v>0</v>
      </c>
      <c r="CO28" s="558">
        <v>0</v>
      </c>
      <c r="CP28" s="558">
        <v>0</v>
      </c>
      <c r="CQ28" s="558">
        <v>0</v>
      </c>
      <c r="CR28" s="558">
        <v>0</v>
      </c>
      <c r="CS28" s="558">
        <v>0</v>
      </c>
      <c r="CT28" s="558">
        <v>0</v>
      </c>
      <c r="CU28" s="558">
        <v>0</v>
      </c>
      <c r="CV28" s="558">
        <v>0</v>
      </c>
      <c r="CW28" s="558" t="s">
        <v>13</v>
      </c>
      <c r="CX28" s="558">
        <v>0</v>
      </c>
      <c r="CY28" s="559"/>
      <c r="CZ28" s="559"/>
      <c r="DA28" s="559"/>
      <c r="DB28" s="559"/>
      <c r="DC28" s="559"/>
      <c r="DD28" s="559"/>
      <c r="DE28" s="559"/>
      <c r="DF28" s="559"/>
      <c r="DG28" s="559"/>
      <c r="DH28" s="559"/>
      <c r="DI28" s="559"/>
      <c r="DJ28" s="559"/>
      <c r="DK28" s="559"/>
      <c r="DL28" s="559"/>
      <c r="DM28" s="559"/>
      <c r="DN28" s="559"/>
      <c r="DO28" s="559"/>
      <c r="DP28" s="559"/>
      <c r="DQ28" s="559"/>
      <c r="DR28" s="559"/>
      <c r="DS28" s="559"/>
      <c r="DT28" s="559"/>
      <c r="DU28" s="559"/>
      <c r="DV28" s="559"/>
      <c r="DW28" s="559"/>
      <c r="DX28" s="559"/>
      <c r="DY28" s="559"/>
      <c r="DZ28" s="559"/>
      <c r="EA28" s="559"/>
      <c r="EB28" s="559"/>
      <c r="EC28" s="559"/>
      <c r="ED28" s="559"/>
      <c r="EE28" s="559"/>
      <c r="EF28" s="559"/>
      <c r="EG28" s="559"/>
      <c r="EH28" s="559"/>
      <c r="EI28" s="558" t="s">
        <v>1133</v>
      </c>
      <c r="EJ28" s="558" t="s">
        <v>1133</v>
      </c>
      <c r="EK28" s="558" t="s">
        <v>1133</v>
      </c>
      <c r="EL28" s="558" t="s">
        <v>1133</v>
      </c>
      <c r="EM28" s="558" t="s">
        <v>1133</v>
      </c>
      <c r="EN28" s="558" t="s">
        <v>1133</v>
      </c>
      <c r="EO28" s="558" t="s">
        <v>1133</v>
      </c>
      <c r="EP28" s="558" t="s">
        <v>1133</v>
      </c>
      <c r="EQ28" s="558" t="s">
        <v>1133</v>
      </c>
      <c r="ER28" s="558" t="s">
        <v>1133</v>
      </c>
      <c r="ES28" s="558" t="s">
        <v>1133</v>
      </c>
      <c r="ET28" s="558" t="s">
        <v>1133</v>
      </c>
      <c r="EU28" s="558">
        <v>4200</v>
      </c>
      <c r="EV28" s="558">
        <v>4070</v>
      </c>
      <c r="EW28" s="558" t="s">
        <v>1592</v>
      </c>
      <c r="EX28" s="558" t="s">
        <v>1592</v>
      </c>
      <c r="EY28" s="558" t="s">
        <v>1592</v>
      </c>
      <c r="EZ28" s="558" t="s">
        <v>1592</v>
      </c>
      <c r="FA28" s="558" t="s">
        <v>1592</v>
      </c>
      <c r="FB28" s="558" t="s">
        <v>1592</v>
      </c>
      <c r="FC28" s="558" t="s">
        <v>1592</v>
      </c>
      <c r="FD28" s="558" t="s">
        <v>1592</v>
      </c>
      <c r="FE28" s="558" t="s">
        <v>1592</v>
      </c>
      <c r="FF28" s="558" t="s">
        <v>1592</v>
      </c>
      <c r="FG28" s="558" t="s">
        <v>1592</v>
      </c>
      <c r="FH28" s="558" t="s">
        <v>1592</v>
      </c>
      <c r="FI28" s="558">
        <v>66</v>
      </c>
      <c r="FJ28" s="558">
        <v>63</v>
      </c>
      <c r="FK28" s="558">
        <v>64</v>
      </c>
      <c r="FL28" s="558">
        <v>64</v>
      </c>
      <c r="FM28" s="558">
        <v>64</v>
      </c>
      <c r="FN28" s="558">
        <v>64</v>
      </c>
      <c r="FO28" s="558">
        <v>65</v>
      </c>
      <c r="FP28" s="558">
        <v>66</v>
      </c>
      <c r="FQ28" s="558">
        <v>66</v>
      </c>
      <c r="FR28" s="558">
        <v>66</v>
      </c>
      <c r="FS28" s="558">
        <v>22</v>
      </c>
      <c r="FT28" s="558">
        <v>25</v>
      </c>
      <c r="FU28" s="558">
        <v>25</v>
      </c>
      <c r="FV28" s="558">
        <v>25</v>
      </c>
      <c r="FW28" s="558">
        <v>25</v>
      </c>
      <c r="FX28" s="558">
        <v>25</v>
      </c>
      <c r="FY28" s="558">
        <v>25</v>
      </c>
      <c r="FZ28" s="558">
        <v>25</v>
      </c>
      <c r="GA28" s="558">
        <v>25</v>
      </c>
      <c r="GB28" s="558">
        <v>25</v>
      </c>
      <c r="GC28" s="558" t="s">
        <v>883</v>
      </c>
      <c r="GD28" s="558" t="s">
        <v>883</v>
      </c>
      <c r="GE28" s="558" t="s">
        <v>883</v>
      </c>
      <c r="GF28" s="558" t="s">
        <v>883</v>
      </c>
      <c r="GG28" s="558" t="s">
        <v>883</v>
      </c>
      <c r="GH28" s="558" t="s">
        <v>883</v>
      </c>
      <c r="GI28" s="558" t="s">
        <v>883</v>
      </c>
      <c r="GJ28" s="558" t="s">
        <v>883</v>
      </c>
      <c r="GK28" s="558" t="s">
        <v>883</v>
      </c>
      <c r="GL28" s="558" t="s">
        <v>883</v>
      </c>
      <c r="GM28" s="558" t="s">
        <v>883</v>
      </c>
      <c r="GN28" s="558" t="s">
        <v>883</v>
      </c>
      <c r="GO28" s="562" t="str">
        <f t="shared" si="1"/>
        <v/>
      </c>
      <c r="GP28" s="562" t="str">
        <f t="shared" si="2"/>
        <v/>
      </c>
      <c r="GQ28" s="562" t="str">
        <f t="shared" si="3"/>
        <v/>
      </c>
      <c r="GR28" s="562" t="str">
        <f t="shared" si="4"/>
        <v/>
      </c>
      <c r="GS28" s="562" t="str">
        <f t="shared" si="5"/>
        <v/>
      </c>
      <c r="GT28" s="562" t="str">
        <f t="shared" si="6"/>
        <v/>
      </c>
      <c r="GU28" s="562" t="str">
        <f t="shared" si="7"/>
        <v/>
      </c>
      <c r="GV28" s="562" t="str">
        <f t="shared" si="8"/>
        <v/>
      </c>
      <c r="GW28" s="562" t="str">
        <f t="shared" si="9"/>
        <v/>
      </c>
      <c r="GX28" s="562" t="str">
        <f t="shared" si="10"/>
        <v/>
      </c>
      <c r="GY28" s="562" t="str">
        <f t="shared" si="11"/>
        <v/>
      </c>
      <c r="GZ28" s="562" t="str">
        <f t="shared" si="12"/>
        <v/>
      </c>
      <c r="HA28" s="567" t="s">
        <v>1286</v>
      </c>
      <c r="HC28" s="349" t="s">
        <v>1033</v>
      </c>
      <c r="HD28" s="349" t="s">
        <v>1514</v>
      </c>
    </row>
    <row r="29" spans="2:212">
      <c r="B29" s="549">
        <v>25</v>
      </c>
      <c r="C29" s="549">
        <v>225</v>
      </c>
      <c r="D29" s="550" t="s">
        <v>1035</v>
      </c>
      <c r="E29" s="557" t="s">
        <v>13</v>
      </c>
      <c r="F29" s="555">
        <v>110</v>
      </c>
      <c r="G29" s="555">
        <v>60</v>
      </c>
      <c r="H29" s="555">
        <v>30</v>
      </c>
      <c r="I29" s="555">
        <v>20</v>
      </c>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2"/>
      <c r="AK29" s="553"/>
      <c r="AL29" s="553"/>
      <c r="AM29" s="554"/>
      <c r="AN29" s="555" t="s">
        <v>11</v>
      </c>
      <c r="AO29" s="558" t="s">
        <v>883</v>
      </c>
      <c r="AP29" s="558" t="s">
        <v>883</v>
      </c>
      <c r="AQ29" s="558" t="s">
        <v>883</v>
      </c>
      <c r="AR29" s="558" t="s">
        <v>883</v>
      </c>
      <c r="AS29" s="558" t="s">
        <v>883</v>
      </c>
      <c r="AT29" s="558" t="s">
        <v>883</v>
      </c>
      <c r="AU29" s="558" t="s">
        <v>883</v>
      </c>
      <c r="AV29" s="558" t="s">
        <v>883</v>
      </c>
      <c r="AW29" s="558" t="s">
        <v>883</v>
      </c>
      <c r="AX29" s="558" t="s">
        <v>883</v>
      </c>
      <c r="AY29" s="558" t="s">
        <v>883</v>
      </c>
      <c r="AZ29" s="558" t="s">
        <v>883</v>
      </c>
      <c r="BA29" s="558" t="s">
        <v>883</v>
      </c>
      <c r="BB29" s="558" t="s">
        <v>883</v>
      </c>
      <c r="BC29" s="558" t="s">
        <v>883</v>
      </c>
      <c r="BD29" s="558" t="s">
        <v>883</v>
      </c>
      <c r="BE29" s="558" t="s">
        <v>883</v>
      </c>
      <c r="BF29" s="558" t="s">
        <v>883</v>
      </c>
      <c r="BG29" s="558" t="s">
        <v>883</v>
      </c>
      <c r="BH29" s="558" t="s">
        <v>883</v>
      </c>
      <c r="BI29" s="558" t="s">
        <v>883</v>
      </c>
      <c r="BJ29" s="558" t="s">
        <v>883</v>
      </c>
      <c r="BK29" s="558" t="s">
        <v>883</v>
      </c>
      <c r="BL29" s="558" t="s">
        <v>883</v>
      </c>
      <c r="BM29" s="558">
        <v>0</v>
      </c>
      <c r="BN29" s="558">
        <v>0</v>
      </c>
      <c r="BO29" s="558">
        <v>0</v>
      </c>
      <c r="BP29" s="558">
        <v>0</v>
      </c>
      <c r="BQ29" s="558">
        <v>0</v>
      </c>
      <c r="BR29" s="558">
        <v>0</v>
      </c>
      <c r="BS29" s="558">
        <v>0</v>
      </c>
      <c r="BT29" s="558">
        <v>0</v>
      </c>
      <c r="BU29" s="558">
        <v>0</v>
      </c>
      <c r="BV29" s="558">
        <v>0</v>
      </c>
      <c r="BW29" s="558">
        <v>0</v>
      </c>
      <c r="BX29" s="558">
        <v>0</v>
      </c>
      <c r="BY29" s="558">
        <v>0</v>
      </c>
      <c r="BZ29" s="558">
        <v>0</v>
      </c>
      <c r="CA29" s="558">
        <v>0</v>
      </c>
      <c r="CB29" s="558">
        <v>0</v>
      </c>
      <c r="CC29" s="558">
        <v>0</v>
      </c>
      <c r="CD29" s="558">
        <v>0</v>
      </c>
      <c r="CE29" s="558">
        <v>0</v>
      </c>
      <c r="CF29" s="558">
        <v>0</v>
      </c>
      <c r="CG29" s="558">
        <v>0</v>
      </c>
      <c r="CH29" s="558">
        <v>0</v>
      </c>
      <c r="CI29" s="558">
        <v>0</v>
      </c>
      <c r="CJ29" s="558">
        <v>0</v>
      </c>
      <c r="CK29" s="558">
        <v>0</v>
      </c>
      <c r="CL29" s="558">
        <v>0</v>
      </c>
      <c r="CM29" s="558">
        <v>0</v>
      </c>
      <c r="CN29" s="558">
        <v>0</v>
      </c>
      <c r="CO29" s="558">
        <v>0</v>
      </c>
      <c r="CP29" s="558">
        <v>0</v>
      </c>
      <c r="CQ29" s="558">
        <v>0</v>
      </c>
      <c r="CR29" s="558">
        <v>0</v>
      </c>
      <c r="CS29" s="558">
        <v>0</v>
      </c>
      <c r="CT29" s="558">
        <v>0</v>
      </c>
      <c r="CU29" s="558">
        <v>0</v>
      </c>
      <c r="CV29" s="558">
        <v>0</v>
      </c>
      <c r="CW29" s="558" t="s">
        <v>13</v>
      </c>
      <c r="CX29" s="558">
        <v>0</v>
      </c>
      <c r="CY29" s="559"/>
      <c r="CZ29" s="559"/>
      <c r="DA29" s="559"/>
      <c r="DB29" s="559"/>
      <c r="DC29" s="559"/>
      <c r="DD29" s="559"/>
      <c r="DE29" s="559"/>
      <c r="DF29" s="559"/>
      <c r="DG29" s="559"/>
      <c r="DH29" s="559"/>
      <c r="DI29" s="559"/>
      <c r="DJ29" s="559"/>
      <c r="DK29" s="559"/>
      <c r="DL29" s="559"/>
      <c r="DM29" s="559"/>
      <c r="DN29" s="559"/>
      <c r="DO29" s="559"/>
      <c r="DP29" s="559"/>
      <c r="DQ29" s="559"/>
      <c r="DR29" s="559"/>
      <c r="DS29" s="559"/>
      <c r="DT29" s="559"/>
      <c r="DU29" s="559"/>
      <c r="DV29" s="559"/>
      <c r="DW29" s="559"/>
      <c r="DX29" s="559"/>
      <c r="DY29" s="559"/>
      <c r="DZ29" s="559"/>
      <c r="EA29" s="559"/>
      <c r="EB29" s="559"/>
      <c r="EC29" s="559"/>
      <c r="ED29" s="559"/>
      <c r="EE29" s="559"/>
      <c r="EF29" s="559"/>
      <c r="EG29" s="559"/>
      <c r="EH29" s="559"/>
      <c r="EI29" s="558" t="s">
        <v>1133</v>
      </c>
      <c r="EJ29" s="558" t="s">
        <v>1133</v>
      </c>
      <c r="EK29" s="558" t="s">
        <v>1133</v>
      </c>
      <c r="EL29" s="558" t="s">
        <v>1133</v>
      </c>
      <c r="EM29" s="558" t="s">
        <v>1133</v>
      </c>
      <c r="EN29" s="558" t="s">
        <v>1133</v>
      </c>
      <c r="EO29" s="558" t="s">
        <v>1133</v>
      </c>
      <c r="EP29" s="558" t="s">
        <v>1133</v>
      </c>
      <c r="EQ29" s="558" t="s">
        <v>1133</v>
      </c>
      <c r="ER29" s="558" t="s">
        <v>1133</v>
      </c>
      <c r="ES29" s="558" t="s">
        <v>1133</v>
      </c>
      <c r="ET29" s="558" t="s">
        <v>1133</v>
      </c>
      <c r="EU29" s="558">
        <v>4200</v>
      </c>
      <c r="EV29" s="558">
        <v>4070</v>
      </c>
      <c r="EW29" s="558" t="s">
        <v>1592</v>
      </c>
      <c r="EX29" s="558" t="s">
        <v>1592</v>
      </c>
      <c r="EY29" s="558" t="s">
        <v>1592</v>
      </c>
      <c r="EZ29" s="558" t="s">
        <v>1592</v>
      </c>
      <c r="FA29" s="558" t="s">
        <v>1592</v>
      </c>
      <c r="FB29" s="558" t="s">
        <v>1592</v>
      </c>
      <c r="FC29" s="558" t="s">
        <v>1592</v>
      </c>
      <c r="FD29" s="558" t="s">
        <v>1592</v>
      </c>
      <c r="FE29" s="558" t="s">
        <v>1592</v>
      </c>
      <c r="FF29" s="558" t="s">
        <v>1592</v>
      </c>
      <c r="FG29" s="558" t="s">
        <v>1592</v>
      </c>
      <c r="FH29" s="558" t="s">
        <v>1592</v>
      </c>
      <c r="FI29" s="558">
        <v>30</v>
      </c>
      <c r="FJ29" s="558">
        <v>30</v>
      </c>
      <c r="FK29" s="558">
        <v>30</v>
      </c>
      <c r="FL29" s="558">
        <v>30</v>
      </c>
      <c r="FM29" s="558">
        <v>30</v>
      </c>
      <c r="FN29" s="558">
        <v>30</v>
      </c>
      <c r="FO29" s="558">
        <v>30</v>
      </c>
      <c r="FP29" s="558">
        <v>30</v>
      </c>
      <c r="FQ29" s="558">
        <v>30</v>
      </c>
      <c r="FR29" s="558">
        <v>30</v>
      </c>
      <c r="FS29" s="558">
        <v>21</v>
      </c>
      <c r="FT29" s="558">
        <v>21</v>
      </c>
      <c r="FU29" s="558">
        <v>21</v>
      </c>
      <c r="FV29" s="558">
        <v>21</v>
      </c>
      <c r="FW29" s="558">
        <v>21</v>
      </c>
      <c r="FX29" s="558">
        <v>21</v>
      </c>
      <c r="FY29" s="558">
        <v>21</v>
      </c>
      <c r="FZ29" s="558">
        <v>21</v>
      </c>
      <c r="GA29" s="558">
        <v>21</v>
      </c>
      <c r="GB29" s="558">
        <v>21</v>
      </c>
      <c r="GC29" s="558" t="s">
        <v>1596</v>
      </c>
      <c r="GD29" s="558" t="s">
        <v>1596</v>
      </c>
      <c r="GE29" s="558" t="s">
        <v>1596</v>
      </c>
      <c r="GF29" s="558" t="s">
        <v>1596</v>
      </c>
      <c r="GG29" s="558" t="s">
        <v>1596</v>
      </c>
      <c r="GH29" s="558" t="s">
        <v>1596</v>
      </c>
      <c r="GI29" s="558" t="s">
        <v>1596</v>
      </c>
      <c r="GJ29" s="558" t="s">
        <v>1596</v>
      </c>
      <c r="GK29" s="558" t="s">
        <v>1596</v>
      </c>
      <c r="GL29" s="558" t="s">
        <v>1596</v>
      </c>
      <c r="GM29" s="558" t="s">
        <v>1596</v>
      </c>
      <c r="GN29" s="558" t="s">
        <v>1596</v>
      </c>
      <c r="GO29" s="562" t="str">
        <f t="shared" si="1"/>
        <v/>
      </c>
      <c r="GP29" s="562" t="str">
        <f t="shared" si="2"/>
        <v/>
      </c>
      <c r="GQ29" s="562" t="str">
        <f t="shared" si="3"/>
        <v/>
      </c>
      <c r="GR29" s="562" t="str">
        <f t="shared" si="4"/>
        <v/>
      </c>
      <c r="GS29" s="562" t="str">
        <f t="shared" si="5"/>
        <v/>
      </c>
      <c r="GT29" s="562" t="str">
        <f t="shared" si="6"/>
        <v/>
      </c>
      <c r="GU29" s="562" t="str">
        <f t="shared" si="7"/>
        <v/>
      </c>
      <c r="GV29" s="562" t="str">
        <f t="shared" si="8"/>
        <v/>
      </c>
      <c r="GW29" s="562" t="str">
        <f t="shared" si="9"/>
        <v/>
      </c>
      <c r="GX29" s="562" t="str">
        <f t="shared" si="10"/>
        <v/>
      </c>
      <c r="GY29" s="562" t="str">
        <f t="shared" si="11"/>
        <v/>
      </c>
      <c r="GZ29" s="562" t="str">
        <f t="shared" si="12"/>
        <v/>
      </c>
      <c r="HA29" s="566" t="s">
        <v>1286</v>
      </c>
      <c r="HC29" s="349" t="s">
        <v>1035</v>
      </c>
      <c r="HD29" s="349" t="s">
        <v>1514</v>
      </c>
    </row>
    <row r="30" spans="2:212">
      <c r="B30" s="549">
        <v>26</v>
      </c>
      <c r="C30" s="549">
        <v>226</v>
      </c>
      <c r="D30" s="550" t="s">
        <v>1036</v>
      </c>
      <c r="E30" s="557" t="s">
        <v>13</v>
      </c>
      <c r="F30" s="555">
        <v>35</v>
      </c>
      <c r="G30" s="555">
        <v>1</v>
      </c>
      <c r="H30" s="555">
        <v>3</v>
      </c>
      <c r="I30" s="555">
        <v>31</v>
      </c>
      <c r="J30" s="551"/>
      <c r="K30" s="551"/>
      <c r="L30" s="551"/>
      <c r="M30" s="551"/>
      <c r="N30" s="551"/>
      <c r="O30" s="551"/>
      <c r="P30" s="551"/>
      <c r="Q30" s="551"/>
      <c r="R30" s="551"/>
      <c r="S30" s="551"/>
      <c r="T30" s="551"/>
      <c r="U30" s="551"/>
      <c r="V30" s="551"/>
      <c r="W30" s="551"/>
      <c r="X30" s="551"/>
      <c r="Y30" s="551"/>
      <c r="Z30" s="551"/>
      <c r="AA30" s="551"/>
      <c r="AB30" s="551"/>
      <c r="AC30" s="551"/>
      <c r="AD30" s="551"/>
      <c r="AE30" s="551"/>
      <c r="AF30" s="551"/>
      <c r="AG30" s="551"/>
      <c r="AH30" s="551"/>
      <c r="AI30" s="551"/>
      <c r="AJ30" s="552"/>
      <c r="AK30" s="553"/>
      <c r="AL30" s="553"/>
      <c r="AM30" s="554"/>
      <c r="AN30" s="555" t="s">
        <v>11</v>
      </c>
      <c r="AO30" s="558" t="s">
        <v>883</v>
      </c>
      <c r="AP30" s="558" t="s">
        <v>883</v>
      </c>
      <c r="AQ30" s="558" t="s">
        <v>883</v>
      </c>
      <c r="AR30" s="558" t="s">
        <v>883</v>
      </c>
      <c r="AS30" s="558" t="s">
        <v>883</v>
      </c>
      <c r="AT30" s="558" t="s">
        <v>883</v>
      </c>
      <c r="AU30" s="558" t="s">
        <v>883</v>
      </c>
      <c r="AV30" s="558" t="s">
        <v>883</v>
      </c>
      <c r="AW30" s="558" t="s">
        <v>883</v>
      </c>
      <c r="AX30" s="558" t="s">
        <v>883</v>
      </c>
      <c r="AY30" s="558" t="s">
        <v>883</v>
      </c>
      <c r="AZ30" s="558" t="s">
        <v>883</v>
      </c>
      <c r="BA30" s="558" t="s">
        <v>883</v>
      </c>
      <c r="BB30" s="558" t="s">
        <v>883</v>
      </c>
      <c r="BC30" s="558" t="s">
        <v>883</v>
      </c>
      <c r="BD30" s="558" t="s">
        <v>883</v>
      </c>
      <c r="BE30" s="558" t="s">
        <v>883</v>
      </c>
      <c r="BF30" s="558" t="s">
        <v>883</v>
      </c>
      <c r="BG30" s="558" t="s">
        <v>883</v>
      </c>
      <c r="BH30" s="558" t="s">
        <v>883</v>
      </c>
      <c r="BI30" s="558" t="s">
        <v>883</v>
      </c>
      <c r="BJ30" s="558" t="s">
        <v>883</v>
      </c>
      <c r="BK30" s="558" t="s">
        <v>883</v>
      </c>
      <c r="BL30" s="558" t="s">
        <v>883</v>
      </c>
      <c r="BM30" s="558">
        <v>0</v>
      </c>
      <c r="BN30" s="558">
        <v>0</v>
      </c>
      <c r="BO30" s="558">
        <v>0</v>
      </c>
      <c r="BP30" s="558">
        <v>0</v>
      </c>
      <c r="BQ30" s="558">
        <v>0</v>
      </c>
      <c r="BR30" s="558">
        <v>0</v>
      </c>
      <c r="BS30" s="558">
        <v>0</v>
      </c>
      <c r="BT30" s="558">
        <v>0</v>
      </c>
      <c r="BU30" s="558">
        <v>0</v>
      </c>
      <c r="BV30" s="558">
        <v>0</v>
      </c>
      <c r="BW30" s="558">
        <v>0</v>
      </c>
      <c r="BX30" s="558">
        <v>0</v>
      </c>
      <c r="BY30" s="558">
        <v>0</v>
      </c>
      <c r="BZ30" s="558">
        <v>0</v>
      </c>
      <c r="CA30" s="558">
        <v>0</v>
      </c>
      <c r="CB30" s="558">
        <v>0</v>
      </c>
      <c r="CC30" s="558">
        <v>0</v>
      </c>
      <c r="CD30" s="558">
        <v>0</v>
      </c>
      <c r="CE30" s="558">
        <v>0</v>
      </c>
      <c r="CF30" s="558">
        <v>0</v>
      </c>
      <c r="CG30" s="558">
        <v>0</v>
      </c>
      <c r="CH30" s="558">
        <v>0</v>
      </c>
      <c r="CI30" s="558">
        <v>0</v>
      </c>
      <c r="CJ30" s="558">
        <v>0</v>
      </c>
      <c r="CK30" s="558">
        <v>0</v>
      </c>
      <c r="CL30" s="558">
        <v>0</v>
      </c>
      <c r="CM30" s="558">
        <v>0</v>
      </c>
      <c r="CN30" s="558">
        <v>0</v>
      </c>
      <c r="CO30" s="558">
        <v>0</v>
      </c>
      <c r="CP30" s="558">
        <v>0</v>
      </c>
      <c r="CQ30" s="558">
        <v>0</v>
      </c>
      <c r="CR30" s="558">
        <v>0</v>
      </c>
      <c r="CS30" s="558">
        <v>0</v>
      </c>
      <c r="CT30" s="558">
        <v>0</v>
      </c>
      <c r="CU30" s="558">
        <v>0</v>
      </c>
      <c r="CV30" s="558">
        <v>0</v>
      </c>
      <c r="CW30" s="558" t="s">
        <v>13</v>
      </c>
      <c r="CX30" s="558">
        <v>0</v>
      </c>
      <c r="CY30" s="559"/>
      <c r="CZ30" s="559"/>
      <c r="DA30" s="559"/>
      <c r="DB30" s="559"/>
      <c r="DC30" s="559"/>
      <c r="DD30" s="559"/>
      <c r="DE30" s="559"/>
      <c r="DF30" s="559"/>
      <c r="DG30" s="559"/>
      <c r="DH30" s="559"/>
      <c r="DI30" s="559"/>
      <c r="DJ30" s="559"/>
      <c r="DK30" s="559"/>
      <c r="DL30" s="559"/>
      <c r="DM30" s="559"/>
      <c r="DN30" s="559"/>
      <c r="DO30" s="559"/>
      <c r="DP30" s="559"/>
      <c r="DQ30" s="559"/>
      <c r="DR30" s="559"/>
      <c r="DS30" s="559"/>
      <c r="DT30" s="559"/>
      <c r="DU30" s="559"/>
      <c r="DV30" s="559"/>
      <c r="DW30" s="559"/>
      <c r="DX30" s="559"/>
      <c r="DY30" s="559"/>
      <c r="DZ30" s="559"/>
      <c r="EA30" s="559"/>
      <c r="EB30" s="559"/>
      <c r="EC30" s="559"/>
      <c r="ED30" s="559"/>
      <c r="EE30" s="559"/>
      <c r="EF30" s="559"/>
      <c r="EG30" s="559"/>
      <c r="EH30" s="559"/>
      <c r="EI30" s="558" t="s">
        <v>1133</v>
      </c>
      <c r="EJ30" s="558" t="s">
        <v>1133</v>
      </c>
      <c r="EK30" s="558" t="s">
        <v>1133</v>
      </c>
      <c r="EL30" s="558" t="s">
        <v>1133</v>
      </c>
      <c r="EM30" s="558" t="s">
        <v>1133</v>
      </c>
      <c r="EN30" s="558" t="s">
        <v>1133</v>
      </c>
      <c r="EO30" s="558" t="s">
        <v>1133</v>
      </c>
      <c r="EP30" s="558" t="s">
        <v>1133</v>
      </c>
      <c r="EQ30" s="558" t="s">
        <v>1133</v>
      </c>
      <c r="ER30" s="558" t="s">
        <v>1133</v>
      </c>
      <c r="ES30" s="558" t="s">
        <v>1133</v>
      </c>
      <c r="ET30" s="558" t="s">
        <v>1133</v>
      </c>
      <c r="EU30" s="558">
        <v>4170</v>
      </c>
      <c r="EV30" s="558">
        <v>4040</v>
      </c>
      <c r="EW30" s="558" t="s">
        <v>1592</v>
      </c>
      <c r="EX30" s="558" t="s">
        <v>1592</v>
      </c>
      <c r="EY30" s="558" t="s">
        <v>1592</v>
      </c>
      <c r="EZ30" s="558" t="s">
        <v>1592</v>
      </c>
      <c r="FA30" s="558" t="s">
        <v>1592</v>
      </c>
      <c r="FB30" s="558" t="s">
        <v>1592</v>
      </c>
      <c r="FC30" s="558" t="s">
        <v>1592</v>
      </c>
      <c r="FD30" s="558" t="s">
        <v>1592</v>
      </c>
      <c r="FE30" s="558" t="s">
        <v>1592</v>
      </c>
      <c r="FF30" s="558" t="s">
        <v>1592</v>
      </c>
      <c r="FG30" s="558" t="s">
        <v>1592</v>
      </c>
      <c r="FH30" s="558" t="s">
        <v>1592</v>
      </c>
      <c r="FI30" s="558">
        <v>0</v>
      </c>
      <c r="FJ30" s="558">
        <v>0</v>
      </c>
      <c r="FK30" s="558">
        <v>0</v>
      </c>
      <c r="FL30" s="558">
        <v>0</v>
      </c>
      <c r="FM30" s="558">
        <v>0</v>
      </c>
      <c r="FN30" s="558">
        <v>0</v>
      </c>
      <c r="FO30" s="558">
        <v>0</v>
      </c>
      <c r="FP30" s="558">
        <v>0</v>
      </c>
      <c r="FQ30" s="558">
        <v>0</v>
      </c>
      <c r="FR30" s="558">
        <v>0</v>
      </c>
      <c r="FS30" s="558">
        <v>0</v>
      </c>
      <c r="FT30" s="558">
        <v>0</v>
      </c>
      <c r="FU30" s="558">
        <v>0</v>
      </c>
      <c r="FV30" s="558">
        <v>0</v>
      </c>
      <c r="FW30" s="558">
        <v>0</v>
      </c>
      <c r="FX30" s="558">
        <v>0</v>
      </c>
      <c r="FY30" s="558">
        <v>0</v>
      </c>
      <c r="FZ30" s="558">
        <v>0</v>
      </c>
      <c r="GA30" s="558">
        <v>0</v>
      </c>
      <c r="GB30" s="558">
        <v>0</v>
      </c>
      <c r="GC30" s="558" t="s">
        <v>1595</v>
      </c>
      <c r="GD30" s="558" t="s">
        <v>1595</v>
      </c>
      <c r="GE30" s="558" t="s">
        <v>1595</v>
      </c>
      <c r="GF30" s="558" t="s">
        <v>1595</v>
      </c>
      <c r="GG30" s="558" t="s">
        <v>1595</v>
      </c>
      <c r="GH30" s="558" t="s">
        <v>1595</v>
      </c>
      <c r="GI30" s="558" t="s">
        <v>1595</v>
      </c>
      <c r="GJ30" s="558" t="s">
        <v>1595</v>
      </c>
      <c r="GK30" s="558" t="s">
        <v>1595</v>
      </c>
      <c r="GL30" s="558" t="s">
        <v>1595</v>
      </c>
      <c r="GM30" s="558" t="s">
        <v>1595</v>
      </c>
      <c r="GN30" s="558" t="s">
        <v>1595</v>
      </c>
      <c r="GO30" s="562">
        <f t="shared" si="1"/>
        <v>79950</v>
      </c>
      <c r="GP30" s="562">
        <f t="shared" si="2"/>
        <v>79950</v>
      </c>
      <c r="GQ30" s="562">
        <f t="shared" si="3"/>
        <v>79950</v>
      </c>
      <c r="GR30" s="562">
        <f t="shared" si="4"/>
        <v>79950</v>
      </c>
      <c r="GS30" s="562">
        <f t="shared" si="5"/>
        <v>79950</v>
      </c>
      <c r="GT30" s="562">
        <f t="shared" si="6"/>
        <v>79950</v>
      </c>
      <c r="GU30" s="562">
        <f t="shared" si="7"/>
        <v>79950</v>
      </c>
      <c r="GV30" s="562">
        <f t="shared" si="8"/>
        <v>79950</v>
      </c>
      <c r="GW30" s="562">
        <f t="shared" si="9"/>
        <v>79950</v>
      </c>
      <c r="GX30" s="562">
        <f t="shared" si="10"/>
        <v>79950</v>
      </c>
      <c r="GY30" s="562">
        <f t="shared" si="11"/>
        <v>79950</v>
      </c>
      <c r="GZ30" s="562">
        <f t="shared" si="12"/>
        <v>79950</v>
      </c>
      <c r="HA30" s="566" t="s">
        <v>1288</v>
      </c>
      <c r="HC30" s="349" t="s">
        <v>1036</v>
      </c>
      <c r="HD30" s="349" t="s">
        <v>1514</v>
      </c>
    </row>
    <row r="31" spans="2:212">
      <c r="B31" s="549">
        <v>27</v>
      </c>
      <c r="C31" s="549">
        <v>227</v>
      </c>
      <c r="D31" s="550" t="s">
        <v>1037</v>
      </c>
      <c r="E31" s="557" t="s">
        <v>13</v>
      </c>
      <c r="F31" s="555">
        <v>210</v>
      </c>
      <c r="G31" s="555">
        <v>150</v>
      </c>
      <c r="H31" s="555">
        <v>50</v>
      </c>
      <c r="I31" s="555">
        <v>10</v>
      </c>
      <c r="J31" s="551"/>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551"/>
      <c r="AH31" s="551"/>
      <c r="AI31" s="551"/>
      <c r="AJ31" s="552"/>
      <c r="AK31" s="556"/>
      <c r="AL31" s="556"/>
      <c r="AM31" s="551"/>
      <c r="AN31" s="555" t="s">
        <v>11</v>
      </c>
      <c r="AO31" s="558" t="s">
        <v>883</v>
      </c>
      <c r="AP31" s="558" t="s">
        <v>883</v>
      </c>
      <c r="AQ31" s="558" t="s">
        <v>883</v>
      </c>
      <c r="AR31" s="558" t="s">
        <v>883</v>
      </c>
      <c r="AS31" s="558" t="s">
        <v>883</v>
      </c>
      <c r="AT31" s="558" t="s">
        <v>883</v>
      </c>
      <c r="AU31" s="558" t="s">
        <v>883</v>
      </c>
      <c r="AV31" s="558" t="s">
        <v>883</v>
      </c>
      <c r="AW31" s="558" t="s">
        <v>883</v>
      </c>
      <c r="AX31" s="558" t="s">
        <v>883</v>
      </c>
      <c r="AY31" s="558" t="s">
        <v>883</v>
      </c>
      <c r="AZ31" s="558" t="s">
        <v>883</v>
      </c>
      <c r="BA31" s="558" t="s">
        <v>883</v>
      </c>
      <c r="BB31" s="558" t="s">
        <v>883</v>
      </c>
      <c r="BC31" s="558" t="s">
        <v>883</v>
      </c>
      <c r="BD31" s="558" t="s">
        <v>883</v>
      </c>
      <c r="BE31" s="558" t="s">
        <v>883</v>
      </c>
      <c r="BF31" s="558" t="s">
        <v>883</v>
      </c>
      <c r="BG31" s="558" t="s">
        <v>883</v>
      </c>
      <c r="BH31" s="558" t="s">
        <v>883</v>
      </c>
      <c r="BI31" s="558" t="s">
        <v>883</v>
      </c>
      <c r="BJ31" s="558" t="s">
        <v>883</v>
      </c>
      <c r="BK31" s="558" t="s">
        <v>883</v>
      </c>
      <c r="BL31" s="558" t="s">
        <v>883</v>
      </c>
      <c r="BM31" s="558">
        <v>0</v>
      </c>
      <c r="BN31" s="558">
        <v>0</v>
      </c>
      <c r="BO31" s="558">
        <v>0</v>
      </c>
      <c r="BP31" s="558">
        <v>0</v>
      </c>
      <c r="BQ31" s="558">
        <v>0</v>
      </c>
      <c r="BR31" s="558">
        <v>0</v>
      </c>
      <c r="BS31" s="558">
        <v>0</v>
      </c>
      <c r="BT31" s="558">
        <v>0</v>
      </c>
      <c r="BU31" s="558">
        <v>0</v>
      </c>
      <c r="BV31" s="558">
        <v>0</v>
      </c>
      <c r="BW31" s="558">
        <v>0</v>
      </c>
      <c r="BX31" s="558">
        <v>0</v>
      </c>
      <c r="BY31" s="558">
        <v>0</v>
      </c>
      <c r="BZ31" s="558">
        <v>0</v>
      </c>
      <c r="CA31" s="558">
        <v>0</v>
      </c>
      <c r="CB31" s="558">
        <v>0</v>
      </c>
      <c r="CC31" s="558">
        <v>0</v>
      </c>
      <c r="CD31" s="558">
        <v>0</v>
      </c>
      <c r="CE31" s="558">
        <v>0</v>
      </c>
      <c r="CF31" s="558">
        <v>0</v>
      </c>
      <c r="CG31" s="558">
        <v>0</v>
      </c>
      <c r="CH31" s="558">
        <v>0</v>
      </c>
      <c r="CI31" s="558">
        <v>0</v>
      </c>
      <c r="CJ31" s="558">
        <v>0</v>
      </c>
      <c r="CK31" s="558">
        <v>0</v>
      </c>
      <c r="CL31" s="558">
        <v>0</v>
      </c>
      <c r="CM31" s="558">
        <v>0</v>
      </c>
      <c r="CN31" s="558">
        <v>0</v>
      </c>
      <c r="CO31" s="558">
        <v>0</v>
      </c>
      <c r="CP31" s="558">
        <v>0</v>
      </c>
      <c r="CQ31" s="558">
        <v>0</v>
      </c>
      <c r="CR31" s="558">
        <v>0</v>
      </c>
      <c r="CS31" s="558">
        <v>0</v>
      </c>
      <c r="CT31" s="558">
        <v>0</v>
      </c>
      <c r="CU31" s="558">
        <v>0</v>
      </c>
      <c r="CV31" s="558">
        <v>0</v>
      </c>
      <c r="CW31" s="558" t="s">
        <v>13</v>
      </c>
      <c r="CX31" s="558">
        <v>1</v>
      </c>
      <c r="CY31" s="559"/>
      <c r="CZ31" s="559"/>
      <c r="DA31" s="559"/>
      <c r="DB31" s="559"/>
      <c r="DC31" s="559"/>
      <c r="DD31" s="559"/>
      <c r="DE31" s="559"/>
      <c r="DF31" s="559"/>
      <c r="DG31" s="559"/>
      <c r="DH31" s="559"/>
      <c r="DI31" s="559"/>
      <c r="DJ31" s="559"/>
      <c r="DK31" s="559"/>
      <c r="DL31" s="559"/>
      <c r="DM31" s="559"/>
      <c r="DN31" s="559"/>
      <c r="DO31" s="559"/>
      <c r="DP31" s="559"/>
      <c r="DQ31" s="559"/>
      <c r="DR31" s="559"/>
      <c r="DS31" s="559"/>
      <c r="DT31" s="559"/>
      <c r="DU31" s="559"/>
      <c r="DV31" s="559"/>
      <c r="DW31" s="559"/>
      <c r="DX31" s="559"/>
      <c r="DY31" s="559"/>
      <c r="DZ31" s="559"/>
      <c r="EA31" s="559"/>
      <c r="EB31" s="559"/>
      <c r="EC31" s="559"/>
      <c r="ED31" s="559"/>
      <c r="EE31" s="559"/>
      <c r="EF31" s="559"/>
      <c r="EG31" s="559"/>
      <c r="EH31" s="559"/>
      <c r="EI31" s="558" t="s">
        <v>1133</v>
      </c>
      <c r="EJ31" s="558" t="s">
        <v>1133</v>
      </c>
      <c r="EK31" s="558" t="s">
        <v>1133</v>
      </c>
      <c r="EL31" s="558" t="s">
        <v>1133</v>
      </c>
      <c r="EM31" s="558" t="s">
        <v>1133</v>
      </c>
      <c r="EN31" s="558" t="s">
        <v>1133</v>
      </c>
      <c r="EO31" s="558" t="s">
        <v>1133</v>
      </c>
      <c r="EP31" s="558" t="s">
        <v>1133</v>
      </c>
      <c r="EQ31" s="558" t="s">
        <v>1133</v>
      </c>
      <c r="ER31" s="558" t="s">
        <v>1133</v>
      </c>
      <c r="ES31" s="558" t="s">
        <v>1133</v>
      </c>
      <c r="ET31" s="558" t="s">
        <v>1133</v>
      </c>
      <c r="EU31" s="558">
        <v>4200</v>
      </c>
      <c r="EV31" s="558">
        <v>4070</v>
      </c>
      <c r="EW31" s="558" t="s">
        <v>1592</v>
      </c>
      <c r="EX31" s="558" t="s">
        <v>1592</v>
      </c>
      <c r="EY31" s="558" t="s">
        <v>1592</v>
      </c>
      <c r="EZ31" s="558" t="s">
        <v>1592</v>
      </c>
      <c r="FA31" s="558" t="s">
        <v>1592</v>
      </c>
      <c r="FB31" s="558" t="s">
        <v>1592</v>
      </c>
      <c r="FC31" s="558" t="s">
        <v>1592</v>
      </c>
      <c r="FD31" s="558" t="s">
        <v>1592</v>
      </c>
      <c r="FE31" s="558" t="s">
        <v>1592</v>
      </c>
      <c r="FF31" s="558" t="s">
        <v>1592</v>
      </c>
      <c r="FG31" s="558" t="s">
        <v>1592</v>
      </c>
      <c r="FH31" s="558" t="s">
        <v>1592</v>
      </c>
      <c r="FI31" s="558">
        <v>58</v>
      </c>
      <c r="FJ31" s="558">
        <v>58</v>
      </c>
      <c r="FK31" s="558">
        <v>58</v>
      </c>
      <c r="FL31" s="558">
        <v>58</v>
      </c>
      <c r="FM31" s="558">
        <v>57</v>
      </c>
      <c r="FN31" s="558">
        <v>57</v>
      </c>
      <c r="FO31" s="558">
        <v>57</v>
      </c>
      <c r="FP31" s="558">
        <v>56</v>
      </c>
      <c r="FQ31" s="558">
        <v>56</v>
      </c>
      <c r="FR31" s="558">
        <v>56</v>
      </c>
      <c r="FS31" s="558">
        <v>34</v>
      </c>
      <c r="FT31" s="558">
        <v>34</v>
      </c>
      <c r="FU31" s="558">
        <v>34</v>
      </c>
      <c r="FV31" s="558">
        <v>35</v>
      </c>
      <c r="FW31" s="558">
        <v>35</v>
      </c>
      <c r="FX31" s="558">
        <v>35</v>
      </c>
      <c r="FY31" s="558">
        <v>35</v>
      </c>
      <c r="FZ31" s="558">
        <v>35</v>
      </c>
      <c r="GA31" s="558">
        <v>35</v>
      </c>
      <c r="GB31" s="558">
        <v>35</v>
      </c>
      <c r="GC31" s="558" t="s">
        <v>883</v>
      </c>
      <c r="GD31" s="558" t="s">
        <v>883</v>
      </c>
      <c r="GE31" s="558" t="s">
        <v>883</v>
      </c>
      <c r="GF31" s="558" t="s">
        <v>883</v>
      </c>
      <c r="GG31" s="558" t="s">
        <v>883</v>
      </c>
      <c r="GH31" s="558" t="s">
        <v>883</v>
      </c>
      <c r="GI31" s="558" t="s">
        <v>883</v>
      </c>
      <c r="GJ31" s="558" t="s">
        <v>883</v>
      </c>
      <c r="GK31" s="558" t="s">
        <v>883</v>
      </c>
      <c r="GL31" s="558" t="s">
        <v>883</v>
      </c>
      <c r="GM31" s="558" t="s">
        <v>883</v>
      </c>
      <c r="GN31" s="558" t="s">
        <v>883</v>
      </c>
      <c r="GO31" s="562" t="str">
        <f t="shared" si="1"/>
        <v/>
      </c>
      <c r="GP31" s="562" t="str">
        <f t="shared" si="2"/>
        <v/>
      </c>
      <c r="GQ31" s="562" t="str">
        <f t="shared" si="3"/>
        <v/>
      </c>
      <c r="GR31" s="562" t="str">
        <f t="shared" si="4"/>
        <v/>
      </c>
      <c r="GS31" s="562" t="str">
        <f t="shared" si="5"/>
        <v/>
      </c>
      <c r="GT31" s="562" t="str">
        <f t="shared" si="6"/>
        <v/>
      </c>
      <c r="GU31" s="562" t="str">
        <f t="shared" si="7"/>
        <v/>
      </c>
      <c r="GV31" s="562" t="str">
        <f t="shared" si="8"/>
        <v/>
      </c>
      <c r="GW31" s="562" t="str">
        <f t="shared" si="9"/>
        <v/>
      </c>
      <c r="GX31" s="562" t="str">
        <f t="shared" si="10"/>
        <v/>
      </c>
      <c r="GY31" s="562" t="str">
        <f t="shared" si="11"/>
        <v/>
      </c>
      <c r="GZ31" s="562" t="str">
        <f t="shared" si="12"/>
        <v/>
      </c>
      <c r="HA31" s="564" t="s">
        <v>1289</v>
      </c>
      <c r="HC31" s="349" t="s">
        <v>1037</v>
      </c>
      <c r="HD31" s="349" t="s">
        <v>1514</v>
      </c>
    </row>
    <row r="32" spans="2:212">
      <c r="B32" s="549">
        <v>28</v>
      </c>
      <c r="C32" s="549">
        <v>228</v>
      </c>
      <c r="D32" s="550" t="s">
        <v>478</v>
      </c>
      <c r="E32" s="557" t="s">
        <v>13</v>
      </c>
      <c r="F32" s="555">
        <v>165</v>
      </c>
      <c r="G32" s="555">
        <v>135</v>
      </c>
      <c r="H32" s="555">
        <v>30</v>
      </c>
      <c r="I32" s="555">
        <v>0</v>
      </c>
      <c r="J32" s="551"/>
      <c r="K32" s="551"/>
      <c r="L32" s="551"/>
      <c r="M32" s="551"/>
      <c r="N32" s="551"/>
      <c r="O32" s="551"/>
      <c r="P32" s="551"/>
      <c r="Q32" s="551"/>
      <c r="R32" s="551"/>
      <c r="S32" s="551"/>
      <c r="T32" s="551"/>
      <c r="U32" s="551"/>
      <c r="V32" s="551"/>
      <c r="W32" s="551"/>
      <c r="X32" s="551"/>
      <c r="Y32" s="551"/>
      <c r="Z32" s="551"/>
      <c r="AA32" s="551"/>
      <c r="AB32" s="551"/>
      <c r="AC32" s="551"/>
      <c r="AD32" s="551"/>
      <c r="AE32" s="551"/>
      <c r="AF32" s="551"/>
      <c r="AG32" s="551"/>
      <c r="AH32" s="551"/>
      <c r="AI32" s="551"/>
      <c r="AJ32" s="552"/>
      <c r="AK32" s="556"/>
      <c r="AL32" s="556"/>
      <c r="AM32" s="551"/>
      <c r="AN32" s="555" t="s">
        <v>11</v>
      </c>
      <c r="AO32" s="558" t="s">
        <v>883</v>
      </c>
      <c r="AP32" s="558" t="s">
        <v>883</v>
      </c>
      <c r="AQ32" s="558" t="s">
        <v>883</v>
      </c>
      <c r="AR32" s="558" t="s">
        <v>883</v>
      </c>
      <c r="AS32" s="558" t="s">
        <v>883</v>
      </c>
      <c r="AT32" s="558" t="s">
        <v>883</v>
      </c>
      <c r="AU32" s="558" t="s">
        <v>883</v>
      </c>
      <c r="AV32" s="558" t="s">
        <v>883</v>
      </c>
      <c r="AW32" s="558" t="s">
        <v>883</v>
      </c>
      <c r="AX32" s="558" t="s">
        <v>883</v>
      </c>
      <c r="AY32" s="558" t="s">
        <v>883</v>
      </c>
      <c r="AZ32" s="558" t="s">
        <v>883</v>
      </c>
      <c r="BA32" s="558" t="s">
        <v>883</v>
      </c>
      <c r="BB32" s="558" t="s">
        <v>883</v>
      </c>
      <c r="BC32" s="558" t="s">
        <v>883</v>
      </c>
      <c r="BD32" s="558" t="s">
        <v>883</v>
      </c>
      <c r="BE32" s="558" t="s">
        <v>883</v>
      </c>
      <c r="BF32" s="558" t="s">
        <v>883</v>
      </c>
      <c r="BG32" s="558" t="s">
        <v>883</v>
      </c>
      <c r="BH32" s="558" t="s">
        <v>883</v>
      </c>
      <c r="BI32" s="558" t="s">
        <v>883</v>
      </c>
      <c r="BJ32" s="558" t="s">
        <v>883</v>
      </c>
      <c r="BK32" s="558" t="s">
        <v>883</v>
      </c>
      <c r="BL32" s="558" t="s">
        <v>883</v>
      </c>
      <c r="BM32" s="558">
        <v>0</v>
      </c>
      <c r="BN32" s="558">
        <v>0</v>
      </c>
      <c r="BO32" s="558">
        <v>0</v>
      </c>
      <c r="BP32" s="558">
        <v>0</v>
      </c>
      <c r="BQ32" s="558">
        <v>0</v>
      </c>
      <c r="BR32" s="558">
        <v>0</v>
      </c>
      <c r="BS32" s="558">
        <v>0</v>
      </c>
      <c r="BT32" s="558">
        <v>0</v>
      </c>
      <c r="BU32" s="558">
        <v>0</v>
      </c>
      <c r="BV32" s="558">
        <v>0</v>
      </c>
      <c r="BW32" s="558">
        <v>0</v>
      </c>
      <c r="BX32" s="558">
        <v>0</v>
      </c>
      <c r="BY32" s="558">
        <v>0</v>
      </c>
      <c r="BZ32" s="558">
        <v>0</v>
      </c>
      <c r="CA32" s="558">
        <v>0</v>
      </c>
      <c r="CB32" s="558">
        <v>0</v>
      </c>
      <c r="CC32" s="558">
        <v>0</v>
      </c>
      <c r="CD32" s="558">
        <v>0</v>
      </c>
      <c r="CE32" s="558">
        <v>0</v>
      </c>
      <c r="CF32" s="558">
        <v>0</v>
      </c>
      <c r="CG32" s="558">
        <v>0</v>
      </c>
      <c r="CH32" s="558">
        <v>0</v>
      </c>
      <c r="CI32" s="558">
        <v>0</v>
      </c>
      <c r="CJ32" s="558">
        <v>0</v>
      </c>
      <c r="CK32" s="558">
        <v>0</v>
      </c>
      <c r="CL32" s="558">
        <v>0</v>
      </c>
      <c r="CM32" s="558">
        <v>0</v>
      </c>
      <c r="CN32" s="558">
        <v>0</v>
      </c>
      <c r="CO32" s="558">
        <v>0</v>
      </c>
      <c r="CP32" s="558">
        <v>0</v>
      </c>
      <c r="CQ32" s="558">
        <v>0</v>
      </c>
      <c r="CR32" s="558">
        <v>0</v>
      </c>
      <c r="CS32" s="558">
        <v>0</v>
      </c>
      <c r="CT32" s="558">
        <v>0</v>
      </c>
      <c r="CU32" s="558">
        <v>0</v>
      </c>
      <c r="CV32" s="558">
        <v>0</v>
      </c>
      <c r="CW32" s="558" t="s">
        <v>13</v>
      </c>
      <c r="CX32" s="558">
        <v>0</v>
      </c>
      <c r="CY32" s="559"/>
      <c r="CZ32" s="559"/>
      <c r="DA32" s="559"/>
      <c r="DB32" s="559"/>
      <c r="DC32" s="559"/>
      <c r="DD32" s="559"/>
      <c r="DE32" s="559"/>
      <c r="DF32" s="559"/>
      <c r="DG32" s="559"/>
      <c r="DH32" s="559"/>
      <c r="DI32" s="559"/>
      <c r="DJ32" s="559"/>
      <c r="DK32" s="559"/>
      <c r="DL32" s="559"/>
      <c r="DM32" s="559"/>
      <c r="DN32" s="559"/>
      <c r="DO32" s="559"/>
      <c r="DP32" s="559"/>
      <c r="DQ32" s="559"/>
      <c r="DR32" s="559"/>
      <c r="DS32" s="559"/>
      <c r="DT32" s="559"/>
      <c r="DU32" s="559"/>
      <c r="DV32" s="559"/>
      <c r="DW32" s="559"/>
      <c r="DX32" s="559"/>
      <c r="DY32" s="559"/>
      <c r="DZ32" s="559"/>
      <c r="EA32" s="559"/>
      <c r="EB32" s="559"/>
      <c r="EC32" s="559"/>
      <c r="ED32" s="559"/>
      <c r="EE32" s="559"/>
      <c r="EF32" s="559"/>
      <c r="EG32" s="559"/>
      <c r="EH32" s="559"/>
      <c r="EI32" s="558" t="s">
        <v>1133</v>
      </c>
      <c r="EJ32" s="558" t="s">
        <v>1133</v>
      </c>
      <c r="EK32" s="558" t="s">
        <v>1133</v>
      </c>
      <c r="EL32" s="558" t="s">
        <v>1133</v>
      </c>
      <c r="EM32" s="558" t="s">
        <v>1133</v>
      </c>
      <c r="EN32" s="558" t="s">
        <v>1133</v>
      </c>
      <c r="EO32" s="558" t="s">
        <v>1133</v>
      </c>
      <c r="EP32" s="558" t="s">
        <v>1133</v>
      </c>
      <c r="EQ32" s="558" t="s">
        <v>1133</v>
      </c>
      <c r="ER32" s="558" t="s">
        <v>1133</v>
      </c>
      <c r="ES32" s="558" t="s">
        <v>1133</v>
      </c>
      <c r="ET32" s="558" t="s">
        <v>1133</v>
      </c>
      <c r="EU32" s="558">
        <v>4170</v>
      </c>
      <c r="EV32" s="558">
        <v>4040</v>
      </c>
      <c r="EW32" s="558" t="s">
        <v>1592</v>
      </c>
      <c r="EX32" s="558" t="s">
        <v>1592</v>
      </c>
      <c r="EY32" s="558" t="s">
        <v>1592</v>
      </c>
      <c r="EZ32" s="558" t="s">
        <v>1592</v>
      </c>
      <c r="FA32" s="558" t="s">
        <v>1592</v>
      </c>
      <c r="FB32" s="558" t="s">
        <v>1592</v>
      </c>
      <c r="FC32" s="558" t="s">
        <v>1592</v>
      </c>
      <c r="FD32" s="558" t="s">
        <v>1592</v>
      </c>
      <c r="FE32" s="558" t="s">
        <v>1592</v>
      </c>
      <c r="FF32" s="558" t="s">
        <v>1592</v>
      </c>
      <c r="FG32" s="558" t="s">
        <v>1592</v>
      </c>
      <c r="FH32" s="558" t="s">
        <v>1592</v>
      </c>
      <c r="FI32" s="558">
        <v>65</v>
      </c>
      <c r="FJ32" s="558">
        <v>67</v>
      </c>
      <c r="FK32" s="558">
        <v>67</v>
      </c>
      <c r="FL32" s="558">
        <v>67</v>
      </c>
      <c r="FM32" s="558">
        <v>66</v>
      </c>
      <c r="FN32" s="558">
        <v>67</v>
      </c>
      <c r="FO32" s="558">
        <v>67</v>
      </c>
      <c r="FP32" s="558">
        <v>66</v>
      </c>
      <c r="FQ32" s="558">
        <v>65</v>
      </c>
      <c r="FR32" s="558">
        <v>64</v>
      </c>
      <c r="FS32" s="558">
        <v>19</v>
      </c>
      <c r="FT32" s="558">
        <v>19</v>
      </c>
      <c r="FU32" s="558">
        <v>19</v>
      </c>
      <c r="FV32" s="558">
        <v>19</v>
      </c>
      <c r="FW32" s="558">
        <v>19</v>
      </c>
      <c r="FX32" s="558">
        <v>19</v>
      </c>
      <c r="FY32" s="558">
        <v>19</v>
      </c>
      <c r="FZ32" s="558">
        <v>19</v>
      </c>
      <c r="GA32" s="558">
        <v>20</v>
      </c>
      <c r="GB32" s="558">
        <v>21</v>
      </c>
      <c r="GC32" s="558" t="s">
        <v>883</v>
      </c>
      <c r="GD32" s="558" t="s">
        <v>883</v>
      </c>
      <c r="GE32" s="558" t="s">
        <v>883</v>
      </c>
      <c r="GF32" s="558" t="s">
        <v>883</v>
      </c>
      <c r="GG32" s="558" t="s">
        <v>883</v>
      </c>
      <c r="GH32" s="558" t="s">
        <v>883</v>
      </c>
      <c r="GI32" s="558" t="s">
        <v>883</v>
      </c>
      <c r="GJ32" s="558" t="s">
        <v>883</v>
      </c>
      <c r="GK32" s="558" t="s">
        <v>883</v>
      </c>
      <c r="GL32" s="558" t="s">
        <v>883</v>
      </c>
      <c r="GM32" s="558" t="s">
        <v>883</v>
      </c>
      <c r="GN32" s="558" t="s">
        <v>883</v>
      </c>
      <c r="GO32" s="562" t="str">
        <f t="shared" si="1"/>
        <v/>
      </c>
      <c r="GP32" s="562" t="str">
        <f t="shared" si="2"/>
        <v/>
      </c>
      <c r="GQ32" s="562" t="str">
        <f t="shared" si="3"/>
        <v/>
      </c>
      <c r="GR32" s="562" t="str">
        <f t="shared" si="4"/>
        <v/>
      </c>
      <c r="GS32" s="562" t="str">
        <f t="shared" si="5"/>
        <v/>
      </c>
      <c r="GT32" s="562" t="str">
        <f t="shared" si="6"/>
        <v/>
      </c>
      <c r="GU32" s="562" t="str">
        <f t="shared" si="7"/>
        <v/>
      </c>
      <c r="GV32" s="562" t="str">
        <f t="shared" si="8"/>
        <v/>
      </c>
      <c r="GW32" s="562" t="str">
        <f t="shared" si="9"/>
        <v/>
      </c>
      <c r="GX32" s="562" t="str">
        <f t="shared" si="10"/>
        <v/>
      </c>
      <c r="GY32" s="562" t="str">
        <f t="shared" si="11"/>
        <v/>
      </c>
      <c r="GZ32" s="562" t="str">
        <f t="shared" si="12"/>
        <v/>
      </c>
      <c r="HA32" s="564" t="s">
        <v>1289</v>
      </c>
      <c r="HC32" s="349" t="s">
        <v>478</v>
      </c>
      <c r="HD32" s="349" t="s">
        <v>1514</v>
      </c>
    </row>
    <row r="33" spans="2:212">
      <c r="B33" s="549">
        <v>29</v>
      </c>
      <c r="C33" s="549">
        <v>229</v>
      </c>
      <c r="D33" s="550" t="s">
        <v>1039</v>
      </c>
      <c r="E33" s="557" t="s">
        <v>13</v>
      </c>
      <c r="F33" s="555">
        <v>180</v>
      </c>
      <c r="G33" s="555">
        <v>150</v>
      </c>
      <c r="H33" s="555">
        <v>30</v>
      </c>
      <c r="I33" s="555">
        <v>0</v>
      </c>
      <c r="J33" s="551"/>
      <c r="K33" s="551"/>
      <c r="L33" s="551"/>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2"/>
      <c r="AK33" s="556"/>
      <c r="AL33" s="556"/>
      <c r="AM33" s="551"/>
      <c r="AN33" s="555" t="s">
        <v>11</v>
      </c>
      <c r="AO33" s="558" t="s">
        <v>883</v>
      </c>
      <c r="AP33" s="558" t="s">
        <v>883</v>
      </c>
      <c r="AQ33" s="558" t="s">
        <v>883</v>
      </c>
      <c r="AR33" s="558" t="s">
        <v>883</v>
      </c>
      <c r="AS33" s="558" t="s">
        <v>883</v>
      </c>
      <c r="AT33" s="558" t="s">
        <v>883</v>
      </c>
      <c r="AU33" s="558" t="s">
        <v>883</v>
      </c>
      <c r="AV33" s="558" t="s">
        <v>883</v>
      </c>
      <c r="AW33" s="558" t="s">
        <v>883</v>
      </c>
      <c r="AX33" s="558" t="s">
        <v>883</v>
      </c>
      <c r="AY33" s="558" t="s">
        <v>883</v>
      </c>
      <c r="AZ33" s="558" t="s">
        <v>883</v>
      </c>
      <c r="BA33" s="558" t="s">
        <v>883</v>
      </c>
      <c r="BB33" s="558" t="s">
        <v>883</v>
      </c>
      <c r="BC33" s="558" t="s">
        <v>883</v>
      </c>
      <c r="BD33" s="558" t="s">
        <v>883</v>
      </c>
      <c r="BE33" s="558" t="s">
        <v>883</v>
      </c>
      <c r="BF33" s="558" t="s">
        <v>883</v>
      </c>
      <c r="BG33" s="558" t="s">
        <v>883</v>
      </c>
      <c r="BH33" s="558" t="s">
        <v>883</v>
      </c>
      <c r="BI33" s="558" t="s">
        <v>883</v>
      </c>
      <c r="BJ33" s="558" t="s">
        <v>883</v>
      </c>
      <c r="BK33" s="558" t="s">
        <v>883</v>
      </c>
      <c r="BL33" s="558" t="s">
        <v>883</v>
      </c>
      <c r="BM33" s="558">
        <v>1</v>
      </c>
      <c r="BN33" s="558">
        <v>1</v>
      </c>
      <c r="BO33" s="558">
        <v>1</v>
      </c>
      <c r="BP33" s="558">
        <v>1</v>
      </c>
      <c r="BQ33" s="558">
        <v>1</v>
      </c>
      <c r="BR33" s="558">
        <v>1</v>
      </c>
      <c r="BS33" s="558">
        <v>1</v>
      </c>
      <c r="BT33" s="558">
        <v>1</v>
      </c>
      <c r="BU33" s="558">
        <v>1</v>
      </c>
      <c r="BV33" s="558">
        <v>1</v>
      </c>
      <c r="BW33" s="558">
        <v>1</v>
      </c>
      <c r="BX33" s="558">
        <v>1</v>
      </c>
      <c r="BY33" s="558">
        <v>0</v>
      </c>
      <c r="BZ33" s="558">
        <v>0</v>
      </c>
      <c r="CA33" s="558">
        <v>0</v>
      </c>
      <c r="CB33" s="558">
        <v>0</v>
      </c>
      <c r="CC33" s="558">
        <v>0</v>
      </c>
      <c r="CD33" s="558">
        <v>0</v>
      </c>
      <c r="CE33" s="558">
        <v>0</v>
      </c>
      <c r="CF33" s="558">
        <v>0</v>
      </c>
      <c r="CG33" s="558">
        <v>0</v>
      </c>
      <c r="CH33" s="558">
        <v>0</v>
      </c>
      <c r="CI33" s="558">
        <v>0</v>
      </c>
      <c r="CJ33" s="558">
        <v>0</v>
      </c>
      <c r="CK33" s="558">
        <v>0</v>
      </c>
      <c r="CL33" s="558">
        <v>0</v>
      </c>
      <c r="CM33" s="558">
        <v>0</v>
      </c>
      <c r="CN33" s="558">
        <v>0</v>
      </c>
      <c r="CO33" s="558">
        <v>0</v>
      </c>
      <c r="CP33" s="558">
        <v>0</v>
      </c>
      <c r="CQ33" s="558">
        <v>0</v>
      </c>
      <c r="CR33" s="558">
        <v>0</v>
      </c>
      <c r="CS33" s="558">
        <v>0</v>
      </c>
      <c r="CT33" s="558">
        <v>0</v>
      </c>
      <c r="CU33" s="558">
        <v>0</v>
      </c>
      <c r="CV33" s="558">
        <v>0</v>
      </c>
      <c r="CW33" s="558" t="s">
        <v>13</v>
      </c>
      <c r="CX33" s="558">
        <v>0</v>
      </c>
      <c r="CY33" s="559"/>
      <c r="CZ33" s="559"/>
      <c r="DA33" s="559"/>
      <c r="DB33" s="559"/>
      <c r="DC33" s="559"/>
      <c r="DD33" s="559"/>
      <c r="DE33" s="559"/>
      <c r="DF33" s="559"/>
      <c r="DG33" s="559"/>
      <c r="DH33" s="559"/>
      <c r="DI33" s="559"/>
      <c r="DJ33" s="559"/>
      <c r="DK33" s="559"/>
      <c r="DL33" s="559"/>
      <c r="DM33" s="559"/>
      <c r="DN33" s="559"/>
      <c r="DO33" s="559"/>
      <c r="DP33" s="559"/>
      <c r="DQ33" s="559"/>
      <c r="DR33" s="559"/>
      <c r="DS33" s="559"/>
      <c r="DT33" s="559"/>
      <c r="DU33" s="559"/>
      <c r="DV33" s="559"/>
      <c r="DW33" s="559"/>
      <c r="DX33" s="559"/>
      <c r="DY33" s="559"/>
      <c r="DZ33" s="559"/>
      <c r="EA33" s="559"/>
      <c r="EB33" s="559"/>
      <c r="EC33" s="559"/>
      <c r="ED33" s="559"/>
      <c r="EE33" s="559"/>
      <c r="EF33" s="559"/>
      <c r="EG33" s="559"/>
      <c r="EH33" s="559"/>
      <c r="EI33" s="558" t="s">
        <v>1133</v>
      </c>
      <c r="EJ33" s="558" t="s">
        <v>1133</v>
      </c>
      <c r="EK33" s="558" t="s">
        <v>1133</v>
      </c>
      <c r="EL33" s="558" t="s">
        <v>1133</v>
      </c>
      <c r="EM33" s="558" t="s">
        <v>1133</v>
      </c>
      <c r="EN33" s="558" t="s">
        <v>1133</v>
      </c>
      <c r="EO33" s="558" t="s">
        <v>1133</v>
      </c>
      <c r="EP33" s="558" t="s">
        <v>1133</v>
      </c>
      <c r="EQ33" s="558" t="s">
        <v>1133</v>
      </c>
      <c r="ER33" s="558" t="s">
        <v>1133</v>
      </c>
      <c r="ES33" s="558" t="s">
        <v>1133</v>
      </c>
      <c r="ET33" s="558" t="s">
        <v>1133</v>
      </c>
      <c r="EU33" s="558">
        <v>4200</v>
      </c>
      <c r="EV33" s="558">
        <v>4070</v>
      </c>
      <c r="EW33" s="558" t="s">
        <v>1592</v>
      </c>
      <c r="EX33" s="558" t="s">
        <v>1592</v>
      </c>
      <c r="EY33" s="558" t="s">
        <v>1592</v>
      </c>
      <c r="EZ33" s="558" t="s">
        <v>1592</v>
      </c>
      <c r="FA33" s="558" t="s">
        <v>1592</v>
      </c>
      <c r="FB33" s="558" t="s">
        <v>1592</v>
      </c>
      <c r="FC33" s="558" t="s">
        <v>1592</v>
      </c>
      <c r="FD33" s="558" t="s">
        <v>1592</v>
      </c>
      <c r="FE33" s="558" t="s">
        <v>1592</v>
      </c>
      <c r="FF33" s="558" t="s">
        <v>1592</v>
      </c>
      <c r="FG33" s="558" t="s">
        <v>1592</v>
      </c>
      <c r="FH33" s="558" t="s">
        <v>1592</v>
      </c>
      <c r="FI33" s="558">
        <v>62</v>
      </c>
      <c r="FJ33" s="558">
        <v>62</v>
      </c>
      <c r="FK33" s="558">
        <v>62</v>
      </c>
      <c r="FL33" s="558">
        <v>62</v>
      </c>
      <c r="FM33" s="558">
        <v>62</v>
      </c>
      <c r="FN33" s="558">
        <v>60</v>
      </c>
      <c r="FO33" s="558">
        <v>60</v>
      </c>
      <c r="FP33" s="558">
        <v>61</v>
      </c>
      <c r="FQ33" s="558">
        <v>61</v>
      </c>
      <c r="FR33" s="558">
        <v>60</v>
      </c>
      <c r="FS33" s="558">
        <v>18</v>
      </c>
      <c r="FT33" s="558">
        <v>18</v>
      </c>
      <c r="FU33" s="558">
        <v>18</v>
      </c>
      <c r="FV33" s="558">
        <v>18</v>
      </c>
      <c r="FW33" s="558">
        <v>18</v>
      </c>
      <c r="FX33" s="558">
        <v>21</v>
      </c>
      <c r="FY33" s="558">
        <v>21</v>
      </c>
      <c r="FZ33" s="558">
        <v>21</v>
      </c>
      <c r="GA33" s="558">
        <v>21</v>
      </c>
      <c r="GB33" s="558">
        <v>21</v>
      </c>
      <c r="GC33" s="558" t="s">
        <v>883</v>
      </c>
      <c r="GD33" s="558" t="s">
        <v>883</v>
      </c>
      <c r="GE33" s="558" t="s">
        <v>883</v>
      </c>
      <c r="GF33" s="558" t="s">
        <v>883</v>
      </c>
      <c r="GG33" s="558" t="s">
        <v>883</v>
      </c>
      <c r="GH33" s="558" t="s">
        <v>883</v>
      </c>
      <c r="GI33" s="558" t="s">
        <v>883</v>
      </c>
      <c r="GJ33" s="558" t="s">
        <v>883</v>
      </c>
      <c r="GK33" s="558" t="s">
        <v>883</v>
      </c>
      <c r="GL33" s="558" t="s">
        <v>883</v>
      </c>
      <c r="GM33" s="558" t="s">
        <v>883</v>
      </c>
      <c r="GN33" s="558" t="s">
        <v>883</v>
      </c>
      <c r="GO33" s="562" t="str">
        <f t="shared" si="1"/>
        <v/>
      </c>
      <c r="GP33" s="562" t="str">
        <f t="shared" si="2"/>
        <v/>
      </c>
      <c r="GQ33" s="562" t="str">
        <f t="shared" si="3"/>
        <v/>
      </c>
      <c r="GR33" s="562" t="str">
        <f t="shared" si="4"/>
        <v/>
      </c>
      <c r="GS33" s="562" t="str">
        <f t="shared" si="5"/>
        <v/>
      </c>
      <c r="GT33" s="562" t="str">
        <f t="shared" si="6"/>
        <v/>
      </c>
      <c r="GU33" s="562" t="str">
        <f t="shared" si="7"/>
        <v/>
      </c>
      <c r="GV33" s="562" t="str">
        <f t="shared" si="8"/>
        <v/>
      </c>
      <c r="GW33" s="562" t="str">
        <f t="shared" si="9"/>
        <v/>
      </c>
      <c r="GX33" s="562" t="str">
        <f t="shared" si="10"/>
        <v/>
      </c>
      <c r="GY33" s="562" t="str">
        <f t="shared" si="11"/>
        <v/>
      </c>
      <c r="GZ33" s="562" t="str">
        <f t="shared" si="12"/>
        <v/>
      </c>
      <c r="HA33" s="564" t="s">
        <v>1289</v>
      </c>
      <c r="HC33" s="349" t="s">
        <v>1039</v>
      </c>
      <c r="HD33" s="349" t="s">
        <v>1514</v>
      </c>
    </row>
    <row r="34" spans="2:212">
      <c r="B34" s="549">
        <v>30</v>
      </c>
      <c r="C34" s="549">
        <v>230</v>
      </c>
      <c r="D34" s="550" t="s">
        <v>1041</v>
      </c>
      <c r="E34" s="557" t="s">
        <v>13</v>
      </c>
      <c r="F34" s="555">
        <v>65</v>
      </c>
      <c r="G34" s="555">
        <v>45</v>
      </c>
      <c r="H34" s="555">
        <v>20</v>
      </c>
      <c r="I34" s="555">
        <v>0</v>
      </c>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2"/>
      <c r="AK34" s="556"/>
      <c r="AL34" s="556"/>
      <c r="AM34" s="551"/>
      <c r="AN34" s="555" t="s">
        <v>11</v>
      </c>
      <c r="AO34" s="558" t="s">
        <v>883</v>
      </c>
      <c r="AP34" s="558" t="s">
        <v>883</v>
      </c>
      <c r="AQ34" s="558" t="s">
        <v>883</v>
      </c>
      <c r="AR34" s="558" t="s">
        <v>883</v>
      </c>
      <c r="AS34" s="558" t="s">
        <v>883</v>
      </c>
      <c r="AT34" s="558" t="s">
        <v>883</v>
      </c>
      <c r="AU34" s="558" t="s">
        <v>883</v>
      </c>
      <c r="AV34" s="558" t="s">
        <v>883</v>
      </c>
      <c r="AW34" s="558" t="s">
        <v>883</v>
      </c>
      <c r="AX34" s="558" t="s">
        <v>883</v>
      </c>
      <c r="AY34" s="558" t="s">
        <v>883</v>
      </c>
      <c r="AZ34" s="558" t="s">
        <v>883</v>
      </c>
      <c r="BA34" s="558" t="s">
        <v>883</v>
      </c>
      <c r="BB34" s="558" t="s">
        <v>883</v>
      </c>
      <c r="BC34" s="558" t="s">
        <v>883</v>
      </c>
      <c r="BD34" s="558" t="s">
        <v>883</v>
      </c>
      <c r="BE34" s="558" t="s">
        <v>883</v>
      </c>
      <c r="BF34" s="558" t="s">
        <v>883</v>
      </c>
      <c r="BG34" s="558" t="s">
        <v>883</v>
      </c>
      <c r="BH34" s="558" t="s">
        <v>883</v>
      </c>
      <c r="BI34" s="558" t="s">
        <v>883</v>
      </c>
      <c r="BJ34" s="558" t="s">
        <v>883</v>
      </c>
      <c r="BK34" s="558" t="s">
        <v>883</v>
      </c>
      <c r="BL34" s="558" t="s">
        <v>883</v>
      </c>
      <c r="BM34" s="558">
        <v>0</v>
      </c>
      <c r="BN34" s="558">
        <v>0</v>
      </c>
      <c r="BO34" s="558">
        <v>0</v>
      </c>
      <c r="BP34" s="558">
        <v>0</v>
      </c>
      <c r="BQ34" s="558">
        <v>0</v>
      </c>
      <c r="BR34" s="558">
        <v>0</v>
      </c>
      <c r="BS34" s="558">
        <v>0</v>
      </c>
      <c r="BT34" s="558">
        <v>0</v>
      </c>
      <c r="BU34" s="558">
        <v>0</v>
      </c>
      <c r="BV34" s="558">
        <v>0</v>
      </c>
      <c r="BW34" s="558">
        <v>0</v>
      </c>
      <c r="BX34" s="558">
        <v>0</v>
      </c>
      <c r="BY34" s="558">
        <v>0</v>
      </c>
      <c r="BZ34" s="558">
        <v>0</v>
      </c>
      <c r="CA34" s="558">
        <v>0</v>
      </c>
      <c r="CB34" s="558">
        <v>0</v>
      </c>
      <c r="CC34" s="558">
        <v>0</v>
      </c>
      <c r="CD34" s="558">
        <v>0</v>
      </c>
      <c r="CE34" s="558">
        <v>0</v>
      </c>
      <c r="CF34" s="558">
        <v>0</v>
      </c>
      <c r="CG34" s="558">
        <v>0</v>
      </c>
      <c r="CH34" s="558">
        <v>0</v>
      </c>
      <c r="CI34" s="558">
        <v>0</v>
      </c>
      <c r="CJ34" s="558">
        <v>0</v>
      </c>
      <c r="CK34" s="558">
        <v>0</v>
      </c>
      <c r="CL34" s="558">
        <v>0</v>
      </c>
      <c r="CM34" s="558">
        <v>0</v>
      </c>
      <c r="CN34" s="558">
        <v>0</v>
      </c>
      <c r="CO34" s="558">
        <v>0</v>
      </c>
      <c r="CP34" s="558">
        <v>0</v>
      </c>
      <c r="CQ34" s="558">
        <v>0</v>
      </c>
      <c r="CR34" s="558">
        <v>0</v>
      </c>
      <c r="CS34" s="558">
        <v>0</v>
      </c>
      <c r="CT34" s="558">
        <v>0</v>
      </c>
      <c r="CU34" s="558">
        <v>0</v>
      </c>
      <c r="CV34" s="558">
        <v>0</v>
      </c>
      <c r="CW34" s="558" t="s">
        <v>13</v>
      </c>
      <c r="CX34" s="558">
        <v>0</v>
      </c>
      <c r="CY34" s="559"/>
      <c r="CZ34" s="559"/>
      <c r="DA34" s="559"/>
      <c r="DB34" s="559"/>
      <c r="DC34" s="559"/>
      <c r="DD34" s="559"/>
      <c r="DE34" s="559"/>
      <c r="DF34" s="559"/>
      <c r="DG34" s="559"/>
      <c r="DH34" s="559"/>
      <c r="DI34" s="559"/>
      <c r="DJ34" s="559"/>
      <c r="DK34" s="559"/>
      <c r="DL34" s="559"/>
      <c r="DM34" s="559"/>
      <c r="DN34" s="559"/>
      <c r="DO34" s="559"/>
      <c r="DP34" s="559"/>
      <c r="DQ34" s="559"/>
      <c r="DR34" s="559"/>
      <c r="DS34" s="559"/>
      <c r="DT34" s="559"/>
      <c r="DU34" s="559"/>
      <c r="DV34" s="559"/>
      <c r="DW34" s="559"/>
      <c r="DX34" s="559"/>
      <c r="DY34" s="559"/>
      <c r="DZ34" s="559"/>
      <c r="EA34" s="559"/>
      <c r="EB34" s="559"/>
      <c r="EC34" s="559"/>
      <c r="ED34" s="559"/>
      <c r="EE34" s="559"/>
      <c r="EF34" s="559"/>
      <c r="EG34" s="559"/>
      <c r="EH34" s="559"/>
      <c r="EI34" s="558" t="s">
        <v>1133</v>
      </c>
      <c r="EJ34" s="558" t="s">
        <v>1133</v>
      </c>
      <c r="EK34" s="558" t="s">
        <v>1133</v>
      </c>
      <c r="EL34" s="558" t="s">
        <v>1133</v>
      </c>
      <c r="EM34" s="558" t="s">
        <v>1133</v>
      </c>
      <c r="EN34" s="558" t="s">
        <v>1133</v>
      </c>
      <c r="EO34" s="558" t="s">
        <v>1133</v>
      </c>
      <c r="EP34" s="558" t="s">
        <v>1133</v>
      </c>
      <c r="EQ34" s="558" t="s">
        <v>1133</v>
      </c>
      <c r="ER34" s="558" t="s">
        <v>1133</v>
      </c>
      <c r="ES34" s="558" t="s">
        <v>1133</v>
      </c>
      <c r="ET34" s="558" t="s">
        <v>1133</v>
      </c>
      <c r="EU34" s="558">
        <v>4200</v>
      </c>
      <c r="EV34" s="558">
        <v>4070</v>
      </c>
      <c r="EW34" s="558" t="s">
        <v>1133</v>
      </c>
      <c r="EX34" s="558" t="s">
        <v>1133</v>
      </c>
      <c r="EY34" s="558" t="s">
        <v>1133</v>
      </c>
      <c r="EZ34" s="558" t="s">
        <v>1133</v>
      </c>
      <c r="FA34" s="558" t="s">
        <v>1133</v>
      </c>
      <c r="FB34" s="558" t="s">
        <v>1133</v>
      </c>
      <c r="FC34" s="558" t="s">
        <v>1133</v>
      </c>
      <c r="FD34" s="558" t="s">
        <v>1133</v>
      </c>
      <c r="FE34" s="558" t="s">
        <v>1133</v>
      </c>
      <c r="FF34" s="558" t="s">
        <v>1133</v>
      </c>
      <c r="FG34" s="558" t="s">
        <v>1133</v>
      </c>
      <c r="FH34" s="558" t="s">
        <v>1133</v>
      </c>
      <c r="FI34" s="558">
        <v>24</v>
      </c>
      <c r="FJ34" s="558">
        <v>24</v>
      </c>
      <c r="FK34" s="558">
        <v>23</v>
      </c>
      <c r="FL34" s="558">
        <v>23</v>
      </c>
      <c r="FM34" s="558">
        <v>23</v>
      </c>
      <c r="FN34" s="558">
        <v>24</v>
      </c>
      <c r="FO34" s="558">
        <v>25</v>
      </c>
      <c r="FP34" s="558">
        <v>25</v>
      </c>
      <c r="FQ34" s="558">
        <v>25</v>
      </c>
      <c r="FR34" s="558">
        <v>24</v>
      </c>
      <c r="FS34" s="558">
        <v>21</v>
      </c>
      <c r="FT34" s="558">
        <v>21</v>
      </c>
      <c r="FU34" s="558">
        <v>22</v>
      </c>
      <c r="FV34" s="558">
        <v>22</v>
      </c>
      <c r="FW34" s="558">
        <v>23</v>
      </c>
      <c r="FX34" s="558">
        <v>23</v>
      </c>
      <c r="FY34" s="558">
        <v>22</v>
      </c>
      <c r="FZ34" s="558">
        <v>22</v>
      </c>
      <c r="GA34" s="558">
        <v>22</v>
      </c>
      <c r="GB34" s="558">
        <v>23</v>
      </c>
      <c r="GC34" s="558" t="s">
        <v>883</v>
      </c>
      <c r="GD34" s="558" t="s">
        <v>883</v>
      </c>
      <c r="GE34" s="558" t="s">
        <v>883</v>
      </c>
      <c r="GF34" s="558" t="s">
        <v>883</v>
      </c>
      <c r="GG34" s="558" t="s">
        <v>883</v>
      </c>
      <c r="GH34" s="558" t="s">
        <v>883</v>
      </c>
      <c r="GI34" s="558" t="s">
        <v>883</v>
      </c>
      <c r="GJ34" s="558" t="s">
        <v>883</v>
      </c>
      <c r="GK34" s="558" t="s">
        <v>883</v>
      </c>
      <c r="GL34" s="558" t="s">
        <v>883</v>
      </c>
      <c r="GM34" s="558" t="s">
        <v>883</v>
      </c>
      <c r="GN34" s="558" t="s">
        <v>883</v>
      </c>
      <c r="GO34" s="562" t="str">
        <f t="shared" si="1"/>
        <v/>
      </c>
      <c r="GP34" s="562" t="str">
        <f t="shared" si="2"/>
        <v/>
      </c>
      <c r="GQ34" s="562" t="str">
        <f t="shared" si="3"/>
        <v/>
      </c>
      <c r="GR34" s="562" t="str">
        <f t="shared" si="4"/>
        <v/>
      </c>
      <c r="GS34" s="562" t="str">
        <f t="shared" si="5"/>
        <v/>
      </c>
      <c r="GT34" s="562" t="str">
        <f t="shared" si="6"/>
        <v/>
      </c>
      <c r="GU34" s="562" t="str">
        <f t="shared" si="7"/>
        <v/>
      </c>
      <c r="GV34" s="562" t="str">
        <f t="shared" si="8"/>
        <v/>
      </c>
      <c r="GW34" s="562" t="str">
        <f t="shared" si="9"/>
        <v/>
      </c>
      <c r="GX34" s="562" t="str">
        <f t="shared" si="10"/>
        <v/>
      </c>
      <c r="GY34" s="562" t="str">
        <f t="shared" si="11"/>
        <v/>
      </c>
      <c r="GZ34" s="562" t="str">
        <f t="shared" si="12"/>
        <v/>
      </c>
      <c r="HA34" s="564" t="s">
        <v>1289</v>
      </c>
      <c r="HC34" s="349" t="s">
        <v>1041</v>
      </c>
      <c r="HD34" s="349" t="s">
        <v>1514</v>
      </c>
    </row>
    <row r="35" spans="2:212">
      <c r="B35" s="549">
        <v>31</v>
      </c>
      <c r="C35" s="549">
        <v>231</v>
      </c>
      <c r="D35" s="550" t="s">
        <v>1043</v>
      </c>
      <c r="E35" s="557" t="s">
        <v>13</v>
      </c>
      <c r="F35" s="555">
        <v>185</v>
      </c>
      <c r="G35" s="555">
        <v>135</v>
      </c>
      <c r="H35" s="555">
        <v>35</v>
      </c>
      <c r="I35" s="555">
        <v>15</v>
      </c>
      <c r="J35" s="551"/>
      <c r="K35" s="551"/>
      <c r="L35" s="551"/>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c r="AJ35" s="552"/>
      <c r="AK35" s="556"/>
      <c r="AL35" s="556"/>
      <c r="AM35" s="551"/>
      <c r="AN35" s="555" t="s">
        <v>11</v>
      </c>
      <c r="AO35" s="558" t="s">
        <v>883</v>
      </c>
      <c r="AP35" s="558" t="s">
        <v>883</v>
      </c>
      <c r="AQ35" s="558" t="s">
        <v>883</v>
      </c>
      <c r="AR35" s="558" t="s">
        <v>883</v>
      </c>
      <c r="AS35" s="558" t="s">
        <v>883</v>
      </c>
      <c r="AT35" s="558" t="s">
        <v>883</v>
      </c>
      <c r="AU35" s="558" t="s">
        <v>883</v>
      </c>
      <c r="AV35" s="558" t="s">
        <v>883</v>
      </c>
      <c r="AW35" s="558" t="s">
        <v>883</v>
      </c>
      <c r="AX35" s="558" t="s">
        <v>883</v>
      </c>
      <c r="AY35" s="558" t="s">
        <v>883</v>
      </c>
      <c r="AZ35" s="558" t="s">
        <v>883</v>
      </c>
      <c r="BA35" s="558" t="s">
        <v>883</v>
      </c>
      <c r="BB35" s="558" t="s">
        <v>883</v>
      </c>
      <c r="BC35" s="558" t="s">
        <v>883</v>
      </c>
      <c r="BD35" s="558" t="s">
        <v>883</v>
      </c>
      <c r="BE35" s="558" t="s">
        <v>883</v>
      </c>
      <c r="BF35" s="558" t="s">
        <v>883</v>
      </c>
      <c r="BG35" s="558" t="s">
        <v>883</v>
      </c>
      <c r="BH35" s="558" t="s">
        <v>883</v>
      </c>
      <c r="BI35" s="558" t="s">
        <v>883</v>
      </c>
      <c r="BJ35" s="558" t="s">
        <v>883</v>
      </c>
      <c r="BK35" s="558" t="s">
        <v>883</v>
      </c>
      <c r="BL35" s="558" t="s">
        <v>883</v>
      </c>
      <c r="BM35" s="558">
        <v>1</v>
      </c>
      <c r="BN35" s="558">
        <v>1</v>
      </c>
      <c r="BO35" s="558">
        <v>1</v>
      </c>
      <c r="BP35" s="558">
        <v>1</v>
      </c>
      <c r="BQ35" s="558">
        <v>1</v>
      </c>
      <c r="BR35" s="558">
        <v>2</v>
      </c>
      <c r="BS35" s="558">
        <v>2</v>
      </c>
      <c r="BT35" s="558">
        <v>2</v>
      </c>
      <c r="BU35" s="558">
        <v>2</v>
      </c>
      <c r="BV35" s="558">
        <v>2</v>
      </c>
      <c r="BW35" s="558">
        <v>2</v>
      </c>
      <c r="BX35" s="558">
        <v>2</v>
      </c>
      <c r="BY35" s="558">
        <v>0</v>
      </c>
      <c r="BZ35" s="558">
        <v>0</v>
      </c>
      <c r="CA35" s="558">
        <v>0</v>
      </c>
      <c r="CB35" s="558">
        <v>0</v>
      </c>
      <c r="CC35" s="558">
        <v>0</v>
      </c>
      <c r="CD35" s="558">
        <v>0</v>
      </c>
      <c r="CE35" s="558">
        <v>0</v>
      </c>
      <c r="CF35" s="558">
        <v>0</v>
      </c>
      <c r="CG35" s="558">
        <v>0</v>
      </c>
      <c r="CH35" s="558">
        <v>0</v>
      </c>
      <c r="CI35" s="558">
        <v>0</v>
      </c>
      <c r="CJ35" s="558">
        <v>0</v>
      </c>
      <c r="CK35" s="558">
        <v>0</v>
      </c>
      <c r="CL35" s="558">
        <v>0</v>
      </c>
      <c r="CM35" s="558">
        <v>0</v>
      </c>
      <c r="CN35" s="558">
        <v>0</v>
      </c>
      <c r="CO35" s="558">
        <v>0</v>
      </c>
      <c r="CP35" s="558">
        <v>0</v>
      </c>
      <c r="CQ35" s="558">
        <v>0</v>
      </c>
      <c r="CR35" s="558">
        <v>0</v>
      </c>
      <c r="CS35" s="558">
        <v>0</v>
      </c>
      <c r="CT35" s="558">
        <v>0</v>
      </c>
      <c r="CU35" s="558">
        <v>0</v>
      </c>
      <c r="CV35" s="558">
        <v>0</v>
      </c>
      <c r="CW35" s="558" t="s">
        <v>13</v>
      </c>
      <c r="CX35" s="558">
        <v>6</v>
      </c>
      <c r="CY35" s="559"/>
      <c r="CZ35" s="559"/>
      <c r="DA35" s="559"/>
      <c r="DB35" s="559"/>
      <c r="DC35" s="559"/>
      <c r="DD35" s="559"/>
      <c r="DE35" s="559"/>
      <c r="DF35" s="559"/>
      <c r="DG35" s="559"/>
      <c r="DH35" s="559"/>
      <c r="DI35" s="559"/>
      <c r="DJ35" s="559"/>
      <c r="DK35" s="559"/>
      <c r="DL35" s="559"/>
      <c r="DM35" s="559"/>
      <c r="DN35" s="559"/>
      <c r="DO35" s="559"/>
      <c r="DP35" s="559"/>
      <c r="DQ35" s="559"/>
      <c r="DR35" s="559"/>
      <c r="DS35" s="559"/>
      <c r="DT35" s="559"/>
      <c r="DU35" s="559"/>
      <c r="DV35" s="559"/>
      <c r="DW35" s="559"/>
      <c r="DX35" s="559"/>
      <c r="DY35" s="559"/>
      <c r="DZ35" s="559"/>
      <c r="EA35" s="559"/>
      <c r="EB35" s="559"/>
      <c r="EC35" s="559"/>
      <c r="ED35" s="559"/>
      <c r="EE35" s="559"/>
      <c r="EF35" s="559"/>
      <c r="EG35" s="559"/>
      <c r="EH35" s="559"/>
      <c r="EI35" s="558" t="s">
        <v>1133</v>
      </c>
      <c r="EJ35" s="558" t="s">
        <v>1133</v>
      </c>
      <c r="EK35" s="558" t="s">
        <v>1133</v>
      </c>
      <c r="EL35" s="558" t="s">
        <v>1133</v>
      </c>
      <c r="EM35" s="558" t="s">
        <v>1133</v>
      </c>
      <c r="EN35" s="558" t="s">
        <v>1133</v>
      </c>
      <c r="EO35" s="558" t="s">
        <v>1133</v>
      </c>
      <c r="EP35" s="558" t="s">
        <v>1133</v>
      </c>
      <c r="EQ35" s="558" t="s">
        <v>1133</v>
      </c>
      <c r="ER35" s="558" t="s">
        <v>1133</v>
      </c>
      <c r="ES35" s="558" t="s">
        <v>1133</v>
      </c>
      <c r="ET35" s="558" t="s">
        <v>1133</v>
      </c>
      <c r="EU35" s="558">
        <v>4200</v>
      </c>
      <c r="EV35" s="558">
        <v>4070</v>
      </c>
      <c r="EW35" s="558" t="s">
        <v>1592</v>
      </c>
      <c r="EX35" s="558" t="s">
        <v>1592</v>
      </c>
      <c r="EY35" s="558" t="s">
        <v>1592</v>
      </c>
      <c r="EZ35" s="558" t="s">
        <v>1592</v>
      </c>
      <c r="FA35" s="558" t="s">
        <v>1592</v>
      </c>
      <c r="FB35" s="558" t="s">
        <v>1592</v>
      </c>
      <c r="FC35" s="558" t="s">
        <v>1592</v>
      </c>
      <c r="FD35" s="558" t="s">
        <v>1592</v>
      </c>
      <c r="FE35" s="558" t="s">
        <v>1592</v>
      </c>
      <c r="FF35" s="558" t="s">
        <v>1592</v>
      </c>
      <c r="FG35" s="558" t="s">
        <v>1592</v>
      </c>
      <c r="FH35" s="558" t="s">
        <v>1592</v>
      </c>
      <c r="FI35" s="558">
        <v>95</v>
      </c>
      <c r="FJ35" s="558">
        <v>93</v>
      </c>
      <c r="FK35" s="558">
        <v>93</v>
      </c>
      <c r="FL35" s="558">
        <v>93</v>
      </c>
      <c r="FM35" s="558">
        <v>88</v>
      </c>
      <c r="FN35" s="558">
        <v>88</v>
      </c>
      <c r="FO35" s="558">
        <v>88</v>
      </c>
      <c r="FP35" s="558">
        <v>88</v>
      </c>
      <c r="FQ35" s="558">
        <v>88</v>
      </c>
      <c r="FR35" s="558">
        <v>88</v>
      </c>
      <c r="FS35" s="558">
        <v>16</v>
      </c>
      <c r="FT35" s="558">
        <v>16</v>
      </c>
      <c r="FU35" s="558">
        <v>16</v>
      </c>
      <c r="FV35" s="558">
        <v>16</v>
      </c>
      <c r="FW35" s="558">
        <v>21</v>
      </c>
      <c r="FX35" s="558">
        <v>21</v>
      </c>
      <c r="FY35" s="558">
        <v>21</v>
      </c>
      <c r="FZ35" s="558">
        <v>21</v>
      </c>
      <c r="GA35" s="558">
        <v>21</v>
      </c>
      <c r="GB35" s="558">
        <v>21</v>
      </c>
      <c r="GC35" s="558" t="s">
        <v>1595</v>
      </c>
      <c r="GD35" s="558" t="s">
        <v>1595</v>
      </c>
      <c r="GE35" s="558" t="s">
        <v>1595</v>
      </c>
      <c r="GF35" s="558" t="s">
        <v>1595</v>
      </c>
      <c r="GG35" s="558" t="s">
        <v>1595</v>
      </c>
      <c r="GH35" s="558" t="s">
        <v>1595</v>
      </c>
      <c r="GI35" s="558" t="s">
        <v>1595</v>
      </c>
      <c r="GJ35" s="558" t="s">
        <v>1595</v>
      </c>
      <c r="GK35" s="558" t="s">
        <v>1595</v>
      </c>
      <c r="GL35" s="558" t="s">
        <v>1595</v>
      </c>
      <c r="GM35" s="558" t="s">
        <v>1595</v>
      </c>
      <c r="GN35" s="558" t="s">
        <v>1595</v>
      </c>
      <c r="GO35" s="562">
        <f t="shared" si="1"/>
        <v>79950</v>
      </c>
      <c r="GP35" s="562">
        <f t="shared" si="2"/>
        <v>79950</v>
      </c>
      <c r="GQ35" s="562">
        <f t="shared" si="3"/>
        <v>79950</v>
      </c>
      <c r="GR35" s="562">
        <f t="shared" si="4"/>
        <v>79950</v>
      </c>
      <c r="GS35" s="562">
        <f t="shared" si="5"/>
        <v>79950</v>
      </c>
      <c r="GT35" s="562">
        <f t="shared" si="6"/>
        <v>79950</v>
      </c>
      <c r="GU35" s="562">
        <f t="shared" si="7"/>
        <v>79950</v>
      </c>
      <c r="GV35" s="562">
        <f t="shared" si="8"/>
        <v>79950</v>
      </c>
      <c r="GW35" s="562">
        <f t="shared" si="9"/>
        <v>79950</v>
      </c>
      <c r="GX35" s="562">
        <f t="shared" si="10"/>
        <v>79950</v>
      </c>
      <c r="GY35" s="562">
        <f t="shared" si="11"/>
        <v>79950</v>
      </c>
      <c r="GZ35" s="562">
        <f t="shared" si="12"/>
        <v>79950</v>
      </c>
      <c r="HA35" s="564" t="s">
        <v>1289</v>
      </c>
      <c r="HC35" s="349" t="s">
        <v>1043</v>
      </c>
      <c r="HD35" s="349" t="s">
        <v>1514</v>
      </c>
    </row>
    <row r="36" spans="2:212">
      <c r="B36" s="549">
        <v>32</v>
      </c>
      <c r="C36" s="549">
        <v>232</v>
      </c>
      <c r="D36" s="550" t="s">
        <v>1517</v>
      </c>
      <c r="E36" s="557" t="s">
        <v>13</v>
      </c>
      <c r="F36" s="555">
        <v>150</v>
      </c>
      <c r="G36" s="555">
        <v>120</v>
      </c>
      <c r="H36" s="555">
        <v>30</v>
      </c>
      <c r="I36" s="555">
        <v>0</v>
      </c>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2"/>
      <c r="AK36" s="556"/>
      <c r="AL36" s="556"/>
      <c r="AM36" s="551"/>
      <c r="AN36" s="555" t="s">
        <v>11</v>
      </c>
      <c r="AO36" s="558" t="s">
        <v>883</v>
      </c>
      <c r="AP36" s="558" t="s">
        <v>883</v>
      </c>
      <c r="AQ36" s="558" t="s">
        <v>883</v>
      </c>
      <c r="AR36" s="558" t="s">
        <v>883</v>
      </c>
      <c r="AS36" s="558" t="s">
        <v>883</v>
      </c>
      <c r="AT36" s="558" t="s">
        <v>883</v>
      </c>
      <c r="AU36" s="558" t="s">
        <v>883</v>
      </c>
      <c r="AV36" s="558" t="s">
        <v>883</v>
      </c>
      <c r="AW36" s="558" t="s">
        <v>883</v>
      </c>
      <c r="AX36" s="558" t="s">
        <v>883</v>
      </c>
      <c r="AY36" s="558" t="s">
        <v>883</v>
      </c>
      <c r="AZ36" s="558" t="s">
        <v>883</v>
      </c>
      <c r="BA36" s="558" t="s">
        <v>883</v>
      </c>
      <c r="BB36" s="558" t="s">
        <v>883</v>
      </c>
      <c r="BC36" s="558" t="s">
        <v>883</v>
      </c>
      <c r="BD36" s="558" t="s">
        <v>883</v>
      </c>
      <c r="BE36" s="558" t="s">
        <v>883</v>
      </c>
      <c r="BF36" s="558" t="s">
        <v>883</v>
      </c>
      <c r="BG36" s="558" t="s">
        <v>883</v>
      </c>
      <c r="BH36" s="558" t="s">
        <v>883</v>
      </c>
      <c r="BI36" s="558" t="s">
        <v>883</v>
      </c>
      <c r="BJ36" s="558" t="s">
        <v>883</v>
      </c>
      <c r="BK36" s="558" t="s">
        <v>883</v>
      </c>
      <c r="BL36" s="558" t="s">
        <v>883</v>
      </c>
      <c r="BM36" s="558">
        <v>0</v>
      </c>
      <c r="BN36" s="558">
        <v>0</v>
      </c>
      <c r="BO36" s="558">
        <v>0</v>
      </c>
      <c r="BP36" s="558">
        <v>0</v>
      </c>
      <c r="BQ36" s="558">
        <v>0</v>
      </c>
      <c r="BR36" s="558">
        <v>0</v>
      </c>
      <c r="BS36" s="558">
        <v>0</v>
      </c>
      <c r="BT36" s="558">
        <v>0</v>
      </c>
      <c r="BU36" s="558">
        <v>0</v>
      </c>
      <c r="BV36" s="558">
        <v>0</v>
      </c>
      <c r="BW36" s="558">
        <v>0</v>
      </c>
      <c r="BX36" s="558">
        <v>0</v>
      </c>
      <c r="BY36" s="558">
        <v>0</v>
      </c>
      <c r="BZ36" s="558">
        <v>0</v>
      </c>
      <c r="CA36" s="558">
        <v>0</v>
      </c>
      <c r="CB36" s="558">
        <v>0</v>
      </c>
      <c r="CC36" s="558">
        <v>0</v>
      </c>
      <c r="CD36" s="558">
        <v>0</v>
      </c>
      <c r="CE36" s="558">
        <v>0</v>
      </c>
      <c r="CF36" s="558">
        <v>0</v>
      </c>
      <c r="CG36" s="558">
        <v>0</v>
      </c>
      <c r="CH36" s="558">
        <v>0</v>
      </c>
      <c r="CI36" s="558">
        <v>0</v>
      </c>
      <c r="CJ36" s="558">
        <v>0</v>
      </c>
      <c r="CK36" s="558">
        <v>0</v>
      </c>
      <c r="CL36" s="558">
        <v>0</v>
      </c>
      <c r="CM36" s="558">
        <v>0</v>
      </c>
      <c r="CN36" s="558">
        <v>0</v>
      </c>
      <c r="CO36" s="558">
        <v>0</v>
      </c>
      <c r="CP36" s="558">
        <v>0</v>
      </c>
      <c r="CQ36" s="558">
        <v>0</v>
      </c>
      <c r="CR36" s="558">
        <v>0</v>
      </c>
      <c r="CS36" s="558">
        <v>0</v>
      </c>
      <c r="CT36" s="558">
        <v>0</v>
      </c>
      <c r="CU36" s="558">
        <v>0</v>
      </c>
      <c r="CV36" s="558">
        <v>0</v>
      </c>
      <c r="CW36" s="558" t="s">
        <v>13</v>
      </c>
      <c r="CX36" s="558">
        <v>0</v>
      </c>
      <c r="CY36" s="559"/>
      <c r="CZ36" s="559"/>
      <c r="DA36" s="559"/>
      <c r="DB36" s="559"/>
      <c r="DC36" s="559"/>
      <c r="DD36" s="559"/>
      <c r="DE36" s="559"/>
      <c r="DF36" s="559"/>
      <c r="DG36" s="559"/>
      <c r="DH36" s="559"/>
      <c r="DI36" s="559"/>
      <c r="DJ36" s="559"/>
      <c r="DK36" s="559"/>
      <c r="DL36" s="559"/>
      <c r="DM36" s="559"/>
      <c r="DN36" s="559"/>
      <c r="DO36" s="559"/>
      <c r="DP36" s="559"/>
      <c r="DQ36" s="559"/>
      <c r="DR36" s="559"/>
      <c r="DS36" s="559"/>
      <c r="DT36" s="559"/>
      <c r="DU36" s="559"/>
      <c r="DV36" s="559"/>
      <c r="DW36" s="559"/>
      <c r="DX36" s="559"/>
      <c r="DY36" s="559"/>
      <c r="DZ36" s="559"/>
      <c r="EA36" s="559"/>
      <c r="EB36" s="559"/>
      <c r="EC36" s="559"/>
      <c r="ED36" s="559"/>
      <c r="EE36" s="559"/>
      <c r="EF36" s="559"/>
      <c r="EG36" s="559"/>
      <c r="EH36" s="559"/>
      <c r="EI36" s="558" t="s">
        <v>1133</v>
      </c>
      <c r="EJ36" s="558" t="s">
        <v>1133</v>
      </c>
      <c r="EK36" s="558" t="s">
        <v>1133</v>
      </c>
      <c r="EL36" s="558" t="s">
        <v>1133</v>
      </c>
      <c r="EM36" s="558" t="s">
        <v>1133</v>
      </c>
      <c r="EN36" s="558" t="s">
        <v>1133</v>
      </c>
      <c r="EO36" s="558" t="s">
        <v>1133</v>
      </c>
      <c r="EP36" s="558" t="s">
        <v>1133</v>
      </c>
      <c r="EQ36" s="558" t="s">
        <v>1133</v>
      </c>
      <c r="ER36" s="558" t="s">
        <v>1133</v>
      </c>
      <c r="ES36" s="558" t="s">
        <v>1133</v>
      </c>
      <c r="ET36" s="558" t="s">
        <v>1133</v>
      </c>
      <c r="EU36" s="558">
        <v>4200</v>
      </c>
      <c r="EV36" s="558">
        <v>4070</v>
      </c>
      <c r="EW36" s="558" t="s">
        <v>1592</v>
      </c>
      <c r="EX36" s="558" t="s">
        <v>1592</v>
      </c>
      <c r="EY36" s="558" t="s">
        <v>1592</v>
      </c>
      <c r="EZ36" s="558" t="s">
        <v>1592</v>
      </c>
      <c r="FA36" s="558" t="s">
        <v>1592</v>
      </c>
      <c r="FB36" s="558" t="s">
        <v>1592</v>
      </c>
      <c r="FC36" s="558" t="s">
        <v>1592</v>
      </c>
      <c r="FD36" s="558" t="s">
        <v>1592</v>
      </c>
      <c r="FE36" s="558" t="s">
        <v>1592</v>
      </c>
      <c r="FF36" s="558" t="s">
        <v>1592</v>
      </c>
      <c r="FG36" s="558" t="s">
        <v>1592</v>
      </c>
      <c r="FH36" s="558" t="s">
        <v>1592</v>
      </c>
      <c r="FI36" s="558">
        <v>60</v>
      </c>
      <c r="FJ36" s="558">
        <v>59</v>
      </c>
      <c r="FK36" s="558">
        <v>59</v>
      </c>
      <c r="FL36" s="558">
        <v>59</v>
      </c>
      <c r="FM36" s="558">
        <v>59</v>
      </c>
      <c r="FN36" s="558">
        <v>59</v>
      </c>
      <c r="FO36" s="558">
        <v>59</v>
      </c>
      <c r="FP36" s="558">
        <v>61</v>
      </c>
      <c r="FQ36" s="558">
        <v>61</v>
      </c>
      <c r="FR36" s="558">
        <v>60</v>
      </c>
      <c r="FS36" s="558">
        <v>22</v>
      </c>
      <c r="FT36" s="558">
        <v>24</v>
      </c>
      <c r="FU36" s="558">
        <v>24</v>
      </c>
      <c r="FV36" s="558">
        <v>24</v>
      </c>
      <c r="FW36" s="558">
        <v>24</v>
      </c>
      <c r="FX36" s="558">
        <v>24</v>
      </c>
      <c r="FY36" s="558">
        <v>24</v>
      </c>
      <c r="FZ36" s="558">
        <v>24</v>
      </c>
      <c r="GA36" s="558">
        <v>24</v>
      </c>
      <c r="GB36" s="558">
        <v>24</v>
      </c>
      <c r="GC36" s="558" t="s">
        <v>1596</v>
      </c>
      <c r="GD36" s="558" t="s">
        <v>1596</v>
      </c>
      <c r="GE36" s="558" t="s">
        <v>1596</v>
      </c>
      <c r="GF36" s="558" t="s">
        <v>1596</v>
      </c>
      <c r="GG36" s="558" t="s">
        <v>1596</v>
      </c>
      <c r="GH36" s="558" t="s">
        <v>1596</v>
      </c>
      <c r="GI36" s="558" t="s">
        <v>1596</v>
      </c>
      <c r="GJ36" s="558" t="s">
        <v>1596</v>
      </c>
      <c r="GK36" s="558" t="s">
        <v>1596</v>
      </c>
      <c r="GL36" s="558" t="s">
        <v>1596</v>
      </c>
      <c r="GM36" s="558" t="s">
        <v>1596</v>
      </c>
      <c r="GN36" s="558" t="s">
        <v>1596</v>
      </c>
      <c r="GO36" s="562" t="str">
        <f t="shared" ref="GO36:GO47" si="13">IF(GC36="配置",$GO$3,"")</f>
        <v/>
      </c>
      <c r="GP36" s="562" t="str">
        <f t="shared" ref="GP36:GP47" si="14">IF(GD36="配置",$GO$3,"")</f>
        <v/>
      </c>
      <c r="GQ36" s="562" t="str">
        <f t="shared" ref="GQ36:GQ47" si="15">IF(GE36="配置",$GO$3,"")</f>
        <v/>
      </c>
      <c r="GR36" s="562" t="str">
        <f t="shared" ref="GR36:GR47" si="16">IF(GF36="配置",$GO$3,"")</f>
        <v/>
      </c>
      <c r="GS36" s="562" t="str">
        <f t="shared" ref="GS36:GS47" si="17">IF(GG36="配置",$GO$3,"")</f>
        <v/>
      </c>
      <c r="GT36" s="562" t="str">
        <f t="shared" ref="GT36:GT47" si="18">IF(GH36="配置",$GO$3,"")</f>
        <v/>
      </c>
      <c r="GU36" s="562" t="str">
        <f t="shared" ref="GU36:GU47" si="19">IF(GI36="配置",$GO$3,"")</f>
        <v/>
      </c>
      <c r="GV36" s="562" t="str">
        <f t="shared" ref="GV36:GV47" si="20">IF(GJ36="配置",$GO$3,"")</f>
        <v/>
      </c>
      <c r="GW36" s="562" t="str">
        <f t="shared" ref="GW36:GW47" si="21">IF(GK36="配置",$GO$3,"")</f>
        <v/>
      </c>
      <c r="GX36" s="562" t="str">
        <f t="shared" ref="GX36:GX47" si="22">IF(GL36="配置",$GO$3,"")</f>
        <v/>
      </c>
      <c r="GY36" s="562" t="str">
        <f t="shared" ref="GY36:GY47" si="23">IF(GM36="配置",$GO$3,"")</f>
        <v/>
      </c>
      <c r="GZ36" s="562" t="str">
        <f t="shared" ref="GZ36:GZ47" si="24">IF(GN36="配置",$GO$3,"")</f>
        <v/>
      </c>
      <c r="HA36" s="564" t="s">
        <v>1289</v>
      </c>
      <c r="HC36" s="349" t="s">
        <v>1516</v>
      </c>
      <c r="HD36" s="349" t="s">
        <v>1515</v>
      </c>
    </row>
    <row r="37" spans="2:212">
      <c r="B37" s="549">
        <v>33</v>
      </c>
      <c r="C37" s="549">
        <v>233</v>
      </c>
      <c r="D37" s="550" t="s">
        <v>1046</v>
      </c>
      <c r="E37" s="557" t="s">
        <v>13</v>
      </c>
      <c r="F37" s="555">
        <v>190</v>
      </c>
      <c r="G37" s="555">
        <v>160</v>
      </c>
      <c r="H37" s="555">
        <v>30</v>
      </c>
      <c r="I37" s="555">
        <v>0</v>
      </c>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51"/>
      <c r="AJ37" s="552"/>
      <c r="AK37" s="556"/>
      <c r="AL37" s="556"/>
      <c r="AM37" s="551"/>
      <c r="AN37" s="555" t="s">
        <v>11</v>
      </c>
      <c r="AO37" s="558" t="s">
        <v>883</v>
      </c>
      <c r="AP37" s="558" t="s">
        <v>883</v>
      </c>
      <c r="AQ37" s="558" t="s">
        <v>883</v>
      </c>
      <c r="AR37" s="558" t="s">
        <v>883</v>
      </c>
      <c r="AS37" s="558" t="s">
        <v>883</v>
      </c>
      <c r="AT37" s="558" t="s">
        <v>883</v>
      </c>
      <c r="AU37" s="558" t="s">
        <v>883</v>
      </c>
      <c r="AV37" s="558" t="s">
        <v>883</v>
      </c>
      <c r="AW37" s="558" t="s">
        <v>883</v>
      </c>
      <c r="AX37" s="558" t="s">
        <v>883</v>
      </c>
      <c r="AY37" s="558" t="s">
        <v>883</v>
      </c>
      <c r="AZ37" s="558" t="s">
        <v>883</v>
      </c>
      <c r="BA37" s="558" t="s">
        <v>883</v>
      </c>
      <c r="BB37" s="558" t="s">
        <v>883</v>
      </c>
      <c r="BC37" s="558" t="s">
        <v>883</v>
      </c>
      <c r="BD37" s="558" t="s">
        <v>883</v>
      </c>
      <c r="BE37" s="558" t="s">
        <v>883</v>
      </c>
      <c r="BF37" s="558" t="s">
        <v>883</v>
      </c>
      <c r="BG37" s="558" t="s">
        <v>883</v>
      </c>
      <c r="BH37" s="558" t="s">
        <v>883</v>
      </c>
      <c r="BI37" s="558" t="s">
        <v>883</v>
      </c>
      <c r="BJ37" s="558" t="s">
        <v>883</v>
      </c>
      <c r="BK37" s="558" t="s">
        <v>883</v>
      </c>
      <c r="BL37" s="558" t="s">
        <v>883</v>
      </c>
      <c r="BM37" s="558">
        <v>0</v>
      </c>
      <c r="BN37" s="558">
        <v>0</v>
      </c>
      <c r="BO37" s="558">
        <v>0</v>
      </c>
      <c r="BP37" s="558">
        <v>0</v>
      </c>
      <c r="BQ37" s="558">
        <v>0</v>
      </c>
      <c r="BR37" s="558">
        <v>0</v>
      </c>
      <c r="BS37" s="558">
        <v>0</v>
      </c>
      <c r="BT37" s="558">
        <v>0</v>
      </c>
      <c r="BU37" s="558">
        <v>0</v>
      </c>
      <c r="BV37" s="558">
        <v>0</v>
      </c>
      <c r="BW37" s="558">
        <v>0</v>
      </c>
      <c r="BX37" s="558">
        <v>0</v>
      </c>
      <c r="BY37" s="558">
        <v>0</v>
      </c>
      <c r="BZ37" s="558">
        <v>0</v>
      </c>
      <c r="CA37" s="558">
        <v>0</v>
      </c>
      <c r="CB37" s="558">
        <v>0</v>
      </c>
      <c r="CC37" s="558">
        <v>0</v>
      </c>
      <c r="CD37" s="558">
        <v>0</v>
      </c>
      <c r="CE37" s="558">
        <v>0</v>
      </c>
      <c r="CF37" s="558">
        <v>0</v>
      </c>
      <c r="CG37" s="558">
        <v>0</v>
      </c>
      <c r="CH37" s="558">
        <v>0</v>
      </c>
      <c r="CI37" s="558">
        <v>0</v>
      </c>
      <c r="CJ37" s="558">
        <v>0</v>
      </c>
      <c r="CK37" s="558">
        <v>0</v>
      </c>
      <c r="CL37" s="558">
        <v>0</v>
      </c>
      <c r="CM37" s="558">
        <v>0</v>
      </c>
      <c r="CN37" s="558">
        <v>0</v>
      </c>
      <c r="CO37" s="558">
        <v>0</v>
      </c>
      <c r="CP37" s="558">
        <v>0</v>
      </c>
      <c r="CQ37" s="558">
        <v>0</v>
      </c>
      <c r="CR37" s="558">
        <v>0</v>
      </c>
      <c r="CS37" s="558">
        <v>0</v>
      </c>
      <c r="CT37" s="558">
        <v>0</v>
      </c>
      <c r="CU37" s="558">
        <v>0</v>
      </c>
      <c r="CV37" s="558">
        <v>0</v>
      </c>
      <c r="CW37" s="558" t="s">
        <v>13</v>
      </c>
      <c r="CX37" s="558">
        <v>0</v>
      </c>
      <c r="CY37" s="559"/>
      <c r="CZ37" s="559"/>
      <c r="DA37" s="559"/>
      <c r="DB37" s="559"/>
      <c r="DC37" s="559"/>
      <c r="DD37" s="559"/>
      <c r="DE37" s="559"/>
      <c r="DF37" s="559"/>
      <c r="DG37" s="559"/>
      <c r="DH37" s="559"/>
      <c r="DI37" s="559"/>
      <c r="DJ37" s="559"/>
      <c r="DK37" s="559"/>
      <c r="DL37" s="559"/>
      <c r="DM37" s="559"/>
      <c r="DN37" s="559"/>
      <c r="DO37" s="559"/>
      <c r="DP37" s="559"/>
      <c r="DQ37" s="559"/>
      <c r="DR37" s="559"/>
      <c r="DS37" s="559"/>
      <c r="DT37" s="559"/>
      <c r="DU37" s="559"/>
      <c r="DV37" s="559"/>
      <c r="DW37" s="559"/>
      <c r="DX37" s="559"/>
      <c r="DY37" s="559"/>
      <c r="DZ37" s="559"/>
      <c r="EA37" s="559"/>
      <c r="EB37" s="559"/>
      <c r="EC37" s="559"/>
      <c r="ED37" s="559"/>
      <c r="EE37" s="559"/>
      <c r="EF37" s="559"/>
      <c r="EG37" s="559"/>
      <c r="EH37" s="559"/>
      <c r="EI37" s="558" t="s">
        <v>1133</v>
      </c>
      <c r="EJ37" s="558" t="s">
        <v>1133</v>
      </c>
      <c r="EK37" s="558" t="s">
        <v>1133</v>
      </c>
      <c r="EL37" s="558" t="s">
        <v>1133</v>
      </c>
      <c r="EM37" s="558" t="s">
        <v>1133</v>
      </c>
      <c r="EN37" s="558" t="s">
        <v>1133</v>
      </c>
      <c r="EO37" s="558" t="s">
        <v>1133</v>
      </c>
      <c r="EP37" s="558" t="s">
        <v>1133</v>
      </c>
      <c r="EQ37" s="558" t="s">
        <v>1133</v>
      </c>
      <c r="ER37" s="558" t="s">
        <v>1133</v>
      </c>
      <c r="ES37" s="558" t="s">
        <v>1133</v>
      </c>
      <c r="ET37" s="558" t="s">
        <v>1133</v>
      </c>
      <c r="EU37" s="558">
        <v>4170</v>
      </c>
      <c r="EV37" s="558">
        <v>4040</v>
      </c>
      <c r="EW37" s="558" t="s">
        <v>1592</v>
      </c>
      <c r="EX37" s="558" t="s">
        <v>1592</v>
      </c>
      <c r="EY37" s="558" t="s">
        <v>1592</v>
      </c>
      <c r="EZ37" s="558" t="s">
        <v>1592</v>
      </c>
      <c r="FA37" s="558" t="s">
        <v>1592</v>
      </c>
      <c r="FB37" s="558" t="s">
        <v>1592</v>
      </c>
      <c r="FC37" s="558" t="s">
        <v>1592</v>
      </c>
      <c r="FD37" s="558" t="s">
        <v>1592</v>
      </c>
      <c r="FE37" s="558" t="s">
        <v>1592</v>
      </c>
      <c r="FF37" s="558" t="s">
        <v>1592</v>
      </c>
      <c r="FG37" s="558" t="s">
        <v>1592</v>
      </c>
      <c r="FH37" s="558" t="s">
        <v>1592</v>
      </c>
      <c r="FI37" s="558">
        <v>67</v>
      </c>
      <c r="FJ37" s="558">
        <v>67</v>
      </c>
      <c r="FK37" s="558">
        <v>68</v>
      </c>
      <c r="FL37" s="558">
        <v>68</v>
      </c>
      <c r="FM37" s="558">
        <v>68</v>
      </c>
      <c r="FN37" s="558">
        <v>68</v>
      </c>
      <c r="FO37" s="558">
        <v>67</v>
      </c>
      <c r="FP37" s="558">
        <v>67</v>
      </c>
      <c r="FQ37" s="558">
        <v>66</v>
      </c>
      <c r="FR37" s="558">
        <v>66</v>
      </c>
      <c r="FS37" s="558">
        <v>32</v>
      </c>
      <c r="FT37" s="558">
        <v>32</v>
      </c>
      <c r="FU37" s="558">
        <v>31</v>
      </c>
      <c r="FV37" s="558">
        <v>31</v>
      </c>
      <c r="FW37" s="558">
        <v>31</v>
      </c>
      <c r="FX37" s="558">
        <v>31</v>
      </c>
      <c r="FY37" s="558">
        <v>31</v>
      </c>
      <c r="FZ37" s="558">
        <v>31</v>
      </c>
      <c r="GA37" s="558">
        <v>31</v>
      </c>
      <c r="GB37" s="558">
        <v>31</v>
      </c>
      <c r="GC37" s="558" t="s">
        <v>883</v>
      </c>
      <c r="GD37" s="558" t="s">
        <v>883</v>
      </c>
      <c r="GE37" s="558" t="s">
        <v>883</v>
      </c>
      <c r="GF37" s="558" t="s">
        <v>883</v>
      </c>
      <c r="GG37" s="558" t="s">
        <v>883</v>
      </c>
      <c r="GH37" s="558" t="s">
        <v>883</v>
      </c>
      <c r="GI37" s="558" t="s">
        <v>883</v>
      </c>
      <c r="GJ37" s="558" t="s">
        <v>883</v>
      </c>
      <c r="GK37" s="558" t="s">
        <v>883</v>
      </c>
      <c r="GL37" s="558" t="s">
        <v>883</v>
      </c>
      <c r="GM37" s="558" t="s">
        <v>883</v>
      </c>
      <c r="GN37" s="558" t="s">
        <v>883</v>
      </c>
      <c r="GO37" s="562" t="str">
        <f t="shared" si="13"/>
        <v/>
      </c>
      <c r="GP37" s="562" t="str">
        <f t="shared" si="14"/>
        <v/>
      </c>
      <c r="GQ37" s="562" t="str">
        <f t="shared" si="15"/>
        <v/>
      </c>
      <c r="GR37" s="562" t="str">
        <f t="shared" si="16"/>
        <v/>
      </c>
      <c r="GS37" s="562" t="str">
        <f t="shared" si="17"/>
        <v/>
      </c>
      <c r="GT37" s="562" t="str">
        <f t="shared" si="18"/>
        <v/>
      </c>
      <c r="GU37" s="562" t="str">
        <f t="shared" si="19"/>
        <v/>
      </c>
      <c r="GV37" s="562" t="str">
        <f t="shared" si="20"/>
        <v/>
      </c>
      <c r="GW37" s="562" t="str">
        <f t="shared" si="21"/>
        <v/>
      </c>
      <c r="GX37" s="562" t="str">
        <f t="shared" si="22"/>
        <v/>
      </c>
      <c r="GY37" s="562" t="str">
        <f t="shared" si="23"/>
        <v/>
      </c>
      <c r="GZ37" s="562" t="str">
        <f t="shared" si="24"/>
        <v/>
      </c>
      <c r="HA37" s="564" t="s">
        <v>1289</v>
      </c>
      <c r="HC37" s="349" t="s">
        <v>1517</v>
      </c>
      <c r="HD37" s="349" t="s">
        <v>1515</v>
      </c>
    </row>
    <row r="38" spans="2:212">
      <c r="B38" s="549">
        <v>34</v>
      </c>
      <c r="C38" s="549">
        <v>234</v>
      </c>
      <c r="D38" s="550" t="s">
        <v>1047</v>
      </c>
      <c r="E38" s="557" t="s">
        <v>13</v>
      </c>
      <c r="F38" s="555">
        <v>90</v>
      </c>
      <c r="G38" s="555">
        <v>60</v>
      </c>
      <c r="H38" s="555">
        <v>18</v>
      </c>
      <c r="I38" s="555">
        <v>12</v>
      </c>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2"/>
      <c r="AK38" s="556"/>
      <c r="AL38" s="556"/>
      <c r="AM38" s="551"/>
      <c r="AN38" s="555" t="s">
        <v>11</v>
      </c>
      <c r="AO38" s="558" t="s">
        <v>883</v>
      </c>
      <c r="AP38" s="558" t="s">
        <v>883</v>
      </c>
      <c r="AQ38" s="558" t="s">
        <v>883</v>
      </c>
      <c r="AR38" s="558" t="s">
        <v>883</v>
      </c>
      <c r="AS38" s="558" t="s">
        <v>883</v>
      </c>
      <c r="AT38" s="558" t="s">
        <v>883</v>
      </c>
      <c r="AU38" s="558" t="s">
        <v>883</v>
      </c>
      <c r="AV38" s="558" t="s">
        <v>883</v>
      </c>
      <c r="AW38" s="558" t="s">
        <v>883</v>
      </c>
      <c r="AX38" s="558" t="s">
        <v>883</v>
      </c>
      <c r="AY38" s="558" t="s">
        <v>883</v>
      </c>
      <c r="AZ38" s="558" t="s">
        <v>883</v>
      </c>
      <c r="BA38" s="558" t="s">
        <v>883</v>
      </c>
      <c r="BB38" s="558" t="s">
        <v>883</v>
      </c>
      <c r="BC38" s="558" t="s">
        <v>883</v>
      </c>
      <c r="BD38" s="558" t="s">
        <v>883</v>
      </c>
      <c r="BE38" s="558" t="s">
        <v>883</v>
      </c>
      <c r="BF38" s="558" t="s">
        <v>883</v>
      </c>
      <c r="BG38" s="558" t="s">
        <v>883</v>
      </c>
      <c r="BH38" s="558" t="s">
        <v>883</v>
      </c>
      <c r="BI38" s="558" t="s">
        <v>883</v>
      </c>
      <c r="BJ38" s="558" t="s">
        <v>883</v>
      </c>
      <c r="BK38" s="558" t="s">
        <v>883</v>
      </c>
      <c r="BL38" s="558" t="s">
        <v>883</v>
      </c>
      <c r="BM38" s="558">
        <v>0</v>
      </c>
      <c r="BN38" s="558">
        <v>0</v>
      </c>
      <c r="BO38" s="558">
        <v>0</v>
      </c>
      <c r="BP38" s="558">
        <v>0</v>
      </c>
      <c r="BQ38" s="558">
        <v>0</v>
      </c>
      <c r="BR38" s="558">
        <v>0</v>
      </c>
      <c r="BS38" s="558">
        <v>0</v>
      </c>
      <c r="BT38" s="558">
        <v>0</v>
      </c>
      <c r="BU38" s="558">
        <v>0</v>
      </c>
      <c r="BV38" s="558">
        <v>0</v>
      </c>
      <c r="BW38" s="558">
        <v>0</v>
      </c>
      <c r="BX38" s="558">
        <v>0</v>
      </c>
      <c r="BY38" s="558">
        <v>0</v>
      </c>
      <c r="BZ38" s="558">
        <v>0</v>
      </c>
      <c r="CA38" s="558">
        <v>0</v>
      </c>
      <c r="CB38" s="558">
        <v>0</v>
      </c>
      <c r="CC38" s="558">
        <v>0</v>
      </c>
      <c r="CD38" s="558">
        <v>0</v>
      </c>
      <c r="CE38" s="558">
        <v>0</v>
      </c>
      <c r="CF38" s="558">
        <v>0</v>
      </c>
      <c r="CG38" s="558">
        <v>0</v>
      </c>
      <c r="CH38" s="558">
        <v>0</v>
      </c>
      <c r="CI38" s="558">
        <v>0</v>
      </c>
      <c r="CJ38" s="558">
        <v>0</v>
      </c>
      <c r="CK38" s="558">
        <v>0</v>
      </c>
      <c r="CL38" s="558">
        <v>0</v>
      </c>
      <c r="CM38" s="558">
        <v>0</v>
      </c>
      <c r="CN38" s="558">
        <v>0</v>
      </c>
      <c r="CO38" s="558">
        <v>0</v>
      </c>
      <c r="CP38" s="558">
        <v>0</v>
      </c>
      <c r="CQ38" s="558">
        <v>0</v>
      </c>
      <c r="CR38" s="558">
        <v>0</v>
      </c>
      <c r="CS38" s="558">
        <v>0</v>
      </c>
      <c r="CT38" s="558">
        <v>0</v>
      </c>
      <c r="CU38" s="558">
        <v>0</v>
      </c>
      <c r="CV38" s="558">
        <v>0</v>
      </c>
      <c r="CW38" s="558" t="s">
        <v>13</v>
      </c>
      <c r="CX38" s="558">
        <v>0</v>
      </c>
      <c r="CY38" s="559"/>
      <c r="CZ38" s="559"/>
      <c r="DA38" s="559"/>
      <c r="DB38" s="559"/>
      <c r="DC38" s="559"/>
      <c r="DD38" s="559"/>
      <c r="DE38" s="559"/>
      <c r="DF38" s="559"/>
      <c r="DG38" s="559"/>
      <c r="DH38" s="559"/>
      <c r="DI38" s="559"/>
      <c r="DJ38" s="559"/>
      <c r="DK38" s="559"/>
      <c r="DL38" s="559"/>
      <c r="DM38" s="559"/>
      <c r="DN38" s="559"/>
      <c r="DO38" s="559"/>
      <c r="DP38" s="559"/>
      <c r="DQ38" s="559"/>
      <c r="DR38" s="559"/>
      <c r="DS38" s="559"/>
      <c r="DT38" s="559"/>
      <c r="DU38" s="559"/>
      <c r="DV38" s="559"/>
      <c r="DW38" s="559"/>
      <c r="DX38" s="559"/>
      <c r="DY38" s="559"/>
      <c r="DZ38" s="559"/>
      <c r="EA38" s="559"/>
      <c r="EB38" s="559"/>
      <c r="EC38" s="559"/>
      <c r="ED38" s="559"/>
      <c r="EE38" s="559"/>
      <c r="EF38" s="559"/>
      <c r="EG38" s="559"/>
      <c r="EH38" s="559"/>
      <c r="EI38" s="558" t="s">
        <v>1133</v>
      </c>
      <c r="EJ38" s="558" t="s">
        <v>1133</v>
      </c>
      <c r="EK38" s="558" t="s">
        <v>1133</v>
      </c>
      <c r="EL38" s="558" t="s">
        <v>1133</v>
      </c>
      <c r="EM38" s="558" t="s">
        <v>1133</v>
      </c>
      <c r="EN38" s="558" t="s">
        <v>1133</v>
      </c>
      <c r="EO38" s="558" t="s">
        <v>1133</v>
      </c>
      <c r="EP38" s="558" t="s">
        <v>1133</v>
      </c>
      <c r="EQ38" s="558" t="s">
        <v>1133</v>
      </c>
      <c r="ER38" s="558" t="s">
        <v>1133</v>
      </c>
      <c r="ES38" s="558" t="s">
        <v>1133</v>
      </c>
      <c r="ET38" s="558" t="s">
        <v>1133</v>
      </c>
      <c r="EU38" s="558">
        <v>4200</v>
      </c>
      <c r="EV38" s="558">
        <v>4070</v>
      </c>
      <c r="EW38" s="558" t="s">
        <v>1133</v>
      </c>
      <c r="EX38" s="558" t="s">
        <v>1133</v>
      </c>
      <c r="EY38" s="558" t="s">
        <v>1133</v>
      </c>
      <c r="EZ38" s="558" t="s">
        <v>1133</v>
      </c>
      <c r="FA38" s="558" t="s">
        <v>1133</v>
      </c>
      <c r="FB38" s="558" t="s">
        <v>1133</v>
      </c>
      <c r="FC38" s="558" t="s">
        <v>1133</v>
      </c>
      <c r="FD38" s="558" t="s">
        <v>1133</v>
      </c>
      <c r="FE38" s="558" t="s">
        <v>1133</v>
      </c>
      <c r="FF38" s="558" t="s">
        <v>1133</v>
      </c>
      <c r="FG38" s="558" t="s">
        <v>1133</v>
      </c>
      <c r="FH38" s="558" t="s">
        <v>1133</v>
      </c>
      <c r="FI38" s="558">
        <v>15</v>
      </c>
      <c r="FJ38" s="558">
        <v>16</v>
      </c>
      <c r="FK38" s="558">
        <v>15</v>
      </c>
      <c r="FL38" s="558">
        <v>15</v>
      </c>
      <c r="FM38" s="558">
        <v>15</v>
      </c>
      <c r="FN38" s="558">
        <v>15</v>
      </c>
      <c r="FO38" s="558">
        <v>14</v>
      </c>
      <c r="FP38" s="558">
        <v>14</v>
      </c>
      <c r="FQ38" s="558">
        <v>14</v>
      </c>
      <c r="FR38" s="558">
        <v>14</v>
      </c>
      <c r="FS38" s="558">
        <v>15</v>
      </c>
      <c r="FT38" s="558">
        <v>15</v>
      </c>
      <c r="FU38" s="558">
        <v>16</v>
      </c>
      <c r="FV38" s="558">
        <v>16</v>
      </c>
      <c r="FW38" s="558">
        <v>16</v>
      </c>
      <c r="FX38" s="558">
        <v>16</v>
      </c>
      <c r="FY38" s="558">
        <v>16</v>
      </c>
      <c r="FZ38" s="558">
        <v>16</v>
      </c>
      <c r="GA38" s="558">
        <v>16</v>
      </c>
      <c r="GB38" s="558">
        <v>16</v>
      </c>
      <c r="GC38" s="558" t="s">
        <v>1597</v>
      </c>
      <c r="GD38" s="558" t="s">
        <v>1597</v>
      </c>
      <c r="GE38" s="558" t="s">
        <v>1597</v>
      </c>
      <c r="GF38" s="558" t="s">
        <v>1597</v>
      </c>
      <c r="GG38" s="558" t="s">
        <v>1597</v>
      </c>
      <c r="GH38" s="558" t="s">
        <v>1597</v>
      </c>
      <c r="GI38" s="558" t="s">
        <v>1597</v>
      </c>
      <c r="GJ38" s="558" t="s">
        <v>1597</v>
      </c>
      <c r="GK38" s="558" t="s">
        <v>1597</v>
      </c>
      <c r="GL38" s="558" t="s">
        <v>1597</v>
      </c>
      <c r="GM38" s="558" t="s">
        <v>1597</v>
      </c>
      <c r="GN38" s="558" t="s">
        <v>1597</v>
      </c>
      <c r="GO38" s="562" t="str">
        <f t="shared" si="13"/>
        <v/>
      </c>
      <c r="GP38" s="562" t="str">
        <f t="shared" si="14"/>
        <v/>
      </c>
      <c r="GQ38" s="562" t="str">
        <f t="shared" si="15"/>
        <v/>
      </c>
      <c r="GR38" s="562" t="str">
        <f t="shared" si="16"/>
        <v/>
      </c>
      <c r="GS38" s="562" t="str">
        <f t="shared" si="17"/>
        <v/>
      </c>
      <c r="GT38" s="562" t="str">
        <f t="shared" si="18"/>
        <v/>
      </c>
      <c r="GU38" s="562" t="str">
        <f t="shared" si="19"/>
        <v/>
      </c>
      <c r="GV38" s="562" t="str">
        <f t="shared" si="20"/>
        <v/>
      </c>
      <c r="GW38" s="562" t="str">
        <f t="shared" si="21"/>
        <v/>
      </c>
      <c r="GX38" s="562" t="str">
        <f t="shared" si="22"/>
        <v/>
      </c>
      <c r="GY38" s="562" t="str">
        <f t="shared" si="23"/>
        <v/>
      </c>
      <c r="GZ38" s="562" t="str">
        <f t="shared" si="24"/>
        <v/>
      </c>
      <c r="HA38" s="564" t="s">
        <v>1289</v>
      </c>
      <c r="HC38" s="349" t="s">
        <v>1046</v>
      </c>
      <c r="HD38" s="349" t="s">
        <v>1514</v>
      </c>
    </row>
    <row r="39" spans="2:212">
      <c r="B39" s="549">
        <v>35</v>
      </c>
      <c r="C39" s="549">
        <v>235</v>
      </c>
      <c r="D39" s="550" t="s">
        <v>1048</v>
      </c>
      <c r="E39" s="557" t="s">
        <v>13</v>
      </c>
      <c r="F39" s="555">
        <v>146</v>
      </c>
      <c r="G39" s="555">
        <v>6</v>
      </c>
      <c r="H39" s="555">
        <v>79</v>
      </c>
      <c r="I39" s="555">
        <v>61</v>
      </c>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2"/>
      <c r="AK39" s="556"/>
      <c r="AL39" s="556"/>
      <c r="AM39" s="551"/>
      <c r="AN39" s="555" t="s">
        <v>11</v>
      </c>
      <c r="AO39" s="558" t="s">
        <v>12</v>
      </c>
      <c r="AP39" s="558" t="s">
        <v>12</v>
      </c>
      <c r="AQ39" s="558" t="s">
        <v>12</v>
      </c>
      <c r="AR39" s="558" t="s">
        <v>12</v>
      </c>
      <c r="AS39" s="558" t="s">
        <v>12</v>
      </c>
      <c r="AT39" s="558" t="s">
        <v>12</v>
      </c>
      <c r="AU39" s="558" t="s">
        <v>12</v>
      </c>
      <c r="AV39" s="558" t="s">
        <v>12</v>
      </c>
      <c r="AW39" s="558" t="s">
        <v>12</v>
      </c>
      <c r="AX39" s="558" t="s">
        <v>12</v>
      </c>
      <c r="AY39" s="558" t="s">
        <v>12</v>
      </c>
      <c r="AZ39" s="558" t="s">
        <v>12</v>
      </c>
      <c r="BA39" s="558" t="s">
        <v>13</v>
      </c>
      <c r="BB39" s="558" t="s">
        <v>13</v>
      </c>
      <c r="BC39" s="558" t="s">
        <v>13</v>
      </c>
      <c r="BD39" s="558" t="s">
        <v>13</v>
      </c>
      <c r="BE39" s="558" t="s">
        <v>13</v>
      </c>
      <c r="BF39" s="558" t="s">
        <v>13</v>
      </c>
      <c r="BG39" s="558" t="s">
        <v>13</v>
      </c>
      <c r="BH39" s="558" t="s">
        <v>13</v>
      </c>
      <c r="BI39" s="558" t="s">
        <v>13</v>
      </c>
      <c r="BJ39" s="558" t="s">
        <v>13</v>
      </c>
      <c r="BK39" s="558" t="s">
        <v>13</v>
      </c>
      <c r="BL39" s="558" t="s">
        <v>13</v>
      </c>
      <c r="BM39" s="558">
        <v>3</v>
      </c>
      <c r="BN39" s="558">
        <v>3</v>
      </c>
      <c r="BO39" s="558">
        <v>3</v>
      </c>
      <c r="BP39" s="558">
        <v>3</v>
      </c>
      <c r="BQ39" s="558">
        <v>3</v>
      </c>
      <c r="BR39" s="558">
        <v>3</v>
      </c>
      <c r="BS39" s="558">
        <v>3</v>
      </c>
      <c r="BT39" s="558">
        <v>3</v>
      </c>
      <c r="BU39" s="558">
        <v>3</v>
      </c>
      <c r="BV39" s="558">
        <v>3</v>
      </c>
      <c r="BW39" s="558">
        <v>3</v>
      </c>
      <c r="BX39" s="558">
        <v>3</v>
      </c>
      <c r="BY39" s="558">
        <v>0</v>
      </c>
      <c r="BZ39" s="558">
        <v>0</v>
      </c>
      <c r="CA39" s="558">
        <v>0</v>
      </c>
      <c r="CB39" s="558">
        <v>0</v>
      </c>
      <c r="CC39" s="558">
        <v>0</v>
      </c>
      <c r="CD39" s="558">
        <v>0</v>
      </c>
      <c r="CE39" s="558">
        <v>0</v>
      </c>
      <c r="CF39" s="558">
        <v>0</v>
      </c>
      <c r="CG39" s="558">
        <v>0</v>
      </c>
      <c r="CH39" s="558">
        <v>0</v>
      </c>
      <c r="CI39" s="558">
        <v>0</v>
      </c>
      <c r="CJ39" s="558">
        <v>0</v>
      </c>
      <c r="CK39" s="558">
        <v>0</v>
      </c>
      <c r="CL39" s="558">
        <v>0</v>
      </c>
      <c r="CM39" s="558">
        <v>0</v>
      </c>
      <c r="CN39" s="558">
        <v>0</v>
      </c>
      <c r="CO39" s="558">
        <v>0</v>
      </c>
      <c r="CP39" s="558">
        <v>0</v>
      </c>
      <c r="CQ39" s="558">
        <v>0</v>
      </c>
      <c r="CR39" s="558">
        <v>0</v>
      </c>
      <c r="CS39" s="558">
        <v>0</v>
      </c>
      <c r="CT39" s="558">
        <v>0</v>
      </c>
      <c r="CU39" s="558">
        <v>0</v>
      </c>
      <c r="CV39" s="558">
        <v>0</v>
      </c>
      <c r="CW39" s="558" t="s">
        <v>11</v>
      </c>
      <c r="CX39" s="558">
        <v>1</v>
      </c>
      <c r="CY39" s="559"/>
      <c r="CZ39" s="559"/>
      <c r="DA39" s="559"/>
      <c r="DB39" s="559"/>
      <c r="DC39" s="559"/>
      <c r="DD39" s="559"/>
      <c r="DE39" s="559"/>
      <c r="DF39" s="559"/>
      <c r="DG39" s="559"/>
      <c r="DH39" s="559"/>
      <c r="DI39" s="559"/>
      <c r="DJ39" s="559"/>
      <c r="DK39" s="559"/>
      <c r="DL39" s="559"/>
      <c r="DM39" s="559"/>
      <c r="DN39" s="559"/>
      <c r="DO39" s="559"/>
      <c r="DP39" s="559"/>
      <c r="DQ39" s="559"/>
      <c r="DR39" s="559"/>
      <c r="DS39" s="559"/>
      <c r="DT39" s="559"/>
      <c r="DU39" s="559"/>
      <c r="DV39" s="559"/>
      <c r="DW39" s="559"/>
      <c r="DX39" s="559"/>
      <c r="DY39" s="559"/>
      <c r="DZ39" s="559"/>
      <c r="EA39" s="559"/>
      <c r="EB39" s="559"/>
      <c r="EC39" s="559"/>
      <c r="ED39" s="559"/>
      <c r="EE39" s="559"/>
      <c r="EF39" s="559"/>
      <c r="EG39" s="559"/>
      <c r="EH39" s="559"/>
      <c r="EI39" s="558" t="s">
        <v>1133</v>
      </c>
      <c r="EJ39" s="558" t="s">
        <v>1133</v>
      </c>
      <c r="EK39" s="558" t="s">
        <v>1133</v>
      </c>
      <c r="EL39" s="558" t="s">
        <v>1133</v>
      </c>
      <c r="EM39" s="558" t="s">
        <v>1133</v>
      </c>
      <c r="EN39" s="558" t="s">
        <v>1133</v>
      </c>
      <c r="EO39" s="558" t="s">
        <v>1133</v>
      </c>
      <c r="EP39" s="558" t="s">
        <v>1133</v>
      </c>
      <c r="EQ39" s="558" t="s">
        <v>1133</v>
      </c>
      <c r="ER39" s="558" t="s">
        <v>1133</v>
      </c>
      <c r="ES39" s="558" t="s">
        <v>1133</v>
      </c>
      <c r="ET39" s="558" t="s">
        <v>1133</v>
      </c>
      <c r="EU39" s="558">
        <v>4200</v>
      </c>
      <c r="EV39" s="558">
        <v>4070</v>
      </c>
      <c r="EW39" s="558" t="s">
        <v>1592</v>
      </c>
      <c r="EX39" s="558" t="s">
        <v>1592</v>
      </c>
      <c r="EY39" s="558" t="s">
        <v>1592</v>
      </c>
      <c r="EZ39" s="558" t="s">
        <v>1592</v>
      </c>
      <c r="FA39" s="558" t="s">
        <v>1592</v>
      </c>
      <c r="FB39" s="558" t="s">
        <v>1592</v>
      </c>
      <c r="FC39" s="558" t="s">
        <v>1592</v>
      </c>
      <c r="FD39" s="558" t="s">
        <v>1592</v>
      </c>
      <c r="FE39" s="558" t="s">
        <v>1592</v>
      </c>
      <c r="FF39" s="558" t="s">
        <v>1592</v>
      </c>
      <c r="FG39" s="558" t="s">
        <v>1592</v>
      </c>
      <c r="FH39" s="558" t="s">
        <v>1592</v>
      </c>
      <c r="FI39" s="558">
        <v>5</v>
      </c>
      <c r="FJ39" s="558">
        <v>5</v>
      </c>
      <c r="FK39" s="558">
        <v>5</v>
      </c>
      <c r="FL39" s="558">
        <v>5</v>
      </c>
      <c r="FM39" s="558">
        <v>5</v>
      </c>
      <c r="FN39" s="558">
        <v>5</v>
      </c>
      <c r="FO39" s="558">
        <v>5</v>
      </c>
      <c r="FP39" s="558">
        <v>5</v>
      </c>
      <c r="FQ39" s="558">
        <v>5</v>
      </c>
      <c r="FR39" s="558">
        <v>5</v>
      </c>
      <c r="FS39" s="558">
        <v>53</v>
      </c>
      <c r="FT39" s="558">
        <v>53</v>
      </c>
      <c r="FU39" s="558">
        <v>53</v>
      </c>
      <c r="FV39" s="558">
        <v>53</v>
      </c>
      <c r="FW39" s="558">
        <v>53</v>
      </c>
      <c r="FX39" s="558">
        <v>53</v>
      </c>
      <c r="FY39" s="558">
        <v>53</v>
      </c>
      <c r="FZ39" s="558">
        <v>54</v>
      </c>
      <c r="GA39" s="558">
        <v>54</v>
      </c>
      <c r="GB39" s="558">
        <v>54</v>
      </c>
      <c r="GC39" s="558" t="s">
        <v>1595</v>
      </c>
      <c r="GD39" s="558" t="s">
        <v>1595</v>
      </c>
      <c r="GE39" s="558" t="s">
        <v>1595</v>
      </c>
      <c r="GF39" s="558" t="s">
        <v>1595</v>
      </c>
      <c r="GG39" s="558" t="s">
        <v>1595</v>
      </c>
      <c r="GH39" s="558" t="s">
        <v>1595</v>
      </c>
      <c r="GI39" s="558" t="s">
        <v>1595</v>
      </c>
      <c r="GJ39" s="558" t="s">
        <v>1595</v>
      </c>
      <c r="GK39" s="558" t="s">
        <v>1595</v>
      </c>
      <c r="GL39" s="558" t="s">
        <v>1595</v>
      </c>
      <c r="GM39" s="558" t="s">
        <v>1595</v>
      </c>
      <c r="GN39" s="558" t="s">
        <v>1595</v>
      </c>
      <c r="GO39" s="562">
        <f t="shared" si="13"/>
        <v>79950</v>
      </c>
      <c r="GP39" s="562">
        <f t="shared" si="14"/>
        <v>79950</v>
      </c>
      <c r="GQ39" s="562">
        <f t="shared" si="15"/>
        <v>79950</v>
      </c>
      <c r="GR39" s="562">
        <f t="shared" si="16"/>
        <v>79950</v>
      </c>
      <c r="GS39" s="562">
        <f t="shared" si="17"/>
        <v>79950</v>
      </c>
      <c r="GT39" s="562">
        <f t="shared" si="18"/>
        <v>79950</v>
      </c>
      <c r="GU39" s="562">
        <f t="shared" si="19"/>
        <v>79950</v>
      </c>
      <c r="GV39" s="562">
        <f t="shared" si="20"/>
        <v>79950</v>
      </c>
      <c r="GW39" s="562">
        <f t="shared" si="21"/>
        <v>79950</v>
      </c>
      <c r="GX39" s="562">
        <f t="shared" si="22"/>
        <v>79950</v>
      </c>
      <c r="GY39" s="562">
        <f t="shared" si="23"/>
        <v>79950</v>
      </c>
      <c r="GZ39" s="562">
        <f t="shared" si="24"/>
        <v>79950</v>
      </c>
      <c r="HA39" s="568" t="s">
        <v>1290</v>
      </c>
      <c r="HC39" s="349" t="s">
        <v>1047</v>
      </c>
      <c r="HD39" s="349" t="s">
        <v>1514</v>
      </c>
    </row>
    <row r="40" spans="2:212">
      <c r="B40" s="549">
        <v>36</v>
      </c>
      <c r="C40" s="549">
        <v>236</v>
      </c>
      <c r="D40" s="550" t="s">
        <v>1100</v>
      </c>
      <c r="E40" s="557" t="s">
        <v>13</v>
      </c>
      <c r="F40" s="555">
        <v>65</v>
      </c>
      <c r="G40" s="555">
        <v>55</v>
      </c>
      <c r="H40" s="555">
        <v>10</v>
      </c>
      <c r="I40" s="555">
        <v>0</v>
      </c>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2"/>
      <c r="AK40" s="556"/>
      <c r="AL40" s="556"/>
      <c r="AM40" s="551"/>
      <c r="AN40" s="555" t="s">
        <v>11</v>
      </c>
      <c r="AO40" s="558" t="s">
        <v>883</v>
      </c>
      <c r="AP40" s="558" t="s">
        <v>883</v>
      </c>
      <c r="AQ40" s="558" t="s">
        <v>883</v>
      </c>
      <c r="AR40" s="558" t="s">
        <v>883</v>
      </c>
      <c r="AS40" s="558" t="s">
        <v>883</v>
      </c>
      <c r="AT40" s="558" t="s">
        <v>883</v>
      </c>
      <c r="AU40" s="558" t="s">
        <v>883</v>
      </c>
      <c r="AV40" s="558" t="s">
        <v>883</v>
      </c>
      <c r="AW40" s="558" t="s">
        <v>883</v>
      </c>
      <c r="AX40" s="558" t="s">
        <v>883</v>
      </c>
      <c r="AY40" s="558" t="s">
        <v>883</v>
      </c>
      <c r="AZ40" s="558" t="s">
        <v>883</v>
      </c>
      <c r="BA40" s="558" t="s">
        <v>883</v>
      </c>
      <c r="BB40" s="558" t="s">
        <v>883</v>
      </c>
      <c r="BC40" s="558" t="s">
        <v>883</v>
      </c>
      <c r="BD40" s="558" t="s">
        <v>883</v>
      </c>
      <c r="BE40" s="558" t="s">
        <v>883</v>
      </c>
      <c r="BF40" s="558" t="s">
        <v>883</v>
      </c>
      <c r="BG40" s="558" t="s">
        <v>883</v>
      </c>
      <c r="BH40" s="558" t="s">
        <v>883</v>
      </c>
      <c r="BI40" s="558" t="s">
        <v>883</v>
      </c>
      <c r="BJ40" s="558" t="s">
        <v>883</v>
      </c>
      <c r="BK40" s="558" t="s">
        <v>883</v>
      </c>
      <c r="BL40" s="558" t="s">
        <v>883</v>
      </c>
      <c r="BM40" s="558">
        <v>0</v>
      </c>
      <c r="BN40" s="558">
        <v>0</v>
      </c>
      <c r="BO40" s="558">
        <v>0</v>
      </c>
      <c r="BP40" s="558">
        <v>0</v>
      </c>
      <c r="BQ40" s="558">
        <v>0</v>
      </c>
      <c r="BR40" s="558">
        <v>0</v>
      </c>
      <c r="BS40" s="558">
        <v>0</v>
      </c>
      <c r="BT40" s="558">
        <v>0</v>
      </c>
      <c r="BU40" s="558">
        <v>0</v>
      </c>
      <c r="BV40" s="558">
        <v>0</v>
      </c>
      <c r="BW40" s="558">
        <v>0</v>
      </c>
      <c r="BX40" s="558">
        <v>0</v>
      </c>
      <c r="BY40" s="558">
        <v>0</v>
      </c>
      <c r="BZ40" s="558">
        <v>0</v>
      </c>
      <c r="CA40" s="558">
        <v>0</v>
      </c>
      <c r="CB40" s="558">
        <v>0</v>
      </c>
      <c r="CC40" s="558">
        <v>0</v>
      </c>
      <c r="CD40" s="558">
        <v>0</v>
      </c>
      <c r="CE40" s="558">
        <v>0</v>
      </c>
      <c r="CF40" s="558">
        <v>0</v>
      </c>
      <c r="CG40" s="558">
        <v>0</v>
      </c>
      <c r="CH40" s="558">
        <v>0</v>
      </c>
      <c r="CI40" s="558">
        <v>0</v>
      </c>
      <c r="CJ40" s="558">
        <v>0</v>
      </c>
      <c r="CK40" s="558">
        <v>0</v>
      </c>
      <c r="CL40" s="558">
        <v>0</v>
      </c>
      <c r="CM40" s="558">
        <v>0</v>
      </c>
      <c r="CN40" s="558">
        <v>0</v>
      </c>
      <c r="CO40" s="558">
        <v>0</v>
      </c>
      <c r="CP40" s="558">
        <v>0</v>
      </c>
      <c r="CQ40" s="558">
        <v>0</v>
      </c>
      <c r="CR40" s="558">
        <v>0</v>
      </c>
      <c r="CS40" s="558">
        <v>0</v>
      </c>
      <c r="CT40" s="558">
        <v>0</v>
      </c>
      <c r="CU40" s="558">
        <v>0</v>
      </c>
      <c r="CV40" s="558">
        <v>0</v>
      </c>
      <c r="CW40" s="558" t="s">
        <v>13</v>
      </c>
      <c r="CX40" s="558">
        <v>0</v>
      </c>
      <c r="CY40" s="559"/>
      <c r="CZ40" s="559"/>
      <c r="DA40" s="559"/>
      <c r="DB40" s="559"/>
      <c r="DC40" s="559"/>
      <c r="DD40" s="559"/>
      <c r="DE40" s="559"/>
      <c r="DF40" s="559"/>
      <c r="DG40" s="559"/>
      <c r="DH40" s="559"/>
      <c r="DI40" s="559"/>
      <c r="DJ40" s="559"/>
      <c r="DK40" s="559"/>
      <c r="DL40" s="559"/>
      <c r="DM40" s="559"/>
      <c r="DN40" s="559"/>
      <c r="DO40" s="559"/>
      <c r="DP40" s="559"/>
      <c r="DQ40" s="559"/>
      <c r="DR40" s="559"/>
      <c r="DS40" s="559"/>
      <c r="DT40" s="559"/>
      <c r="DU40" s="559"/>
      <c r="DV40" s="559"/>
      <c r="DW40" s="559"/>
      <c r="DX40" s="559"/>
      <c r="DY40" s="559"/>
      <c r="DZ40" s="559"/>
      <c r="EA40" s="559"/>
      <c r="EB40" s="559"/>
      <c r="EC40" s="559"/>
      <c r="ED40" s="559"/>
      <c r="EE40" s="559"/>
      <c r="EF40" s="559"/>
      <c r="EG40" s="559"/>
      <c r="EH40" s="559"/>
      <c r="EI40" s="558" t="s">
        <v>1133</v>
      </c>
      <c r="EJ40" s="558" t="s">
        <v>1133</v>
      </c>
      <c r="EK40" s="558" t="s">
        <v>1133</v>
      </c>
      <c r="EL40" s="558" t="s">
        <v>1133</v>
      </c>
      <c r="EM40" s="558" t="s">
        <v>1133</v>
      </c>
      <c r="EN40" s="558" t="s">
        <v>1133</v>
      </c>
      <c r="EO40" s="558" t="s">
        <v>1133</v>
      </c>
      <c r="EP40" s="558" t="s">
        <v>1133</v>
      </c>
      <c r="EQ40" s="558" t="s">
        <v>1133</v>
      </c>
      <c r="ER40" s="558" t="s">
        <v>1133</v>
      </c>
      <c r="ES40" s="558" t="s">
        <v>1133</v>
      </c>
      <c r="ET40" s="558" t="s">
        <v>1133</v>
      </c>
      <c r="EU40" s="558">
        <v>4200</v>
      </c>
      <c r="EV40" s="558">
        <v>4070</v>
      </c>
      <c r="EW40" s="558" t="s">
        <v>1592</v>
      </c>
      <c r="EX40" s="558" t="s">
        <v>1592</v>
      </c>
      <c r="EY40" s="558" t="s">
        <v>1592</v>
      </c>
      <c r="EZ40" s="558" t="s">
        <v>1592</v>
      </c>
      <c r="FA40" s="558" t="s">
        <v>1592</v>
      </c>
      <c r="FB40" s="558" t="s">
        <v>1592</v>
      </c>
      <c r="FC40" s="558" t="s">
        <v>1592</v>
      </c>
      <c r="FD40" s="558" t="s">
        <v>1592</v>
      </c>
      <c r="FE40" s="558" t="s">
        <v>1592</v>
      </c>
      <c r="FF40" s="558" t="s">
        <v>1592</v>
      </c>
      <c r="FG40" s="558" t="s">
        <v>1592</v>
      </c>
      <c r="FH40" s="558" t="s">
        <v>1592</v>
      </c>
      <c r="FI40" s="558">
        <v>24</v>
      </c>
      <c r="FJ40" s="558">
        <v>25</v>
      </c>
      <c r="FK40" s="558">
        <v>24</v>
      </c>
      <c r="FL40" s="558">
        <v>24</v>
      </c>
      <c r="FM40" s="558">
        <v>24</v>
      </c>
      <c r="FN40" s="558">
        <v>24</v>
      </c>
      <c r="FO40" s="558">
        <v>24</v>
      </c>
      <c r="FP40" s="558">
        <v>24</v>
      </c>
      <c r="FQ40" s="558">
        <v>24</v>
      </c>
      <c r="FR40" s="558">
        <v>24</v>
      </c>
      <c r="FS40" s="558">
        <v>11</v>
      </c>
      <c r="FT40" s="558">
        <v>10</v>
      </c>
      <c r="FU40" s="558">
        <v>10</v>
      </c>
      <c r="FV40" s="558">
        <v>10</v>
      </c>
      <c r="FW40" s="558">
        <v>10</v>
      </c>
      <c r="FX40" s="558">
        <v>10</v>
      </c>
      <c r="FY40" s="558">
        <v>10</v>
      </c>
      <c r="FZ40" s="558">
        <v>10</v>
      </c>
      <c r="GA40" s="558">
        <v>10</v>
      </c>
      <c r="GB40" s="558">
        <v>10</v>
      </c>
      <c r="GC40" s="558" t="s">
        <v>1596</v>
      </c>
      <c r="GD40" s="558" t="s">
        <v>1596</v>
      </c>
      <c r="GE40" s="558" t="s">
        <v>1596</v>
      </c>
      <c r="GF40" s="558" t="s">
        <v>1596</v>
      </c>
      <c r="GG40" s="558" t="s">
        <v>1596</v>
      </c>
      <c r="GH40" s="558" t="s">
        <v>1596</v>
      </c>
      <c r="GI40" s="558" t="s">
        <v>1596</v>
      </c>
      <c r="GJ40" s="558" t="s">
        <v>1596</v>
      </c>
      <c r="GK40" s="558" t="s">
        <v>1596</v>
      </c>
      <c r="GL40" s="558" t="s">
        <v>1596</v>
      </c>
      <c r="GM40" s="558" t="s">
        <v>1596</v>
      </c>
      <c r="GN40" s="558" t="s">
        <v>1596</v>
      </c>
      <c r="GO40" s="562" t="str">
        <f t="shared" si="13"/>
        <v/>
      </c>
      <c r="GP40" s="562" t="str">
        <f t="shared" si="14"/>
        <v/>
      </c>
      <c r="GQ40" s="562" t="str">
        <f t="shared" si="15"/>
        <v/>
      </c>
      <c r="GR40" s="562" t="str">
        <f t="shared" si="16"/>
        <v/>
      </c>
      <c r="GS40" s="562" t="str">
        <f t="shared" si="17"/>
        <v/>
      </c>
      <c r="GT40" s="562" t="str">
        <f t="shared" si="18"/>
        <v/>
      </c>
      <c r="GU40" s="562" t="str">
        <f t="shared" si="19"/>
        <v/>
      </c>
      <c r="GV40" s="562" t="str">
        <f t="shared" si="20"/>
        <v/>
      </c>
      <c r="GW40" s="562" t="str">
        <f t="shared" si="21"/>
        <v/>
      </c>
      <c r="GX40" s="562" t="str">
        <f t="shared" si="22"/>
        <v/>
      </c>
      <c r="GY40" s="562" t="str">
        <f t="shared" si="23"/>
        <v/>
      </c>
      <c r="GZ40" s="562" t="str">
        <f t="shared" si="24"/>
        <v/>
      </c>
      <c r="HA40" s="564" t="s">
        <v>1289</v>
      </c>
      <c r="HC40" s="349" t="s">
        <v>1048</v>
      </c>
      <c r="HD40" s="349" t="s">
        <v>1514</v>
      </c>
    </row>
    <row r="41" spans="2:212">
      <c r="B41" s="549">
        <v>37</v>
      </c>
      <c r="C41" s="549">
        <v>237</v>
      </c>
      <c r="D41" s="550" t="s">
        <v>1101</v>
      </c>
      <c r="E41" s="557" t="s">
        <v>13</v>
      </c>
      <c r="F41" s="555">
        <v>70</v>
      </c>
      <c r="G41" s="555">
        <v>60</v>
      </c>
      <c r="H41" s="555">
        <v>10</v>
      </c>
      <c r="I41" s="555">
        <v>0</v>
      </c>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2"/>
      <c r="AK41" s="556"/>
      <c r="AL41" s="556"/>
      <c r="AM41" s="551"/>
      <c r="AN41" s="555" t="s">
        <v>11</v>
      </c>
      <c r="AO41" s="558" t="s">
        <v>883</v>
      </c>
      <c r="AP41" s="558" t="s">
        <v>883</v>
      </c>
      <c r="AQ41" s="558" t="s">
        <v>883</v>
      </c>
      <c r="AR41" s="558" t="s">
        <v>883</v>
      </c>
      <c r="AS41" s="558" t="s">
        <v>883</v>
      </c>
      <c r="AT41" s="558" t="s">
        <v>883</v>
      </c>
      <c r="AU41" s="558" t="s">
        <v>883</v>
      </c>
      <c r="AV41" s="558" t="s">
        <v>883</v>
      </c>
      <c r="AW41" s="558" t="s">
        <v>883</v>
      </c>
      <c r="AX41" s="558" t="s">
        <v>883</v>
      </c>
      <c r="AY41" s="558" t="s">
        <v>883</v>
      </c>
      <c r="AZ41" s="558" t="s">
        <v>883</v>
      </c>
      <c r="BA41" s="558" t="s">
        <v>883</v>
      </c>
      <c r="BB41" s="558" t="s">
        <v>883</v>
      </c>
      <c r="BC41" s="558" t="s">
        <v>883</v>
      </c>
      <c r="BD41" s="558" t="s">
        <v>883</v>
      </c>
      <c r="BE41" s="558" t="s">
        <v>883</v>
      </c>
      <c r="BF41" s="558" t="s">
        <v>883</v>
      </c>
      <c r="BG41" s="558" t="s">
        <v>883</v>
      </c>
      <c r="BH41" s="558" t="s">
        <v>883</v>
      </c>
      <c r="BI41" s="558" t="s">
        <v>883</v>
      </c>
      <c r="BJ41" s="558" t="s">
        <v>883</v>
      </c>
      <c r="BK41" s="558" t="s">
        <v>883</v>
      </c>
      <c r="BL41" s="558" t="s">
        <v>883</v>
      </c>
      <c r="BM41" s="558">
        <v>0</v>
      </c>
      <c r="BN41" s="558">
        <v>0</v>
      </c>
      <c r="BO41" s="558">
        <v>0</v>
      </c>
      <c r="BP41" s="558">
        <v>0</v>
      </c>
      <c r="BQ41" s="558">
        <v>0</v>
      </c>
      <c r="BR41" s="558">
        <v>0</v>
      </c>
      <c r="BS41" s="558">
        <v>0</v>
      </c>
      <c r="BT41" s="558">
        <v>0</v>
      </c>
      <c r="BU41" s="558">
        <v>0</v>
      </c>
      <c r="BV41" s="558">
        <v>0</v>
      </c>
      <c r="BW41" s="558">
        <v>0</v>
      </c>
      <c r="BX41" s="558">
        <v>0</v>
      </c>
      <c r="BY41" s="558">
        <v>0</v>
      </c>
      <c r="BZ41" s="558">
        <v>0</v>
      </c>
      <c r="CA41" s="558">
        <v>0</v>
      </c>
      <c r="CB41" s="558">
        <v>0</v>
      </c>
      <c r="CC41" s="558">
        <v>0</v>
      </c>
      <c r="CD41" s="558">
        <v>0</v>
      </c>
      <c r="CE41" s="558">
        <v>0</v>
      </c>
      <c r="CF41" s="558">
        <v>0</v>
      </c>
      <c r="CG41" s="558">
        <v>0</v>
      </c>
      <c r="CH41" s="558">
        <v>0</v>
      </c>
      <c r="CI41" s="558">
        <v>0</v>
      </c>
      <c r="CJ41" s="558">
        <v>0</v>
      </c>
      <c r="CK41" s="558">
        <v>0</v>
      </c>
      <c r="CL41" s="558">
        <v>0</v>
      </c>
      <c r="CM41" s="558">
        <v>0</v>
      </c>
      <c r="CN41" s="558">
        <v>0</v>
      </c>
      <c r="CO41" s="558">
        <v>0</v>
      </c>
      <c r="CP41" s="558">
        <v>0</v>
      </c>
      <c r="CQ41" s="558">
        <v>0</v>
      </c>
      <c r="CR41" s="558">
        <v>0</v>
      </c>
      <c r="CS41" s="558">
        <v>0</v>
      </c>
      <c r="CT41" s="558">
        <v>0</v>
      </c>
      <c r="CU41" s="558">
        <v>0</v>
      </c>
      <c r="CV41" s="558">
        <v>0</v>
      </c>
      <c r="CW41" s="558" t="s">
        <v>13</v>
      </c>
      <c r="CX41" s="558">
        <v>0</v>
      </c>
      <c r="CY41" s="559"/>
      <c r="CZ41" s="559"/>
      <c r="DA41" s="559"/>
      <c r="DB41" s="559"/>
      <c r="DC41" s="559"/>
      <c r="DD41" s="559"/>
      <c r="DE41" s="559"/>
      <c r="DF41" s="559"/>
      <c r="DG41" s="559"/>
      <c r="DH41" s="559"/>
      <c r="DI41" s="559"/>
      <c r="DJ41" s="559"/>
      <c r="DK41" s="559"/>
      <c r="DL41" s="559"/>
      <c r="DM41" s="559"/>
      <c r="DN41" s="559"/>
      <c r="DO41" s="559"/>
      <c r="DP41" s="559"/>
      <c r="DQ41" s="559"/>
      <c r="DR41" s="559"/>
      <c r="DS41" s="559"/>
      <c r="DT41" s="559"/>
      <c r="DU41" s="559"/>
      <c r="DV41" s="559"/>
      <c r="DW41" s="559"/>
      <c r="DX41" s="559"/>
      <c r="DY41" s="559"/>
      <c r="DZ41" s="559"/>
      <c r="EA41" s="559"/>
      <c r="EB41" s="559"/>
      <c r="EC41" s="559"/>
      <c r="ED41" s="559"/>
      <c r="EE41" s="559"/>
      <c r="EF41" s="559"/>
      <c r="EG41" s="559"/>
      <c r="EH41" s="559"/>
      <c r="EI41" s="558" t="s">
        <v>1133</v>
      </c>
      <c r="EJ41" s="558" t="s">
        <v>1133</v>
      </c>
      <c r="EK41" s="558" t="s">
        <v>1133</v>
      </c>
      <c r="EL41" s="558" t="s">
        <v>1133</v>
      </c>
      <c r="EM41" s="558" t="s">
        <v>1133</v>
      </c>
      <c r="EN41" s="558" t="s">
        <v>1133</v>
      </c>
      <c r="EO41" s="558" t="s">
        <v>1133</v>
      </c>
      <c r="EP41" s="558" t="s">
        <v>1133</v>
      </c>
      <c r="EQ41" s="558" t="s">
        <v>1133</v>
      </c>
      <c r="ER41" s="558" t="s">
        <v>1133</v>
      </c>
      <c r="ES41" s="558" t="s">
        <v>1133</v>
      </c>
      <c r="ET41" s="558" t="s">
        <v>1133</v>
      </c>
      <c r="EU41" s="558">
        <v>4020</v>
      </c>
      <c r="EV41" s="558">
        <v>3890</v>
      </c>
      <c r="EW41" s="558" t="s">
        <v>1592</v>
      </c>
      <c r="EX41" s="558" t="s">
        <v>1592</v>
      </c>
      <c r="EY41" s="558" t="s">
        <v>1592</v>
      </c>
      <c r="EZ41" s="558" t="s">
        <v>1592</v>
      </c>
      <c r="FA41" s="558" t="s">
        <v>1592</v>
      </c>
      <c r="FB41" s="558" t="s">
        <v>1593</v>
      </c>
      <c r="FC41" s="558" t="s">
        <v>1592</v>
      </c>
      <c r="FD41" s="558" t="s">
        <v>1592</v>
      </c>
      <c r="FE41" s="558" t="s">
        <v>1592</v>
      </c>
      <c r="FF41" s="558" t="s">
        <v>1592</v>
      </c>
      <c r="FG41" s="558" t="s">
        <v>1592</v>
      </c>
      <c r="FH41" s="558" t="s">
        <v>1592</v>
      </c>
      <c r="FI41" s="558">
        <v>29</v>
      </c>
      <c r="FJ41" s="558">
        <v>29</v>
      </c>
      <c r="FK41" s="558">
        <v>30</v>
      </c>
      <c r="FL41" s="558">
        <v>31</v>
      </c>
      <c r="FM41" s="558">
        <v>29</v>
      </c>
      <c r="FN41" s="558">
        <v>29</v>
      </c>
      <c r="FO41" s="558">
        <v>29</v>
      </c>
      <c r="FP41" s="558">
        <v>29</v>
      </c>
      <c r="FQ41" s="558">
        <v>29</v>
      </c>
      <c r="FR41" s="558">
        <v>28</v>
      </c>
      <c r="FS41" s="558">
        <v>12</v>
      </c>
      <c r="FT41" s="558">
        <v>12</v>
      </c>
      <c r="FU41" s="558">
        <v>12</v>
      </c>
      <c r="FV41" s="558">
        <v>12</v>
      </c>
      <c r="FW41" s="558">
        <v>12</v>
      </c>
      <c r="FX41" s="558">
        <v>12</v>
      </c>
      <c r="FY41" s="558">
        <v>12</v>
      </c>
      <c r="FZ41" s="558">
        <v>12</v>
      </c>
      <c r="GA41" s="558">
        <v>12</v>
      </c>
      <c r="GB41" s="558">
        <v>12</v>
      </c>
      <c r="GC41" s="558" t="s">
        <v>1596</v>
      </c>
      <c r="GD41" s="558" t="s">
        <v>1596</v>
      </c>
      <c r="GE41" s="558" t="s">
        <v>1596</v>
      </c>
      <c r="GF41" s="558" t="s">
        <v>1596</v>
      </c>
      <c r="GG41" s="558" t="s">
        <v>1596</v>
      </c>
      <c r="GH41" s="558" t="s">
        <v>1596</v>
      </c>
      <c r="GI41" s="558" t="s">
        <v>1596</v>
      </c>
      <c r="GJ41" s="558" t="s">
        <v>1596</v>
      </c>
      <c r="GK41" s="558" t="s">
        <v>1596</v>
      </c>
      <c r="GL41" s="558" t="s">
        <v>1596</v>
      </c>
      <c r="GM41" s="558" t="s">
        <v>1596</v>
      </c>
      <c r="GN41" s="558" t="s">
        <v>1596</v>
      </c>
      <c r="GO41" s="562" t="str">
        <f t="shared" si="13"/>
        <v/>
      </c>
      <c r="GP41" s="562" t="str">
        <f t="shared" si="14"/>
        <v/>
      </c>
      <c r="GQ41" s="562" t="str">
        <f t="shared" si="15"/>
        <v/>
      </c>
      <c r="GR41" s="562" t="str">
        <f t="shared" si="16"/>
        <v/>
      </c>
      <c r="GS41" s="562" t="str">
        <f t="shared" si="17"/>
        <v/>
      </c>
      <c r="GT41" s="562" t="str">
        <f t="shared" si="18"/>
        <v/>
      </c>
      <c r="GU41" s="562" t="str">
        <f t="shared" si="19"/>
        <v/>
      </c>
      <c r="GV41" s="562" t="str">
        <f t="shared" si="20"/>
        <v/>
      </c>
      <c r="GW41" s="562" t="str">
        <f t="shared" si="21"/>
        <v/>
      </c>
      <c r="GX41" s="562" t="str">
        <f t="shared" si="22"/>
        <v/>
      </c>
      <c r="GY41" s="562" t="str">
        <f t="shared" si="23"/>
        <v/>
      </c>
      <c r="GZ41" s="562" t="str">
        <f t="shared" si="24"/>
        <v/>
      </c>
      <c r="HA41" s="564" t="s">
        <v>1289</v>
      </c>
      <c r="HC41" s="349" t="s">
        <v>1100</v>
      </c>
      <c r="HD41" s="349" t="s">
        <v>1514</v>
      </c>
    </row>
    <row r="42" spans="2:212">
      <c r="B42" s="549">
        <v>38</v>
      </c>
      <c r="C42" s="549">
        <v>238</v>
      </c>
      <c r="D42" s="550" t="s">
        <v>1547</v>
      </c>
      <c r="E42" s="557" t="s">
        <v>13</v>
      </c>
      <c r="F42" s="555">
        <v>55</v>
      </c>
      <c r="G42" s="555">
        <v>45</v>
      </c>
      <c r="H42" s="555">
        <v>10</v>
      </c>
      <c r="I42" s="555">
        <v>0</v>
      </c>
      <c r="J42" s="551"/>
      <c r="K42" s="551"/>
      <c r="L42" s="551"/>
      <c r="M42" s="551"/>
      <c r="N42" s="551"/>
      <c r="O42" s="551"/>
      <c r="P42" s="551"/>
      <c r="Q42" s="551"/>
      <c r="R42" s="551"/>
      <c r="S42" s="551"/>
      <c r="T42" s="551"/>
      <c r="U42" s="551"/>
      <c r="V42" s="551"/>
      <c r="W42" s="551"/>
      <c r="X42" s="551"/>
      <c r="Y42" s="551"/>
      <c r="Z42" s="551"/>
      <c r="AA42" s="551"/>
      <c r="AB42" s="551"/>
      <c r="AC42" s="551"/>
      <c r="AD42" s="551"/>
      <c r="AE42" s="551"/>
      <c r="AF42" s="551"/>
      <c r="AG42" s="551"/>
      <c r="AH42" s="551"/>
      <c r="AI42" s="551"/>
      <c r="AJ42" s="552"/>
      <c r="AK42" s="556"/>
      <c r="AL42" s="556"/>
      <c r="AM42" s="551"/>
      <c r="AN42" s="555" t="s">
        <v>11</v>
      </c>
      <c r="AO42" s="558" t="s">
        <v>883</v>
      </c>
      <c r="AP42" s="558" t="s">
        <v>883</v>
      </c>
      <c r="AQ42" s="558" t="s">
        <v>883</v>
      </c>
      <c r="AR42" s="558" t="s">
        <v>883</v>
      </c>
      <c r="AS42" s="558" t="s">
        <v>883</v>
      </c>
      <c r="AT42" s="558" t="s">
        <v>883</v>
      </c>
      <c r="AU42" s="558" t="s">
        <v>883</v>
      </c>
      <c r="AV42" s="558" t="s">
        <v>883</v>
      </c>
      <c r="AW42" s="558" t="s">
        <v>883</v>
      </c>
      <c r="AX42" s="558" t="s">
        <v>883</v>
      </c>
      <c r="AY42" s="558" t="s">
        <v>883</v>
      </c>
      <c r="AZ42" s="558" t="s">
        <v>883</v>
      </c>
      <c r="BA42" s="558" t="s">
        <v>883</v>
      </c>
      <c r="BB42" s="558" t="s">
        <v>883</v>
      </c>
      <c r="BC42" s="558" t="s">
        <v>883</v>
      </c>
      <c r="BD42" s="558" t="s">
        <v>883</v>
      </c>
      <c r="BE42" s="558" t="s">
        <v>883</v>
      </c>
      <c r="BF42" s="558" t="s">
        <v>883</v>
      </c>
      <c r="BG42" s="558" t="s">
        <v>883</v>
      </c>
      <c r="BH42" s="558" t="s">
        <v>883</v>
      </c>
      <c r="BI42" s="558" t="s">
        <v>883</v>
      </c>
      <c r="BJ42" s="558" t="s">
        <v>883</v>
      </c>
      <c r="BK42" s="558" t="s">
        <v>883</v>
      </c>
      <c r="BL42" s="558" t="s">
        <v>883</v>
      </c>
      <c r="BM42" s="558">
        <v>0</v>
      </c>
      <c r="BN42" s="558">
        <v>0</v>
      </c>
      <c r="BO42" s="558">
        <v>0</v>
      </c>
      <c r="BP42" s="558">
        <v>0</v>
      </c>
      <c r="BQ42" s="558">
        <v>0</v>
      </c>
      <c r="BR42" s="558">
        <v>0</v>
      </c>
      <c r="BS42" s="558">
        <v>0</v>
      </c>
      <c r="BT42" s="558">
        <v>0</v>
      </c>
      <c r="BU42" s="558">
        <v>0</v>
      </c>
      <c r="BV42" s="558">
        <v>0</v>
      </c>
      <c r="BW42" s="558">
        <v>0</v>
      </c>
      <c r="BX42" s="558">
        <v>0</v>
      </c>
      <c r="BY42" s="558">
        <v>0</v>
      </c>
      <c r="BZ42" s="558">
        <v>0</v>
      </c>
      <c r="CA42" s="558">
        <v>0</v>
      </c>
      <c r="CB42" s="558">
        <v>0</v>
      </c>
      <c r="CC42" s="558">
        <v>0</v>
      </c>
      <c r="CD42" s="558">
        <v>0</v>
      </c>
      <c r="CE42" s="558">
        <v>0</v>
      </c>
      <c r="CF42" s="558">
        <v>0</v>
      </c>
      <c r="CG42" s="558">
        <v>0</v>
      </c>
      <c r="CH42" s="558">
        <v>0</v>
      </c>
      <c r="CI42" s="558">
        <v>0</v>
      </c>
      <c r="CJ42" s="558">
        <v>0</v>
      </c>
      <c r="CK42" s="558">
        <v>0</v>
      </c>
      <c r="CL42" s="558">
        <v>0</v>
      </c>
      <c r="CM42" s="558">
        <v>0</v>
      </c>
      <c r="CN42" s="558">
        <v>0</v>
      </c>
      <c r="CO42" s="558">
        <v>0</v>
      </c>
      <c r="CP42" s="558">
        <v>0</v>
      </c>
      <c r="CQ42" s="558">
        <v>0</v>
      </c>
      <c r="CR42" s="558">
        <v>0</v>
      </c>
      <c r="CS42" s="558">
        <v>0</v>
      </c>
      <c r="CT42" s="558">
        <v>0</v>
      </c>
      <c r="CU42" s="558">
        <v>0</v>
      </c>
      <c r="CV42" s="558">
        <v>0</v>
      </c>
      <c r="CW42" s="558" t="s">
        <v>13</v>
      </c>
      <c r="CX42" s="558">
        <v>0</v>
      </c>
      <c r="CY42" s="559"/>
      <c r="CZ42" s="559"/>
      <c r="DA42" s="559"/>
      <c r="DB42" s="559"/>
      <c r="DC42" s="559"/>
      <c r="DD42" s="559"/>
      <c r="DE42" s="559"/>
      <c r="DF42" s="559"/>
      <c r="DG42" s="559"/>
      <c r="DH42" s="559"/>
      <c r="DI42" s="559"/>
      <c r="DJ42" s="559"/>
      <c r="DK42" s="559"/>
      <c r="DL42" s="559"/>
      <c r="DM42" s="559"/>
      <c r="DN42" s="559"/>
      <c r="DO42" s="559"/>
      <c r="DP42" s="559"/>
      <c r="DQ42" s="559"/>
      <c r="DR42" s="559"/>
      <c r="DS42" s="559"/>
      <c r="DT42" s="559"/>
      <c r="DU42" s="559"/>
      <c r="DV42" s="559"/>
      <c r="DW42" s="559"/>
      <c r="DX42" s="559"/>
      <c r="DY42" s="559"/>
      <c r="DZ42" s="559"/>
      <c r="EA42" s="559"/>
      <c r="EB42" s="559"/>
      <c r="EC42" s="559"/>
      <c r="ED42" s="559"/>
      <c r="EE42" s="559"/>
      <c r="EF42" s="559"/>
      <c r="EG42" s="559"/>
      <c r="EH42" s="559"/>
      <c r="EI42" s="558" t="s">
        <v>1592</v>
      </c>
      <c r="EJ42" s="558" t="s">
        <v>1133</v>
      </c>
      <c r="EK42" s="558" t="s">
        <v>1133</v>
      </c>
      <c r="EL42" s="558" t="s">
        <v>1133</v>
      </c>
      <c r="EM42" s="558" t="s">
        <v>1133</v>
      </c>
      <c r="EN42" s="558" t="s">
        <v>1133</v>
      </c>
      <c r="EO42" s="558" t="s">
        <v>1133</v>
      </c>
      <c r="EP42" s="558" t="s">
        <v>1133</v>
      </c>
      <c r="EQ42" s="558" t="s">
        <v>1133</v>
      </c>
      <c r="ER42" s="558" t="s">
        <v>1133</v>
      </c>
      <c r="ES42" s="558" t="s">
        <v>1133</v>
      </c>
      <c r="ET42" s="558" t="s">
        <v>1133</v>
      </c>
      <c r="EU42" s="558">
        <v>4140</v>
      </c>
      <c r="EV42" s="558">
        <v>4010</v>
      </c>
      <c r="EW42" s="558" t="s">
        <v>1592</v>
      </c>
      <c r="EX42" s="558" t="s">
        <v>1592</v>
      </c>
      <c r="EY42" s="558" t="s">
        <v>1592</v>
      </c>
      <c r="EZ42" s="558" t="s">
        <v>1592</v>
      </c>
      <c r="FA42" s="558" t="s">
        <v>1592</v>
      </c>
      <c r="FB42" s="558" t="s">
        <v>1592</v>
      </c>
      <c r="FC42" s="558" t="s">
        <v>1592</v>
      </c>
      <c r="FD42" s="558" t="s">
        <v>1592</v>
      </c>
      <c r="FE42" s="558" t="s">
        <v>1592</v>
      </c>
      <c r="FF42" s="558" t="s">
        <v>1592</v>
      </c>
      <c r="FG42" s="558" t="s">
        <v>1592</v>
      </c>
      <c r="FH42" s="558" t="s">
        <v>1592</v>
      </c>
      <c r="FI42" s="558">
        <v>12</v>
      </c>
      <c r="FJ42" s="558">
        <v>12</v>
      </c>
      <c r="FK42" s="558">
        <v>12</v>
      </c>
      <c r="FL42" s="558">
        <v>12</v>
      </c>
      <c r="FM42" s="558">
        <v>12</v>
      </c>
      <c r="FN42" s="558">
        <v>12</v>
      </c>
      <c r="FO42" s="558">
        <v>12</v>
      </c>
      <c r="FP42" s="558">
        <v>12</v>
      </c>
      <c r="FQ42" s="558">
        <v>12</v>
      </c>
      <c r="FR42" s="558">
        <v>12</v>
      </c>
      <c r="FS42" s="558">
        <v>11</v>
      </c>
      <c r="FT42" s="558">
        <v>11</v>
      </c>
      <c r="FU42" s="558">
        <v>12</v>
      </c>
      <c r="FV42" s="558">
        <v>12</v>
      </c>
      <c r="FW42" s="558">
        <v>12</v>
      </c>
      <c r="FX42" s="558">
        <v>12</v>
      </c>
      <c r="FY42" s="558">
        <v>12</v>
      </c>
      <c r="FZ42" s="558">
        <v>12</v>
      </c>
      <c r="GA42" s="558">
        <v>12</v>
      </c>
      <c r="GB42" s="558">
        <v>12</v>
      </c>
      <c r="GC42" s="558" t="s">
        <v>1596</v>
      </c>
      <c r="GD42" s="558" t="s">
        <v>1596</v>
      </c>
      <c r="GE42" s="558" t="s">
        <v>1596</v>
      </c>
      <c r="GF42" s="558" t="s">
        <v>1596</v>
      </c>
      <c r="GG42" s="558" t="s">
        <v>1596</v>
      </c>
      <c r="GH42" s="558" t="s">
        <v>1596</v>
      </c>
      <c r="GI42" s="558" t="s">
        <v>1596</v>
      </c>
      <c r="GJ42" s="558" t="s">
        <v>1596</v>
      </c>
      <c r="GK42" s="558" t="s">
        <v>1596</v>
      </c>
      <c r="GL42" s="558" t="s">
        <v>1596</v>
      </c>
      <c r="GM42" s="558" t="s">
        <v>1596</v>
      </c>
      <c r="GN42" s="558" t="s">
        <v>1596</v>
      </c>
      <c r="GO42" s="562" t="str">
        <f t="shared" si="13"/>
        <v/>
      </c>
      <c r="GP42" s="562" t="str">
        <f t="shared" si="14"/>
        <v/>
      </c>
      <c r="GQ42" s="562" t="str">
        <f t="shared" si="15"/>
        <v/>
      </c>
      <c r="GR42" s="562" t="str">
        <f t="shared" si="16"/>
        <v/>
      </c>
      <c r="GS42" s="562" t="str">
        <f t="shared" si="17"/>
        <v/>
      </c>
      <c r="GT42" s="562" t="str">
        <f t="shared" si="18"/>
        <v/>
      </c>
      <c r="GU42" s="562" t="str">
        <f t="shared" si="19"/>
        <v/>
      </c>
      <c r="GV42" s="562" t="str">
        <f t="shared" si="20"/>
        <v/>
      </c>
      <c r="GW42" s="562" t="str">
        <f t="shared" si="21"/>
        <v/>
      </c>
      <c r="GX42" s="562" t="str">
        <f t="shared" si="22"/>
        <v/>
      </c>
      <c r="GY42" s="562" t="str">
        <f t="shared" si="23"/>
        <v/>
      </c>
      <c r="GZ42" s="562" t="str">
        <f t="shared" si="24"/>
        <v/>
      </c>
      <c r="HA42" s="564" t="s">
        <v>1289</v>
      </c>
      <c r="HC42" s="349" t="s">
        <v>1101</v>
      </c>
      <c r="HD42" s="349" t="s">
        <v>1514</v>
      </c>
    </row>
    <row r="43" spans="2:212">
      <c r="B43" s="549">
        <v>39</v>
      </c>
      <c r="C43" s="549">
        <v>239</v>
      </c>
      <c r="D43" s="550" t="s">
        <v>1548</v>
      </c>
      <c r="E43" s="557" t="s">
        <v>13</v>
      </c>
      <c r="F43" s="555">
        <v>45</v>
      </c>
      <c r="G43" s="555">
        <v>35</v>
      </c>
      <c r="H43" s="555">
        <v>10</v>
      </c>
      <c r="I43" s="555">
        <v>0</v>
      </c>
      <c r="J43" s="551"/>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2"/>
      <c r="AK43" s="556"/>
      <c r="AL43" s="556"/>
      <c r="AM43" s="551"/>
      <c r="AN43" s="555" t="s">
        <v>11</v>
      </c>
      <c r="AO43" s="558" t="s">
        <v>883</v>
      </c>
      <c r="AP43" s="558" t="s">
        <v>883</v>
      </c>
      <c r="AQ43" s="558" t="s">
        <v>883</v>
      </c>
      <c r="AR43" s="558" t="s">
        <v>883</v>
      </c>
      <c r="AS43" s="558" t="s">
        <v>883</v>
      </c>
      <c r="AT43" s="558" t="s">
        <v>883</v>
      </c>
      <c r="AU43" s="558" t="s">
        <v>883</v>
      </c>
      <c r="AV43" s="558" t="s">
        <v>883</v>
      </c>
      <c r="AW43" s="558" t="s">
        <v>883</v>
      </c>
      <c r="AX43" s="558" t="s">
        <v>883</v>
      </c>
      <c r="AY43" s="558" t="s">
        <v>883</v>
      </c>
      <c r="AZ43" s="558" t="s">
        <v>883</v>
      </c>
      <c r="BA43" s="558" t="s">
        <v>883</v>
      </c>
      <c r="BB43" s="558" t="s">
        <v>883</v>
      </c>
      <c r="BC43" s="558" t="s">
        <v>883</v>
      </c>
      <c r="BD43" s="558" t="s">
        <v>883</v>
      </c>
      <c r="BE43" s="558" t="s">
        <v>883</v>
      </c>
      <c r="BF43" s="558" t="s">
        <v>883</v>
      </c>
      <c r="BG43" s="558" t="s">
        <v>883</v>
      </c>
      <c r="BH43" s="558" t="s">
        <v>883</v>
      </c>
      <c r="BI43" s="558" t="s">
        <v>883</v>
      </c>
      <c r="BJ43" s="558" t="s">
        <v>883</v>
      </c>
      <c r="BK43" s="558" t="s">
        <v>883</v>
      </c>
      <c r="BL43" s="558" t="s">
        <v>883</v>
      </c>
      <c r="BM43" s="558">
        <v>0</v>
      </c>
      <c r="BN43" s="558">
        <v>0</v>
      </c>
      <c r="BO43" s="558">
        <v>0</v>
      </c>
      <c r="BP43" s="558">
        <v>0</v>
      </c>
      <c r="BQ43" s="558">
        <v>0</v>
      </c>
      <c r="BR43" s="558">
        <v>0</v>
      </c>
      <c r="BS43" s="558">
        <v>0</v>
      </c>
      <c r="BT43" s="558">
        <v>0</v>
      </c>
      <c r="BU43" s="558">
        <v>0</v>
      </c>
      <c r="BV43" s="558">
        <v>0</v>
      </c>
      <c r="BW43" s="558">
        <v>0</v>
      </c>
      <c r="BX43" s="558">
        <v>0</v>
      </c>
      <c r="BY43" s="558">
        <v>0</v>
      </c>
      <c r="BZ43" s="558">
        <v>0</v>
      </c>
      <c r="CA43" s="558">
        <v>0</v>
      </c>
      <c r="CB43" s="558">
        <v>0</v>
      </c>
      <c r="CC43" s="558">
        <v>0</v>
      </c>
      <c r="CD43" s="558">
        <v>0</v>
      </c>
      <c r="CE43" s="558">
        <v>0</v>
      </c>
      <c r="CF43" s="558">
        <v>0</v>
      </c>
      <c r="CG43" s="558">
        <v>0</v>
      </c>
      <c r="CH43" s="558">
        <v>0</v>
      </c>
      <c r="CI43" s="558">
        <v>0</v>
      </c>
      <c r="CJ43" s="558">
        <v>0</v>
      </c>
      <c r="CK43" s="558">
        <v>0</v>
      </c>
      <c r="CL43" s="558">
        <v>0</v>
      </c>
      <c r="CM43" s="558">
        <v>0</v>
      </c>
      <c r="CN43" s="558">
        <v>0</v>
      </c>
      <c r="CO43" s="558">
        <v>0</v>
      </c>
      <c r="CP43" s="558">
        <v>0</v>
      </c>
      <c r="CQ43" s="558">
        <v>0</v>
      </c>
      <c r="CR43" s="558">
        <v>0</v>
      </c>
      <c r="CS43" s="558">
        <v>0</v>
      </c>
      <c r="CT43" s="558">
        <v>0</v>
      </c>
      <c r="CU43" s="558">
        <v>0</v>
      </c>
      <c r="CV43" s="558">
        <v>0</v>
      </c>
      <c r="CW43" s="558" t="s">
        <v>13</v>
      </c>
      <c r="CX43" s="558">
        <v>0</v>
      </c>
      <c r="CY43" s="559"/>
      <c r="CZ43" s="559"/>
      <c r="DA43" s="559"/>
      <c r="DB43" s="559"/>
      <c r="DC43" s="559"/>
      <c r="DD43" s="559"/>
      <c r="DE43" s="559"/>
      <c r="DF43" s="559"/>
      <c r="DG43" s="559"/>
      <c r="DH43" s="559"/>
      <c r="DI43" s="559"/>
      <c r="DJ43" s="559"/>
      <c r="DK43" s="559"/>
      <c r="DL43" s="559"/>
      <c r="DM43" s="559"/>
      <c r="DN43" s="559"/>
      <c r="DO43" s="559"/>
      <c r="DP43" s="559"/>
      <c r="DQ43" s="559"/>
      <c r="DR43" s="559"/>
      <c r="DS43" s="559"/>
      <c r="DT43" s="559"/>
      <c r="DU43" s="559"/>
      <c r="DV43" s="559"/>
      <c r="DW43" s="559"/>
      <c r="DX43" s="559"/>
      <c r="DY43" s="559"/>
      <c r="DZ43" s="559"/>
      <c r="EA43" s="559"/>
      <c r="EB43" s="559"/>
      <c r="EC43" s="559"/>
      <c r="ED43" s="559"/>
      <c r="EE43" s="559"/>
      <c r="EF43" s="559"/>
      <c r="EG43" s="559"/>
      <c r="EH43" s="559"/>
      <c r="EI43" s="558" t="s">
        <v>1133</v>
      </c>
      <c r="EJ43" s="558" t="s">
        <v>1133</v>
      </c>
      <c r="EK43" s="558" t="s">
        <v>1133</v>
      </c>
      <c r="EL43" s="558" t="s">
        <v>1133</v>
      </c>
      <c r="EM43" s="558" t="s">
        <v>1133</v>
      </c>
      <c r="EN43" s="558" t="s">
        <v>1133</v>
      </c>
      <c r="EO43" s="558" t="s">
        <v>1133</v>
      </c>
      <c r="EP43" s="558" t="s">
        <v>1133</v>
      </c>
      <c r="EQ43" s="558" t="s">
        <v>1133</v>
      </c>
      <c r="ER43" s="558" t="s">
        <v>1133</v>
      </c>
      <c r="ES43" s="558" t="s">
        <v>1133</v>
      </c>
      <c r="ET43" s="558" t="s">
        <v>1133</v>
      </c>
      <c r="EU43" s="558">
        <v>4200</v>
      </c>
      <c r="EV43" s="558">
        <v>4070</v>
      </c>
      <c r="EW43" s="558" t="s">
        <v>1592</v>
      </c>
      <c r="EX43" s="558" t="s">
        <v>1592</v>
      </c>
      <c r="EY43" s="558" t="s">
        <v>1592</v>
      </c>
      <c r="EZ43" s="558" t="s">
        <v>1592</v>
      </c>
      <c r="FA43" s="558" t="s">
        <v>1592</v>
      </c>
      <c r="FB43" s="558" t="s">
        <v>1592</v>
      </c>
      <c r="FC43" s="558" t="s">
        <v>1592</v>
      </c>
      <c r="FD43" s="558" t="s">
        <v>1592</v>
      </c>
      <c r="FE43" s="558" t="s">
        <v>1592</v>
      </c>
      <c r="FF43" s="558" t="s">
        <v>1592</v>
      </c>
      <c r="FG43" s="558" t="s">
        <v>1592</v>
      </c>
      <c r="FH43" s="558" t="s">
        <v>1592</v>
      </c>
      <c r="FI43" s="558">
        <v>10</v>
      </c>
      <c r="FJ43" s="558">
        <v>11</v>
      </c>
      <c r="FK43" s="558">
        <v>12</v>
      </c>
      <c r="FL43" s="558">
        <v>12</v>
      </c>
      <c r="FM43" s="558">
        <v>12</v>
      </c>
      <c r="FN43" s="558">
        <v>12</v>
      </c>
      <c r="FO43" s="558">
        <v>12</v>
      </c>
      <c r="FP43" s="558">
        <v>12</v>
      </c>
      <c r="FQ43" s="558">
        <v>10</v>
      </c>
      <c r="FR43" s="558">
        <v>10</v>
      </c>
      <c r="FS43" s="558">
        <v>10</v>
      </c>
      <c r="FT43" s="558">
        <v>10</v>
      </c>
      <c r="FU43" s="558">
        <v>10</v>
      </c>
      <c r="FV43" s="558">
        <v>10</v>
      </c>
      <c r="FW43" s="558">
        <v>9</v>
      </c>
      <c r="FX43" s="558">
        <v>9</v>
      </c>
      <c r="FY43" s="558">
        <v>9</v>
      </c>
      <c r="FZ43" s="558">
        <v>9</v>
      </c>
      <c r="GA43" s="558">
        <v>11</v>
      </c>
      <c r="GB43" s="558">
        <v>11</v>
      </c>
      <c r="GC43" s="558" t="s">
        <v>1596</v>
      </c>
      <c r="GD43" s="558" t="s">
        <v>1596</v>
      </c>
      <c r="GE43" s="558" t="s">
        <v>1596</v>
      </c>
      <c r="GF43" s="558" t="s">
        <v>1596</v>
      </c>
      <c r="GG43" s="558" t="s">
        <v>1596</v>
      </c>
      <c r="GH43" s="558" t="s">
        <v>1596</v>
      </c>
      <c r="GI43" s="558" t="s">
        <v>1596</v>
      </c>
      <c r="GJ43" s="558" t="s">
        <v>1596</v>
      </c>
      <c r="GK43" s="558" t="s">
        <v>1596</v>
      </c>
      <c r="GL43" s="558" t="s">
        <v>1596</v>
      </c>
      <c r="GM43" s="558" t="s">
        <v>1596</v>
      </c>
      <c r="GN43" s="558" t="s">
        <v>1596</v>
      </c>
      <c r="GO43" s="562" t="str">
        <f t="shared" si="13"/>
        <v/>
      </c>
      <c r="GP43" s="562" t="str">
        <f t="shared" si="14"/>
        <v/>
      </c>
      <c r="GQ43" s="562" t="str">
        <f t="shared" si="15"/>
        <v/>
      </c>
      <c r="GR43" s="562" t="str">
        <f t="shared" si="16"/>
        <v/>
      </c>
      <c r="GS43" s="562" t="str">
        <f t="shared" si="17"/>
        <v/>
      </c>
      <c r="GT43" s="562" t="str">
        <f t="shared" si="18"/>
        <v/>
      </c>
      <c r="GU43" s="562" t="str">
        <f t="shared" si="19"/>
        <v/>
      </c>
      <c r="GV43" s="562" t="str">
        <f t="shared" si="20"/>
        <v/>
      </c>
      <c r="GW43" s="562" t="str">
        <f t="shared" si="21"/>
        <v/>
      </c>
      <c r="GX43" s="562" t="str">
        <f t="shared" si="22"/>
        <v/>
      </c>
      <c r="GY43" s="562" t="str">
        <f t="shared" si="23"/>
        <v/>
      </c>
      <c r="GZ43" s="562" t="str">
        <f t="shared" si="24"/>
        <v/>
      </c>
      <c r="HA43" s="564" t="s">
        <v>1289</v>
      </c>
      <c r="HC43" s="349" t="s">
        <v>1470</v>
      </c>
      <c r="HD43" s="349" t="s">
        <v>1515</v>
      </c>
    </row>
    <row r="44" spans="2:212">
      <c r="B44" s="549">
        <v>40</v>
      </c>
      <c r="C44" s="549">
        <v>240</v>
      </c>
      <c r="D44" s="550" t="s">
        <v>1304</v>
      </c>
      <c r="E44" s="557" t="s">
        <v>13</v>
      </c>
      <c r="F44" s="555">
        <v>123</v>
      </c>
      <c r="G44" s="555">
        <v>3</v>
      </c>
      <c r="H44" s="555">
        <v>78</v>
      </c>
      <c r="I44" s="555">
        <v>42</v>
      </c>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2"/>
      <c r="AK44" s="556"/>
      <c r="AL44" s="556"/>
      <c r="AM44" s="551"/>
      <c r="AN44" s="555" t="s">
        <v>11</v>
      </c>
      <c r="AO44" s="558" t="s">
        <v>883</v>
      </c>
      <c r="AP44" s="558" t="s">
        <v>883</v>
      </c>
      <c r="AQ44" s="558" t="s">
        <v>883</v>
      </c>
      <c r="AR44" s="558" t="s">
        <v>883</v>
      </c>
      <c r="AS44" s="558" t="s">
        <v>883</v>
      </c>
      <c r="AT44" s="558" t="s">
        <v>883</v>
      </c>
      <c r="AU44" s="558" t="s">
        <v>883</v>
      </c>
      <c r="AV44" s="558" t="s">
        <v>883</v>
      </c>
      <c r="AW44" s="558" t="s">
        <v>883</v>
      </c>
      <c r="AX44" s="558" t="s">
        <v>883</v>
      </c>
      <c r="AY44" s="558" t="s">
        <v>883</v>
      </c>
      <c r="AZ44" s="558" t="s">
        <v>883</v>
      </c>
      <c r="BA44" s="558" t="s">
        <v>883</v>
      </c>
      <c r="BB44" s="558" t="s">
        <v>883</v>
      </c>
      <c r="BC44" s="558" t="s">
        <v>883</v>
      </c>
      <c r="BD44" s="558" t="s">
        <v>883</v>
      </c>
      <c r="BE44" s="558" t="s">
        <v>883</v>
      </c>
      <c r="BF44" s="558" t="s">
        <v>883</v>
      </c>
      <c r="BG44" s="558" t="s">
        <v>883</v>
      </c>
      <c r="BH44" s="558" t="s">
        <v>883</v>
      </c>
      <c r="BI44" s="558" t="s">
        <v>883</v>
      </c>
      <c r="BJ44" s="558" t="s">
        <v>883</v>
      </c>
      <c r="BK44" s="558" t="s">
        <v>883</v>
      </c>
      <c r="BL44" s="558" t="s">
        <v>883</v>
      </c>
      <c r="BM44" s="558">
        <v>3</v>
      </c>
      <c r="BN44" s="558">
        <v>3</v>
      </c>
      <c r="BO44" s="558">
        <v>3</v>
      </c>
      <c r="BP44" s="558">
        <v>3</v>
      </c>
      <c r="BQ44" s="558">
        <v>3</v>
      </c>
      <c r="BR44" s="558">
        <v>3</v>
      </c>
      <c r="BS44" s="558">
        <v>3</v>
      </c>
      <c r="BT44" s="558">
        <v>3</v>
      </c>
      <c r="BU44" s="558">
        <v>3</v>
      </c>
      <c r="BV44" s="558">
        <v>3</v>
      </c>
      <c r="BW44" s="558">
        <v>3</v>
      </c>
      <c r="BX44" s="558">
        <v>3</v>
      </c>
      <c r="BY44" s="558">
        <v>0</v>
      </c>
      <c r="BZ44" s="558">
        <v>0</v>
      </c>
      <c r="CA44" s="558">
        <v>0</v>
      </c>
      <c r="CB44" s="558">
        <v>0</v>
      </c>
      <c r="CC44" s="558">
        <v>0</v>
      </c>
      <c r="CD44" s="558">
        <v>0</v>
      </c>
      <c r="CE44" s="558">
        <v>0</v>
      </c>
      <c r="CF44" s="558">
        <v>0</v>
      </c>
      <c r="CG44" s="558">
        <v>0</v>
      </c>
      <c r="CH44" s="558">
        <v>0</v>
      </c>
      <c r="CI44" s="558">
        <v>0</v>
      </c>
      <c r="CJ44" s="558">
        <v>0</v>
      </c>
      <c r="CK44" s="558">
        <v>0</v>
      </c>
      <c r="CL44" s="558">
        <v>0</v>
      </c>
      <c r="CM44" s="558">
        <v>0</v>
      </c>
      <c r="CN44" s="558">
        <v>0</v>
      </c>
      <c r="CO44" s="558">
        <v>0</v>
      </c>
      <c r="CP44" s="558">
        <v>0</v>
      </c>
      <c r="CQ44" s="558">
        <v>0</v>
      </c>
      <c r="CR44" s="558">
        <v>0</v>
      </c>
      <c r="CS44" s="558">
        <v>0</v>
      </c>
      <c r="CT44" s="558">
        <v>0</v>
      </c>
      <c r="CU44" s="558">
        <v>0</v>
      </c>
      <c r="CV44" s="558">
        <v>0</v>
      </c>
      <c r="CW44" s="558" t="s">
        <v>13</v>
      </c>
      <c r="CX44" s="558">
        <v>3</v>
      </c>
      <c r="CY44" s="559"/>
      <c r="CZ44" s="559"/>
      <c r="DA44" s="559"/>
      <c r="DB44" s="559"/>
      <c r="DC44" s="559"/>
      <c r="DD44" s="559"/>
      <c r="DE44" s="559"/>
      <c r="DF44" s="559"/>
      <c r="DG44" s="559"/>
      <c r="DH44" s="559"/>
      <c r="DI44" s="559"/>
      <c r="DJ44" s="559"/>
      <c r="DK44" s="559"/>
      <c r="DL44" s="559"/>
      <c r="DM44" s="559"/>
      <c r="DN44" s="559"/>
      <c r="DO44" s="559"/>
      <c r="DP44" s="559"/>
      <c r="DQ44" s="559"/>
      <c r="DR44" s="559"/>
      <c r="DS44" s="559"/>
      <c r="DT44" s="559"/>
      <c r="DU44" s="559"/>
      <c r="DV44" s="559"/>
      <c r="DW44" s="559"/>
      <c r="DX44" s="559"/>
      <c r="DY44" s="559"/>
      <c r="DZ44" s="559"/>
      <c r="EA44" s="559"/>
      <c r="EB44" s="559"/>
      <c r="EC44" s="559"/>
      <c r="ED44" s="559"/>
      <c r="EE44" s="559"/>
      <c r="EF44" s="559"/>
      <c r="EG44" s="559"/>
      <c r="EH44" s="559"/>
      <c r="EI44" s="558" t="s">
        <v>1133</v>
      </c>
      <c r="EJ44" s="558" t="s">
        <v>1133</v>
      </c>
      <c r="EK44" s="558" t="s">
        <v>1133</v>
      </c>
      <c r="EL44" s="558" t="s">
        <v>1133</v>
      </c>
      <c r="EM44" s="558" t="s">
        <v>1133</v>
      </c>
      <c r="EN44" s="558" t="s">
        <v>1133</v>
      </c>
      <c r="EO44" s="558" t="s">
        <v>1133</v>
      </c>
      <c r="EP44" s="558" t="s">
        <v>1133</v>
      </c>
      <c r="EQ44" s="558" t="s">
        <v>1133</v>
      </c>
      <c r="ER44" s="558" t="s">
        <v>1133</v>
      </c>
      <c r="ES44" s="558" t="s">
        <v>1133</v>
      </c>
      <c r="ET44" s="558" t="s">
        <v>1133</v>
      </c>
      <c r="EU44" s="558">
        <v>4200</v>
      </c>
      <c r="EV44" s="558">
        <v>4070</v>
      </c>
      <c r="EW44" s="558" t="s">
        <v>1592</v>
      </c>
      <c r="EX44" s="558" t="s">
        <v>1592</v>
      </c>
      <c r="EY44" s="558" t="s">
        <v>1592</v>
      </c>
      <c r="EZ44" s="558" t="s">
        <v>1592</v>
      </c>
      <c r="FA44" s="558" t="s">
        <v>1592</v>
      </c>
      <c r="FB44" s="558" t="s">
        <v>1592</v>
      </c>
      <c r="FC44" s="558" t="s">
        <v>1592</v>
      </c>
      <c r="FD44" s="558" t="s">
        <v>1592</v>
      </c>
      <c r="FE44" s="558" t="s">
        <v>1592</v>
      </c>
      <c r="FF44" s="558" t="s">
        <v>1592</v>
      </c>
      <c r="FG44" s="558" t="s">
        <v>1592</v>
      </c>
      <c r="FH44" s="558" t="s">
        <v>1592</v>
      </c>
      <c r="FI44" s="558">
        <v>2</v>
      </c>
      <c r="FJ44" s="558">
        <v>2</v>
      </c>
      <c r="FK44" s="558">
        <v>2</v>
      </c>
      <c r="FL44" s="558">
        <v>2</v>
      </c>
      <c r="FM44" s="558">
        <v>2</v>
      </c>
      <c r="FN44" s="558">
        <v>2</v>
      </c>
      <c r="FO44" s="558">
        <v>2</v>
      </c>
      <c r="FP44" s="558">
        <v>2</v>
      </c>
      <c r="FQ44" s="558">
        <v>2</v>
      </c>
      <c r="FR44" s="558">
        <v>2</v>
      </c>
      <c r="FS44" s="558">
        <v>49</v>
      </c>
      <c r="FT44" s="558">
        <v>49</v>
      </c>
      <c r="FU44" s="558">
        <v>49</v>
      </c>
      <c r="FV44" s="558">
        <v>49</v>
      </c>
      <c r="FW44" s="558">
        <v>49</v>
      </c>
      <c r="FX44" s="558">
        <v>49</v>
      </c>
      <c r="FY44" s="558">
        <v>49</v>
      </c>
      <c r="FZ44" s="558">
        <v>49</v>
      </c>
      <c r="GA44" s="558">
        <v>49</v>
      </c>
      <c r="GB44" s="558">
        <v>48</v>
      </c>
      <c r="GC44" s="558" t="s">
        <v>1595</v>
      </c>
      <c r="GD44" s="558" t="s">
        <v>1595</v>
      </c>
      <c r="GE44" s="558" t="s">
        <v>1595</v>
      </c>
      <c r="GF44" s="558" t="s">
        <v>1595</v>
      </c>
      <c r="GG44" s="558" t="s">
        <v>1595</v>
      </c>
      <c r="GH44" s="558" t="s">
        <v>1595</v>
      </c>
      <c r="GI44" s="558" t="s">
        <v>1595</v>
      </c>
      <c r="GJ44" s="558" t="s">
        <v>1595</v>
      </c>
      <c r="GK44" s="558" t="s">
        <v>1595</v>
      </c>
      <c r="GL44" s="558" t="s">
        <v>1595</v>
      </c>
      <c r="GM44" s="558" t="s">
        <v>1595</v>
      </c>
      <c r="GN44" s="558" t="s">
        <v>1595</v>
      </c>
      <c r="GO44" s="562">
        <f t="shared" si="13"/>
        <v>79950</v>
      </c>
      <c r="GP44" s="562">
        <f t="shared" si="14"/>
        <v>79950</v>
      </c>
      <c r="GQ44" s="562">
        <f t="shared" si="15"/>
        <v>79950</v>
      </c>
      <c r="GR44" s="562">
        <f t="shared" si="16"/>
        <v>79950</v>
      </c>
      <c r="GS44" s="562">
        <f t="shared" si="17"/>
        <v>79950</v>
      </c>
      <c r="GT44" s="562">
        <f t="shared" si="18"/>
        <v>79950</v>
      </c>
      <c r="GU44" s="562">
        <f t="shared" si="19"/>
        <v>79950</v>
      </c>
      <c r="GV44" s="562">
        <f t="shared" si="20"/>
        <v>79950</v>
      </c>
      <c r="GW44" s="562">
        <f t="shared" si="21"/>
        <v>79950</v>
      </c>
      <c r="GX44" s="562">
        <f t="shared" si="22"/>
        <v>79950</v>
      </c>
      <c r="GY44" s="562">
        <f t="shared" si="23"/>
        <v>79950</v>
      </c>
      <c r="GZ44" s="562">
        <f t="shared" si="24"/>
        <v>79950</v>
      </c>
      <c r="HA44" s="568" t="s">
        <v>1290</v>
      </c>
      <c r="HC44" s="349" t="s">
        <v>1518</v>
      </c>
      <c r="HD44" s="349" t="s">
        <v>1515</v>
      </c>
    </row>
    <row r="45" spans="2:212">
      <c r="B45" s="549">
        <v>41</v>
      </c>
      <c r="C45" s="549">
        <v>241</v>
      </c>
      <c r="D45" s="550" t="s">
        <v>1306</v>
      </c>
      <c r="E45" s="557" t="s">
        <v>13</v>
      </c>
      <c r="F45" s="555">
        <v>337</v>
      </c>
      <c r="G45" s="555">
        <v>210</v>
      </c>
      <c r="H45" s="555">
        <v>80</v>
      </c>
      <c r="I45" s="555">
        <v>47</v>
      </c>
      <c r="J45" s="551"/>
      <c r="K45" s="551"/>
      <c r="L45" s="551"/>
      <c r="M45" s="551"/>
      <c r="N45" s="551"/>
      <c r="O45" s="551"/>
      <c r="P45" s="551"/>
      <c r="Q45" s="551"/>
      <c r="R45" s="551"/>
      <c r="S45" s="551"/>
      <c r="T45" s="551"/>
      <c r="U45" s="551"/>
      <c r="V45" s="551"/>
      <c r="W45" s="551"/>
      <c r="X45" s="551"/>
      <c r="Y45" s="551"/>
      <c r="Z45" s="551"/>
      <c r="AA45" s="551"/>
      <c r="AB45" s="551"/>
      <c r="AC45" s="551"/>
      <c r="AD45" s="551"/>
      <c r="AE45" s="551"/>
      <c r="AF45" s="551"/>
      <c r="AG45" s="551"/>
      <c r="AH45" s="551"/>
      <c r="AI45" s="551"/>
      <c r="AJ45" s="552"/>
      <c r="AK45" s="556"/>
      <c r="AL45" s="556"/>
      <c r="AM45" s="551"/>
      <c r="AN45" s="555" t="s">
        <v>11</v>
      </c>
      <c r="AO45" s="558" t="s">
        <v>883</v>
      </c>
      <c r="AP45" s="558" t="s">
        <v>883</v>
      </c>
      <c r="AQ45" s="558" t="s">
        <v>883</v>
      </c>
      <c r="AR45" s="558" t="s">
        <v>883</v>
      </c>
      <c r="AS45" s="558" t="s">
        <v>883</v>
      </c>
      <c r="AT45" s="558" t="s">
        <v>883</v>
      </c>
      <c r="AU45" s="558" t="s">
        <v>883</v>
      </c>
      <c r="AV45" s="558" t="s">
        <v>883</v>
      </c>
      <c r="AW45" s="558" t="s">
        <v>883</v>
      </c>
      <c r="AX45" s="558" t="s">
        <v>883</v>
      </c>
      <c r="AY45" s="558" t="s">
        <v>883</v>
      </c>
      <c r="AZ45" s="558" t="s">
        <v>883</v>
      </c>
      <c r="BA45" s="558" t="s">
        <v>883</v>
      </c>
      <c r="BB45" s="558" t="s">
        <v>883</v>
      </c>
      <c r="BC45" s="558" t="s">
        <v>883</v>
      </c>
      <c r="BD45" s="558" t="s">
        <v>883</v>
      </c>
      <c r="BE45" s="558" t="s">
        <v>883</v>
      </c>
      <c r="BF45" s="558" t="s">
        <v>883</v>
      </c>
      <c r="BG45" s="558" t="s">
        <v>883</v>
      </c>
      <c r="BH45" s="558" t="s">
        <v>883</v>
      </c>
      <c r="BI45" s="558" t="s">
        <v>883</v>
      </c>
      <c r="BJ45" s="558" t="s">
        <v>883</v>
      </c>
      <c r="BK45" s="558" t="s">
        <v>883</v>
      </c>
      <c r="BL45" s="558" t="s">
        <v>883</v>
      </c>
      <c r="BM45" s="558">
        <v>1</v>
      </c>
      <c r="BN45" s="558">
        <v>1</v>
      </c>
      <c r="BO45" s="558">
        <v>1</v>
      </c>
      <c r="BP45" s="558">
        <v>1</v>
      </c>
      <c r="BQ45" s="558">
        <v>1</v>
      </c>
      <c r="BR45" s="558">
        <v>1</v>
      </c>
      <c r="BS45" s="558">
        <v>1</v>
      </c>
      <c r="BT45" s="558">
        <v>1</v>
      </c>
      <c r="BU45" s="558">
        <v>1</v>
      </c>
      <c r="BV45" s="558">
        <v>1</v>
      </c>
      <c r="BW45" s="558">
        <v>1</v>
      </c>
      <c r="BX45" s="558">
        <v>1</v>
      </c>
      <c r="BY45" s="558">
        <v>0</v>
      </c>
      <c r="BZ45" s="558">
        <v>0</v>
      </c>
      <c r="CA45" s="558">
        <v>0</v>
      </c>
      <c r="CB45" s="558">
        <v>0</v>
      </c>
      <c r="CC45" s="558">
        <v>0</v>
      </c>
      <c r="CD45" s="558">
        <v>0</v>
      </c>
      <c r="CE45" s="558">
        <v>0</v>
      </c>
      <c r="CF45" s="558">
        <v>0</v>
      </c>
      <c r="CG45" s="558">
        <v>0</v>
      </c>
      <c r="CH45" s="558">
        <v>0</v>
      </c>
      <c r="CI45" s="558">
        <v>0</v>
      </c>
      <c r="CJ45" s="558">
        <v>0</v>
      </c>
      <c r="CK45" s="558">
        <v>0</v>
      </c>
      <c r="CL45" s="558">
        <v>0</v>
      </c>
      <c r="CM45" s="558">
        <v>0</v>
      </c>
      <c r="CN45" s="558">
        <v>0</v>
      </c>
      <c r="CO45" s="558">
        <v>0</v>
      </c>
      <c r="CP45" s="558">
        <v>0</v>
      </c>
      <c r="CQ45" s="558">
        <v>0</v>
      </c>
      <c r="CR45" s="558">
        <v>0</v>
      </c>
      <c r="CS45" s="558">
        <v>0</v>
      </c>
      <c r="CT45" s="558">
        <v>0</v>
      </c>
      <c r="CU45" s="558">
        <v>0</v>
      </c>
      <c r="CV45" s="558">
        <v>0</v>
      </c>
      <c r="CW45" s="558" t="s">
        <v>13</v>
      </c>
      <c r="CX45" s="558">
        <v>2</v>
      </c>
      <c r="CY45" s="559"/>
      <c r="CZ45" s="559"/>
      <c r="DA45" s="559"/>
      <c r="DB45" s="559"/>
      <c r="DC45" s="559"/>
      <c r="DD45" s="559"/>
      <c r="DE45" s="559"/>
      <c r="DF45" s="559"/>
      <c r="DG45" s="559"/>
      <c r="DH45" s="559"/>
      <c r="DI45" s="559"/>
      <c r="DJ45" s="559"/>
      <c r="DK45" s="559"/>
      <c r="DL45" s="559"/>
      <c r="DM45" s="559"/>
      <c r="DN45" s="559"/>
      <c r="DO45" s="559"/>
      <c r="DP45" s="559"/>
      <c r="DQ45" s="559"/>
      <c r="DR45" s="559"/>
      <c r="DS45" s="559"/>
      <c r="DT45" s="559"/>
      <c r="DU45" s="559"/>
      <c r="DV45" s="559"/>
      <c r="DW45" s="559"/>
      <c r="DX45" s="559"/>
      <c r="DY45" s="559"/>
      <c r="DZ45" s="559"/>
      <c r="EA45" s="559"/>
      <c r="EB45" s="559"/>
      <c r="EC45" s="559"/>
      <c r="ED45" s="559"/>
      <c r="EE45" s="559"/>
      <c r="EF45" s="559"/>
      <c r="EG45" s="559"/>
      <c r="EH45" s="559"/>
      <c r="EI45" s="558" t="s">
        <v>1133</v>
      </c>
      <c r="EJ45" s="558" t="s">
        <v>1133</v>
      </c>
      <c r="EK45" s="558" t="s">
        <v>1133</v>
      </c>
      <c r="EL45" s="558" t="s">
        <v>1133</v>
      </c>
      <c r="EM45" s="558" t="s">
        <v>1133</v>
      </c>
      <c r="EN45" s="558" t="s">
        <v>1133</v>
      </c>
      <c r="EO45" s="558" t="s">
        <v>1133</v>
      </c>
      <c r="EP45" s="558" t="s">
        <v>1133</v>
      </c>
      <c r="EQ45" s="558" t="s">
        <v>1133</v>
      </c>
      <c r="ER45" s="558" t="s">
        <v>1133</v>
      </c>
      <c r="ES45" s="558" t="s">
        <v>1133</v>
      </c>
      <c r="ET45" s="558" t="s">
        <v>1133</v>
      </c>
      <c r="EU45" s="558">
        <v>4140</v>
      </c>
      <c r="EV45" s="558">
        <v>4010</v>
      </c>
      <c r="EW45" s="558" t="s">
        <v>1592</v>
      </c>
      <c r="EX45" s="558" t="s">
        <v>1592</v>
      </c>
      <c r="EY45" s="558" t="s">
        <v>1592</v>
      </c>
      <c r="EZ45" s="558" t="s">
        <v>1592</v>
      </c>
      <c r="FA45" s="558" t="s">
        <v>1592</v>
      </c>
      <c r="FB45" s="558" t="s">
        <v>1592</v>
      </c>
      <c r="FC45" s="558" t="s">
        <v>1592</v>
      </c>
      <c r="FD45" s="558" t="s">
        <v>1592</v>
      </c>
      <c r="FE45" s="558" t="s">
        <v>1592</v>
      </c>
      <c r="FF45" s="558" t="s">
        <v>1592</v>
      </c>
      <c r="FG45" s="558" t="s">
        <v>1592</v>
      </c>
      <c r="FH45" s="558" t="s">
        <v>1592</v>
      </c>
      <c r="FI45" s="558">
        <v>153</v>
      </c>
      <c r="FJ45" s="558">
        <v>153</v>
      </c>
      <c r="FK45" s="558">
        <v>153</v>
      </c>
      <c r="FL45" s="558">
        <v>153</v>
      </c>
      <c r="FM45" s="558">
        <v>153</v>
      </c>
      <c r="FN45" s="558">
        <v>153</v>
      </c>
      <c r="FO45" s="558">
        <v>153</v>
      </c>
      <c r="FP45" s="558">
        <v>155</v>
      </c>
      <c r="FQ45" s="558">
        <v>154</v>
      </c>
      <c r="FR45" s="558">
        <v>153</v>
      </c>
      <c r="FS45" s="558">
        <v>57</v>
      </c>
      <c r="FT45" s="558">
        <v>56</v>
      </c>
      <c r="FU45" s="558">
        <v>56</v>
      </c>
      <c r="FV45" s="558">
        <v>55</v>
      </c>
      <c r="FW45" s="558">
        <v>55</v>
      </c>
      <c r="FX45" s="558">
        <v>55</v>
      </c>
      <c r="FY45" s="558">
        <v>55</v>
      </c>
      <c r="FZ45" s="558">
        <v>53</v>
      </c>
      <c r="GA45" s="558">
        <v>53</v>
      </c>
      <c r="GB45" s="558">
        <v>53</v>
      </c>
      <c r="GC45" s="558" t="s">
        <v>1596</v>
      </c>
      <c r="GD45" s="558" t="s">
        <v>1596</v>
      </c>
      <c r="GE45" s="558" t="s">
        <v>1596</v>
      </c>
      <c r="GF45" s="558" t="s">
        <v>1596</v>
      </c>
      <c r="GG45" s="558" t="s">
        <v>1596</v>
      </c>
      <c r="GH45" s="558" t="s">
        <v>1596</v>
      </c>
      <c r="GI45" s="558" t="s">
        <v>1596</v>
      </c>
      <c r="GJ45" s="558" t="s">
        <v>1596</v>
      </c>
      <c r="GK45" s="558" t="s">
        <v>1596</v>
      </c>
      <c r="GL45" s="558" t="s">
        <v>1596</v>
      </c>
      <c r="GM45" s="558" t="s">
        <v>1596</v>
      </c>
      <c r="GN45" s="558" t="s">
        <v>1596</v>
      </c>
      <c r="GO45" s="562" t="str">
        <f t="shared" si="13"/>
        <v/>
      </c>
      <c r="GP45" s="562" t="str">
        <f t="shared" si="14"/>
        <v/>
      </c>
      <c r="GQ45" s="562" t="str">
        <f t="shared" si="15"/>
        <v/>
      </c>
      <c r="GR45" s="562" t="str">
        <f t="shared" si="16"/>
        <v/>
      </c>
      <c r="GS45" s="562" t="str">
        <f t="shared" si="17"/>
        <v/>
      </c>
      <c r="GT45" s="562" t="str">
        <f t="shared" si="18"/>
        <v/>
      </c>
      <c r="GU45" s="562" t="str">
        <f t="shared" si="19"/>
        <v/>
      </c>
      <c r="GV45" s="562" t="str">
        <f t="shared" si="20"/>
        <v/>
      </c>
      <c r="GW45" s="562" t="str">
        <f t="shared" si="21"/>
        <v/>
      </c>
      <c r="GX45" s="562" t="str">
        <f t="shared" si="22"/>
        <v/>
      </c>
      <c r="GY45" s="562" t="str">
        <f t="shared" si="23"/>
        <v/>
      </c>
      <c r="GZ45" s="562" t="str">
        <f t="shared" si="24"/>
        <v/>
      </c>
      <c r="HA45" s="564" t="s">
        <v>1289</v>
      </c>
      <c r="HC45" s="349" t="s">
        <v>1467</v>
      </c>
      <c r="HD45" s="349" t="s">
        <v>1514</v>
      </c>
    </row>
    <row r="46" spans="2:212">
      <c r="B46" s="549">
        <v>42</v>
      </c>
      <c r="C46" s="549">
        <v>242</v>
      </c>
      <c r="D46" s="550" t="s">
        <v>1519</v>
      </c>
      <c r="E46" s="557" t="s">
        <v>13</v>
      </c>
      <c r="F46" s="555">
        <v>200</v>
      </c>
      <c r="G46" s="555">
        <v>150</v>
      </c>
      <c r="H46" s="555">
        <v>50</v>
      </c>
      <c r="I46" s="555">
        <v>0</v>
      </c>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2"/>
      <c r="AK46" s="556"/>
      <c r="AL46" s="556"/>
      <c r="AM46" s="551"/>
      <c r="AN46" s="555" t="s">
        <v>11</v>
      </c>
      <c r="AO46" s="526" t="s">
        <v>883</v>
      </c>
      <c r="AP46" s="526" t="s">
        <v>883</v>
      </c>
      <c r="AQ46" s="526" t="s">
        <v>883</v>
      </c>
      <c r="AR46" s="526" t="s">
        <v>883</v>
      </c>
      <c r="AS46" s="526" t="s">
        <v>883</v>
      </c>
      <c r="AT46" s="526" t="s">
        <v>883</v>
      </c>
      <c r="AU46" s="526" t="s">
        <v>883</v>
      </c>
      <c r="AV46" s="526" t="s">
        <v>883</v>
      </c>
      <c r="AW46" s="526" t="s">
        <v>883</v>
      </c>
      <c r="AX46" s="526" t="s">
        <v>883</v>
      </c>
      <c r="AY46" s="526" t="s">
        <v>883</v>
      </c>
      <c r="AZ46" s="526" t="s">
        <v>883</v>
      </c>
      <c r="BA46" s="526" t="s">
        <v>883</v>
      </c>
      <c r="BB46" s="526" t="s">
        <v>883</v>
      </c>
      <c r="BC46" s="526" t="s">
        <v>883</v>
      </c>
      <c r="BD46" s="526" t="s">
        <v>883</v>
      </c>
      <c r="BE46" s="526" t="s">
        <v>883</v>
      </c>
      <c r="BF46" s="526" t="s">
        <v>883</v>
      </c>
      <c r="BG46" s="526" t="s">
        <v>883</v>
      </c>
      <c r="BH46" s="526" t="s">
        <v>883</v>
      </c>
      <c r="BI46" s="526" t="s">
        <v>883</v>
      </c>
      <c r="BJ46" s="526" t="s">
        <v>883</v>
      </c>
      <c r="BK46" s="526" t="s">
        <v>883</v>
      </c>
      <c r="BL46" s="526" t="s">
        <v>883</v>
      </c>
      <c r="BM46" s="526">
        <v>0</v>
      </c>
      <c r="BN46" s="526">
        <v>0</v>
      </c>
      <c r="BO46" s="526">
        <v>0</v>
      </c>
      <c r="BP46" s="526">
        <v>0</v>
      </c>
      <c r="BQ46" s="526">
        <v>0</v>
      </c>
      <c r="BR46" s="526">
        <v>0</v>
      </c>
      <c r="BS46" s="526">
        <v>0</v>
      </c>
      <c r="BT46" s="526">
        <v>0</v>
      </c>
      <c r="BU46" s="526">
        <v>0</v>
      </c>
      <c r="BV46" s="526">
        <v>0</v>
      </c>
      <c r="BW46" s="526">
        <v>0</v>
      </c>
      <c r="BX46" s="526">
        <v>0</v>
      </c>
      <c r="BY46" s="558">
        <v>0</v>
      </c>
      <c r="BZ46" s="558">
        <v>0</v>
      </c>
      <c r="CA46" s="558">
        <v>0</v>
      </c>
      <c r="CB46" s="558">
        <v>0</v>
      </c>
      <c r="CC46" s="558">
        <v>0</v>
      </c>
      <c r="CD46" s="558">
        <v>0</v>
      </c>
      <c r="CE46" s="558">
        <v>0</v>
      </c>
      <c r="CF46" s="558">
        <v>0</v>
      </c>
      <c r="CG46" s="558">
        <v>0</v>
      </c>
      <c r="CH46" s="558">
        <v>0</v>
      </c>
      <c r="CI46" s="558">
        <v>0</v>
      </c>
      <c r="CJ46" s="558">
        <v>0</v>
      </c>
      <c r="CK46" s="526">
        <v>0</v>
      </c>
      <c r="CL46" s="526">
        <v>0</v>
      </c>
      <c r="CM46" s="526">
        <v>0</v>
      </c>
      <c r="CN46" s="526">
        <v>0</v>
      </c>
      <c r="CO46" s="526">
        <v>0</v>
      </c>
      <c r="CP46" s="526">
        <v>0</v>
      </c>
      <c r="CQ46" s="526">
        <v>0</v>
      </c>
      <c r="CR46" s="526">
        <v>0</v>
      </c>
      <c r="CS46" s="526">
        <v>0</v>
      </c>
      <c r="CT46" s="526">
        <v>0</v>
      </c>
      <c r="CU46" s="526">
        <v>0</v>
      </c>
      <c r="CV46" s="526">
        <v>0</v>
      </c>
      <c r="CW46" s="526" t="s">
        <v>13</v>
      </c>
      <c r="CX46" s="526">
        <v>2</v>
      </c>
      <c r="CY46" s="560"/>
      <c r="CZ46" s="560"/>
      <c r="DA46" s="560"/>
      <c r="DB46" s="560"/>
      <c r="DC46" s="560"/>
      <c r="DD46" s="560"/>
      <c r="DE46" s="560"/>
      <c r="DF46" s="560"/>
      <c r="DG46" s="560"/>
      <c r="DH46" s="560"/>
      <c r="DI46" s="560"/>
      <c r="DJ46" s="560"/>
      <c r="DK46" s="560"/>
      <c r="DL46" s="560"/>
      <c r="DM46" s="560"/>
      <c r="DN46" s="560"/>
      <c r="DO46" s="560"/>
      <c r="DP46" s="560"/>
      <c r="DQ46" s="560"/>
      <c r="DR46" s="560"/>
      <c r="DS46" s="560"/>
      <c r="DT46" s="560"/>
      <c r="DU46" s="560"/>
      <c r="DV46" s="560"/>
      <c r="DW46" s="560"/>
      <c r="DX46" s="560"/>
      <c r="DY46" s="560"/>
      <c r="DZ46" s="560"/>
      <c r="EA46" s="560"/>
      <c r="EB46" s="560"/>
      <c r="EC46" s="560"/>
      <c r="ED46" s="560"/>
      <c r="EE46" s="560"/>
      <c r="EF46" s="560"/>
      <c r="EG46" s="560"/>
      <c r="EH46" s="560"/>
      <c r="EI46" s="526" t="s">
        <v>1133</v>
      </c>
      <c r="EJ46" s="526" t="s">
        <v>1133</v>
      </c>
      <c r="EK46" s="526" t="s">
        <v>1133</v>
      </c>
      <c r="EL46" s="526" t="s">
        <v>1133</v>
      </c>
      <c r="EM46" s="526" t="s">
        <v>1133</v>
      </c>
      <c r="EN46" s="526" t="s">
        <v>1133</v>
      </c>
      <c r="EO46" s="526" t="s">
        <v>1133</v>
      </c>
      <c r="EP46" s="526" t="s">
        <v>1133</v>
      </c>
      <c r="EQ46" s="526" t="s">
        <v>1133</v>
      </c>
      <c r="ER46" s="526" t="s">
        <v>1133</v>
      </c>
      <c r="ES46" s="526" t="s">
        <v>1133</v>
      </c>
      <c r="ET46" s="526" t="s">
        <v>1133</v>
      </c>
      <c r="EU46" s="526">
        <v>4170</v>
      </c>
      <c r="EV46" s="526">
        <v>4040</v>
      </c>
      <c r="EW46" s="526" t="s">
        <v>1592</v>
      </c>
      <c r="EX46" s="526" t="s">
        <v>1592</v>
      </c>
      <c r="EY46" s="526" t="s">
        <v>1592</v>
      </c>
      <c r="EZ46" s="526" t="s">
        <v>1592</v>
      </c>
      <c r="FA46" s="526" t="s">
        <v>1592</v>
      </c>
      <c r="FB46" s="526" t="s">
        <v>1592</v>
      </c>
      <c r="FC46" s="526" t="s">
        <v>1592</v>
      </c>
      <c r="FD46" s="526" t="s">
        <v>1592</v>
      </c>
      <c r="FE46" s="526" t="s">
        <v>1592</v>
      </c>
      <c r="FF46" s="526" t="s">
        <v>1592</v>
      </c>
      <c r="FG46" s="526" t="s">
        <v>1592</v>
      </c>
      <c r="FH46" s="526" t="s">
        <v>1592</v>
      </c>
      <c r="FI46" s="526">
        <v>50</v>
      </c>
      <c r="FJ46" s="526">
        <v>48</v>
      </c>
      <c r="FK46" s="526">
        <v>48</v>
      </c>
      <c r="FL46" s="526">
        <v>48</v>
      </c>
      <c r="FM46" s="526">
        <v>48</v>
      </c>
      <c r="FN46" s="526">
        <v>48</v>
      </c>
      <c r="FO46" s="526">
        <v>48</v>
      </c>
      <c r="FP46" s="526">
        <v>48</v>
      </c>
      <c r="FQ46" s="526">
        <v>49</v>
      </c>
      <c r="FR46" s="526">
        <v>49</v>
      </c>
      <c r="FS46" s="526">
        <v>17</v>
      </c>
      <c r="FT46" s="526">
        <v>19</v>
      </c>
      <c r="FU46" s="526">
        <v>19</v>
      </c>
      <c r="FV46" s="526">
        <v>19</v>
      </c>
      <c r="FW46" s="526">
        <v>19</v>
      </c>
      <c r="FX46" s="526">
        <v>19</v>
      </c>
      <c r="FY46" s="526">
        <v>19</v>
      </c>
      <c r="FZ46" s="526">
        <v>19</v>
      </c>
      <c r="GA46" s="526">
        <v>19</v>
      </c>
      <c r="GB46" s="526">
        <v>19</v>
      </c>
      <c r="GC46" s="526" t="s">
        <v>883</v>
      </c>
      <c r="GD46" s="526" t="s">
        <v>883</v>
      </c>
      <c r="GE46" s="526" t="s">
        <v>883</v>
      </c>
      <c r="GF46" s="526" t="s">
        <v>883</v>
      </c>
      <c r="GG46" s="526" t="s">
        <v>883</v>
      </c>
      <c r="GH46" s="526" t="s">
        <v>883</v>
      </c>
      <c r="GI46" s="526" t="s">
        <v>883</v>
      </c>
      <c r="GJ46" s="526" t="s">
        <v>883</v>
      </c>
      <c r="GK46" s="526" t="s">
        <v>883</v>
      </c>
      <c r="GL46" s="526" t="s">
        <v>883</v>
      </c>
      <c r="GM46" s="526" t="s">
        <v>883</v>
      </c>
      <c r="GN46" s="526" t="s">
        <v>883</v>
      </c>
      <c r="GO46" s="562" t="str">
        <f t="shared" si="13"/>
        <v/>
      </c>
      <c r="GP46" s="562" t="str">
        <f t="shared" si="14"/>
        <v/>
      </c>
      <c r="GQ46" s="562" t="str">
        <f t="shared" si="15"/>
        <v/>
      </c>
      <c r="GR46" s="562" t="str">
        <f t="shared" si="16"/>
        <v/>
      </c>
      <c r="GS46" s="562" t="str">
        <f t="shared" si="17"/>
        <v/>
      </c>
      <c r="GT46" s="562" t="str">
        <f t="shared" si="18"/>
        <v/>
      </c>
      <c r="GU46" s="562" t="str">
        <f t="shared" si="19"/>
        <v/>
      </c>
      <c r="GV46" s="562" t="str">
        <f t="shared" si="20"/>
        <v/>
      </c>
      <c r="GW46" s="562" t="str">
        <f t="shared" si="21"/>
        <v/>
      </c>
      <c r="GX46" s="562" t="str">
        <f t="shared" si="22"/>
        <v/>
      </c>
      <c r="GY46" s="562" t="str">
        <f t="shared" si="23"/>
        <v/>
      </c>
      <c r="GZ46" s="562" t="str">
        <f t="shared" si="24"/>
        <v/>
      </c>
      <c r="HA46" s="564" t="s">
        <v>1289</v>
      </c>
      <c r="HC46" s="349" t="s">
        <v>1306</v>
      </c>
      <c r="HD46" s="349" t="s">
        <v>1514</v>
      </c>
    </row>
    <row r="47" spans="2:212">
      <c r="B47" s="353">
        <v>43</v>
      </c>
      <c r="C47" s="352">
        <v>243</v>
      </c>
      <c r="D47" s="346" t="s">
        <v>1520</v>
      </c>
      <c r="E47" s="557" t="s">
        <v>13</v>
      </c>
      <c r="F47" s="555">
        <v>100</v>
      </c>
      <c r="G47" s="555">
        <v>80</v>
      </c>
      <c r="H47" s="555">
        <v>20</v>
      </c>
      <c r="I47" s="555">
        <v>0</v>
      </c>
      <c r="J47" s="551"/>
      <c r="K47" s="551"/>
      <c r="L47" s="551"/>
      <c r="M47" s="551"/>
      <c r="N47" s="551"/>
      <c r="O47" s="551"/>
      <c r="P47" s="551"/>
      <c r="Q47" s="551"/>
      <c r="R47" s="551"/>
      <c r="S47" s="551"/>
      <c r="T47" s="551"/>
      <c r="U47" s="551"/>
      <c r="V47" s="551"/>
      <c r="W47" s="551"/>
      <c r="X47" s="551"/>
      <c r="Y47" s="551"/>
      <c r="Z47" s="551"/>
      <c r="AA47" s="551"/>
      <c r="AB47" s="551"/>
      <c r="AC47" s="551"/>
      <c r="AD47" s="551"/>
      <c r="AE47" s="551"/>
      <c r="AF47" s="551"/>
      <c r="AG47" s="551"/>
      <c r="AH47" s="551"/>
      <c r="AI47" s="551"/>
      <c r="AJ47" s="556"/>
      <c r="AK47" s="556"/>
      <c r="AL47" s="556"/>
      <c r="AM47" s="551"/>
      <c r="AN47" s="555" t="s">
        <v>11</v>
      </c>
      <c r="AO47" s="526" t="s">
        <v>883</v>
      </c>
      <c r="AP47" s="526" t="s">
        <v>883</v>
      </c>
      <c r="AQ47" s="526" t="s">
        <v>883</v>
      </c>
      <c r="AR47" s="526" t="s">
        <v>883</v>
      </c>
      <c r="AS47" s="526" t="s">
        <v>883</v>
      </c>
      <c r="AT47" s="526" t="s">
        <v>883</v>
      </c>
      <c r="AU47" s="526" t="s">
        <v>883</v>
      </c>
      <c r="AV47" s="526" t="s">
        <v>883</v>
      </c>
      <c r="AW47" s="526" t="s">
        <v>883</v>
      </c>
      <c r="AX47" s="526" t="s">
        <v>883</v>
      </c>
      <c r="AY47" s="526" t="s">
        <v>883</v>
      </c>
      <c r="AZ47" s="526" t="s">
        <v>883</v>
      </c>
      <c r="BA47" s="526" t="s">
        <v>883</v>
      </c>
      <c r="BB47" s="526" t="s">
        <v>883</v>
      </c>
      <c r="BC47" s="526" t="s">
        <v>883</v>
      </c>
      <c r="BD47" s="526" t="s">
        <v>883</v>
      </c>
      <c r="BE47" s="526" t="s">
        <v>883</v>
      </c>
      <c r="BF47" s="526" t="s">
        <v>883</v>
      </c>
      <c r="BG47" s="526" t="s">
        <v>883</v>
      </c>
      <c r="BH47" s="526" t="s">
        <v>883</v>
      </c>
      <c r="BI47" s="526" t="s">
        <v>883</v>
      </c>
      <c r="BJ47" s="526" t="s">
        <v>883</v>
      </c>
      <c r="BK47" s="526" t="s">
        <v>883</v>
      </c>
      <c r="BL47" s="526" t="s">
        <v>883</v>
      </c>
      <c r="BM47" s="526">
        <v>0</v>
      </c>
      <c r="BN47" s="526">
        <v>0</v>
      </c>
      <c r="BO47" s="526">
        <v>0</v>
      </c>
      <c r="BP47" s="526">
        <v>0</v>
      </c>
      <c r="BQ47" s="526">
        <v>0</v>
      </c>
      <c r="BR47" s="526">
        <v>0</v>
      </c>
      <c r="BS47" s="526">
        <v>0</v>
      </c>
      <c r="BT47" s="526">
        <v>0</v>
      </c>
      <c r="BU47" s="526">
        <v>0</v>
      </c>
      <c r="BV47" s="526">
        <v>0</v>
      </c>
      <c r="BW47" s="526">
        <v>0</v>
      </c>
      <c r="BX47" s="526">
        <v>0</v>
      </c>
      <c r="BY47" s="558">
        <v>0</v>
      </c>
      <c r="BZ47" s="558">
        <v>0</v>
      </c>
      <c r="CA47" s="558">
        <v>0</v>
      </c>
      <c r="CB47" s="558">
        <v>0</v>
      </c>
      <c r="CC47" s="558">
        <v>0</v>
      </c>
      <c r="CD47" s="558">
        <v>0</v>
      </c>
      <c r="CE47" s="558">
        <v>0</v>
      </c>
      <c r="CF47" s="558">
        <v>0</v>
      </c>
      <c r="CG47" s="558">
        <v>0</v>
      </c>
      <c r="CH47" s="558">
        <v>0</v>
      </c>
      <c r="CI47" s="558">
        <v>0</v>
      </c>
      <c r="CJ47" s="558">
        <v>0</v>
      </c>
      <c r="CK47" s="526">
        <v>0</v>
      </c>
      <c r="CL47" s="526">
        <v>0</v>
      </c>
      <c r="CM47" s="526">
        <v>0</v>
      </c>
      <c r="CN47" s="526">
        <v>0</v>
      </c>
      <c r="CO47" s="526">
        <v>0</v>
      </c>
      <c r="CP47" s="526">
        <v>0</v>
      </c>
      <c r="CQ47" s="526">
        <v>0</v>
      </c>
      <c r="CR47" s="526">
        <v>0</v>
      </c>
      <c r="CS47" s="526">
        <v>0</v>
      </c>
      <c r="CT47" s="526">
        <v>0</v>
      </c>
      <c r="CU47" s="526">
        <v>0</v>
      </c>
      <c r="CV47" s="526">
        <v>0</v>
      </c>
      <c r="CW47" s="526" t="s">
        <v>13</v>
      </c>
      <c r="CX47" s="526">
        <v>1</v>
      </c>
      <c r="CY47" s="560"/>
      <c r="CZ47" s="560"/>
      <c r="DA47" s="560"/>
      <c r="DB47" s="560"/>
      <c r="DC47" s="560"/>
      <c r="DD47" s="560"/>
      <c r="DE47" s="560"/>
      <c r="DF47" s="560"/>
      <c r="DG47" s="560"/>
      <c r="DH47" s="560"/>
      <c r="DI47" s="560"/>
      <c r="DJ47" s="560"/>
      <c r="DK47" s="560"/>
      <c r="DL47" s="560"/>
      <c r="DM47" s="560"/>
      <c r="DN47" s="560"/>
      <c r="DO47" s="560"/>
      <c r="DP47" s="560"/>
      <c r="DQ47" s="560"/>
      <c r="DR47" s="560"/>
      <c r="DS47" s="560"/>
      <c r="DT47" s="560"/>
      <c r="DU47" s="560"/>
      <c r="DV47" s="560"/>
      <c r="DW47" s="560"/>
      <c r="DX47" s="560"/>
      <c r="DY47" s="560"/>
      <c r="DZ47" s="560"/>
      <c r="EA47" s="560"/>
      <c r="EB47" s="560"/>
      <c r="EC47" s="560"/>
      <c r="ED47" s="560"/>
      <c r="EE47" s="560"/>
      <c r="EF47" s="560"/>
      <c r="EG47" s="560"/>
      <c r="EH47" s="560"/>
      <c r="EI47" s="526" t="s">
        <v>1133</v>
      </c>
      <c r="EJ47" s="526" t="s">
        <v>1133</v>
      </c>
      <c r="EK47" s="526" t="s">
        <v>1133</v>
      </c>
      <c r="EL47" s="526" t="s">
        <v>1133</v>
      </c>
      <c r="EM47" s="526" t="s">
        <v>1133</v>
      </c>
      <c r="EN47" s="526" t="s">
        <v>1133</v>
      </c>
      <c r="EO47" s="526" t="s">
        <v>1133</v>
      </c>
      <c r="EP47" s="526" t="s">
        <v>1133</v>
      </c>
      <c r="EQ47" s="526" t="s">
        <v>1133</v>
      </c>
      <c r="ER47" s="526" t="s">
        <v>1133</v>
      </c>
      <c r="ES47" s="526" t="s">
        <v>1133</v>
      </c>
      <c r="ET47" s="526" t="s">
        <v>1133</v>
      </c>
      <c r="EU47" s="526">
        <v>4170</v>
      </c>
      <c r="EV47" s="526">
        <v>4040</v>
      </c>
      <c r="EW47" s="526" t="s">
        <v>1592</v>
      </c>
      <c r="EX47" s="526" t="s">
        <v>1592</v>
      </c>
      <c r="EY47" s="526" t="s">
        <v>1592</v>
      </c>
      <c r="EZ47" s="526" t="s">
        <v>1592</v>
      </c>
      <c r="FA47" s="526" t="s">
        <v>1592</v>
      </c>
      <c r="FB47" s="526" t="s">
        <v>1592</v>
      </c>
      <c r="FC47" s="526" t="s">
        <v>1592</v>
      </c>
      <c r="FD47" s="526" t="s">
        <v>1592</v>
      </c>
      <c r="FE47" s="526" t="s">
        <v>1592</v>
      </c>
      <c r="FF47" s="526" t="s">
        <v>1592</v>
      </c>
      <c r="FG47" s="526" t="s">
        <v>1592</v>
      </c>
      <c r="FH47" s="526" t="s">
        <v>1592</v>
      </c>
      <c r="FI47" s="526">
        <v>81</v>
      </c>
      <c r="FJ47" s="526">
        <v>81</v>
      </c>
      <c r="FK47" s="526">
        <v>81</v>
      </c>
      <c r="FL47" s="526">
        <v>81</v>
      </c>
      <c r="FM47" s="526">
        <v>81</v>
      </c>
      <c r="FN47" s="526">
        <v>81</v>
      </c>
      <c r="FO47" s="526">
        <v>79</v>
      </c>
      <c r="FP47" s="526">
        <v>79</v>
      </c>
      <c r="FQ47" s="526">
        <v>79</v>
      </c>
      <c r="FR47" s="526">
        <v>79</v>
      </c>
      <c r="FS47" s="526">
        <v>46</v>
      </c>
      <c r="FT47" s="526">
        <v>46</v>
      </c>
      <c r="FU47" s="526">
        <v>46</v>
      </c>
      <c r="FV47" s="526">
        <v>46</v>
      </c>
      <c r="FW47" s="526">
        <v>45</v>
      </c>
      <c r="FX47" s="526">
        <v>45</v>
      </c>
      <c r="FY47" s="526">
        <v>47</v>
      </c>
      <c r="FZ47" s="526">
        <v>48</v>
      </c>
      <c r="GA47" s="526">
        <v>48</v>
      </c>
      <c r="GB47" s="526">
        <v>48</v>
      </c>
      <c r="GC47" s="526" t="s">
        <v>883</v>
      </c>
      <c r="GD47" s="526" t="s">
        <v>883</v>
      </c>
      <c r="GE47" s="526" t="s">
        <v>883</v>
      </c>
      <c r="GF47" s="526" t="s">
        <v>883</v>
      </c>
      <c r="GG47" s="526" t="s">
        <v>883</v>
      </c>
      <c r="GH47" s="526" t="s">
        <v>883</v>
      </c>
      <c r="GI47" s="526" t="s">
        <v>883</v>
      </c>
      <c r="GJ47" s="526" t="s">
        <v>883</v>
      </c>
      <c r="GK47" s="526" t="s">
        <v>883</v>
      </c>
      <c r="GL47" s="526" t="s">
        <v>883</v>
      </c>
      <c r="GM47" s="526" t="s">
        <v>883</v>
      </c>
      <c r="GN47" s="526" t="s">
        <v>883</v>
      </c>
      <c r="GO47" s="562" t="str">
        <f t="shared" si="13"/>
        <v/>
      </c>
      <c r="GP47" s="562" t="str">
        <f t="shared" si="14"/>
        <v/>
      </c>
      <c r="GQ47" s="562" t="str">
        <f t="shared" si="15"/>
        <v/>
      </c>
      <c r="GR47" s="562" t="str">
        <f t="shared" si="16"/>
        <v/>
      </c>
      <c r="GS47" s="562" t="str">
        <f t="shared" si="17"/>
        <v/>
      </c>
      <c r="GT47" s="562" t="str">
        <f t="shared" si="18"/>
        <v/>
      </c>
      <c r="GU47" s="562" t="str">
        <f t="shared" si="19"/>
        <v/>
      </c>
      <c r="GV47" s="562" t="str">
        <f t="shared" si="20"/>
        <v/>
      </c>
      <c r="GW47" s="562" t="str">
        <f t="shared" si="21"/>
        <v/>
      </c>
      <c r="GX47" s="562" t="str">
        <f t="shared" si="22"/>
        <v/>
      </c>
      <c r="GY47" s="562" t="str">
        <f t="shared" si="23"/>
        <v/>
      </c>
      <c r="GZ47" s="562" t="str">
        <f t="shared" si="24"/>
        <v/>
      </c>
      <c r="HA47" s="564" t="s">
        <v>1289</v>
      </c>
      <c r="HC47" s="349" t="s">
        <v>1519</v>
      </c>
    </row>
    <row r="48" spans="2:212">
      <c r="B48" s="353">
        <v>44</v>
      </c>
      <c r="C48" s="352">
        <v>244</v>
      </c>
      <c r="D48" s="346" t="s">
        <v>1666</v>
      </c>
      <c r="E48" s="557" t="s">
        <v>13</v>
      </c>
      <c r="F48" s="555">
        <v>180</v>
      </c>
      <c r="G48" s="555">
        <v>100</v>
      </c>
      <c r="H48" s="555">
        <v>60</v>
      </c>
      <c r="I48" s="555">
        <v>20</v>
      </c>
      <c r="J48" s="551"/>
      <c r="K48" s="551"/>
      <c r="L48" s="551"/>
      <c r="M48" s="551"/>
      <c r="N48" s="551"/>
      <c r="O48" s="551"/>
      <c r="P48" s="551"/>
      <c r="Q48" s="551"/>
      <c r="R48" s="551"/>
      <c r="S48" s="551"/>
      <c r="T48" s="551"/>
      <c r="U48" s="551"/>
      <c r="V48" s="551"/>
      <c r="W48" s="551"/>
      <c r="X48" s="551"/>
      <c r="Y48" s="551"/>
      <c r="Z48" s="551"/>
      <c r="AA48" s="551"/>
      <c r="AB48" s="551"/>
      <c r="AC48" s="551"/>
      <c r="AD48" s="551"/>
      <c r="AE48" s="551"/>
      <c r="AF48" s="551"/>
      <c r="AG48" s="551"/>
      <c r="AH48" s="551"/>
      <c r="AI48" s="551"/>
      <c r="AJ48" s="556"/>
      <c r="AK48" s="556"/>
      <c r="AL48" s="556"/>
      <c r="AM48" s="551"/>
      <c r="AN48" s="555" t="s">
        <v>11</v>
      </c>
      <c r="AO48" s="526" t="s">
        <v>883</v>
      </c>
      <c r="AP48" s="526" t="s">
        <v>883</v>
      </c>
      <c r="AQ48" s="526" t="s">
        <v>883</v>
      </c>
      <c r="AR48" s="526" t="s">
        <v>883</v>
      </c>
      <c r="AS48" s="526" t="s">
        <v>883</v>
      </c>
      <c r="AT48" s="526" t="s">
        <v>883</v>
      </c>
      <c r="AU48" s="526" t="s">
        <v>883</v>
      </c>
      <c r="AV48" s="526" t="s">
        <v>883</v>
      </c>
      <c r="AW48" s="526" t="s">
        <v>883</v>
      </c>
      <c r="AX48" s="526" t="s">
        <v>883</v>
      </c>
      <c r="AY48" s="526" t="s">
        <v>883</v>
      </c>
      <c r="AZ48" s="526" t="s">
        <v>883</v>
      </c>
      <c r="BA48" s="526" t="s">
        <v>883</v>
      </c>
      <c r="BB48" s="526" t="s">
        <v>883</v>
      </c>
      <c r="BC48" s="526" t="s">
        <v>883</v>
      </c>
      <c r="BD48" s="526" t="s">
        <v>883</v>
      </c>
      <c r="BE48" s="526" t="s">
        <v>883</v>
      </c>
      <c r="BF48" s="526" t="s">
        <v>883</v>
      </c>
      <c r="BG48" s="526" t="s">
        <v>883</v>
      </c>
      <c r="BH48" s="526" t="s">
        <v>883</v>
      </c>
      <c r="BI48" s="526" t="s">
        <v>883</v>
      </c>
      <c r="BJ48" s="526" t="s">
        <v>883</v>
      </c>
      <c r="BK48" s="526" t="s">
        <v>883</v>
      </c>
      <c r="BL48" s="526" t="s">
        <v>883</v>
      </c>
      <c r="BM48" s="526">
        <v>0</v>
      </c>
      <c r="BN48" s="526">
        <v>0</v>
      </c>
      <c r="BO48" s="526">
        <v>0</v>
      </c>
      <c r="BP48" s="526">
        <v>0</v>
      </c>
      <c r="BQ48" s="526">
        <v>0</v>
      </c>
      <c r="BR48" s="526">
        <v>0</v>
      </c>
      <c r="BS48" s="526">
        <v>0</v>
      </c>
      <c r="BT48" s="526">
        <v>0</v>
      </c>
      <c r="BU48" s="526">
        <v>0</v>
      </c>
      <c r="BV48" s="526">
        <v>0</v>
      </c>
      <c r="BW48" s="526">
        <v>0</v>
      </c>
      <c r="BX48" s="526">
        <v>0</v>
      </c>
      <c r="BY48" s="558">
        <v>0</v>
      </c>
      <c r="BZ48" s="558">
        <v>0</v>
      </c>
      <c r="CA48" s="558">
        <v>0</v>
      </c>
      <c r="CB48" s="558">
        <v>0</v>
      </c>
      <c r="CC48" s="558">
        <v>0</v>
      </c>
      <c r="CD48" s="558">
        <v>0</v>
      </c>
      <c r="CE48" s="558">
        <v>0</v>
      </c>
      <c r="CF48" s="558">
        <v>0</v>
      </c>
      <c r="CG48" s="558">
        <v>0</v>
      </c>
      <c r="CH48" s="558">
        <v>0</v>
      </c>
      <c r="CI48" s="558">
        <v>0</v>
      </c>
      <c r="CJ48" s="558">
        <v>0</v>
      </c>
      <c r="CK48" s="526">
        <v>0</v>
      </c>
      <c r="CL48" s="526">
        <v>0</v>
      </c>
      <c r="CM48" s="526">
        <v>0</v>
      </c>
      <c r="CN48" s="526">
        <v>0</v>
      </c>
      <c r="CO48" s="526">
        <v>0</v>
      </c>
      <c r="CP48" s="526">
        <v>0</v>
      </c>
      <c r="CQ48" s="526">
        <v>0</v>
      </c>
      <c r="CR48" s="526">
        <v>0</v>
      </c>
      <c r="CS48" s="526">
        <v>0</v>
      </c>
      <c r="CT48" s="526">
        <v>0</v>
      </c>
      <c r="CU48" s="526">
        <v>0</v>
      </c>
      <c r="CV48" s="526">
        <v>0</v>
      </c>
      <c r="CW48" s="526" t="s">
        <v>13</v>
      </c>
      <c r="CX48" s="526">
        <v>2</v>
      </c>
      <c r="CY48" s="560"/>
      <c r="CZ48" s="560"/>
      <c r="DA48" s="560"/>
      <c r="DB48" s="560"/>
      <c r="DC48" s="560"/>
      <c r="DD48" s="560"/>
      <c r="DE48" s="560"/>
      <c r="DF48" s="560"/>
      <c r="DG48" s="560"/>
      <c r="DH48" s="560"/>
      <c r="DI48" s="560"/>
      <c r="DJ48" s="560"/>
      <c r="DK48" s="560"/>
      <c r="DL48" s="560"/>
      <c r="DM48" s="560"/>
      <c r="DN48" s="560"/>
      <c r="DO48" s="560"/>
      <c r="DP48" s="560"/>
      <c r="DQ48" s="560"/>
      <c r="DR48" s="560"/>
      <c r="DS48" s="560"/>
      <c r="DT48" s="560"/>
      <c r="DU48" s="560"/>
      <c r="DV48" s="560"/>
      <c r="DW48" s="560"/>
      <c r="DX48" s="560"/>
      <c r="DY48" s="560"/>
      <c r="DZ48" s="560"/>
      <c r="EA48" s="560"/>
      <c r="EB48" s="560"/>
      <c r="EC48" s="560"/>
      <c r="ED48" s="560"/>
      <c r="EE48" s="560"/>
      <c r="EF48" s="560"/>
      <c r="EG48" s="560"/>
      <c r="EH48" s="560"/>
      <c r="EI48" s="526" t="s">
        <v>1133</v>
      </c>
      <c r="EJ48" s="526" t="s">
        <v>1133</v>
      </c>
      <c r="EK48" s="526" t="s">
        <v>1133</v>
      </c>
      <c r="EL48" s="526" t="s">
        <v>1133</v>
      </c>
      <c r="EM48" s="526" t="s">
        <v>1133</v>
      </c>
      <c r="EN48" s="526" t="s">
        <v>1133</v>
      </c>
      <c r="EO48" s="526" t="s">
        <v>1133</v>
      </c>
      <c r="EP48" s="526" t="s">
        <v>1133</v>
      </c>
      <c r="EQ48" s="526" t="s">
        <v>1133</v>
      </c>
      <c r="ER48" s="526" t="s">
        <v>1133</v>
      </c>
      <c r="ES48" s="526" t="s">
        <v>1133</v>
      </c>
      <c r="ET48" s="526" t="s">
        <v>1133</v>
      </c>
      <c r="EU48" s="526">
        <v>4200</v>
      </c>
      <c r="EV48" s="526">
        <v>4070</v>
      </c>
      <c r="EW48" s="526" t="s">
        <v>1592</v>
      </c>
      <c r="EX48" s="526" t="s">
        <v>1592</v>
      </c>
      <c r="EY48" s="526" t="s">
        <v>1592</v>
      </c>
      <c r="EZ48" s="526" t="s">
        <v>1592</v>
      </c>
      <c r="FA48" s="526" t="s">
        <v>1592</v>
      </c>
      <c r="FB48" s="526" t="s">
        <v>1592</v>
      </c>
      <c r="FC48" s="526" t="s">
        <v>1592</v>
      </c>
      <c r="FD48" s="526" t="s">
        <v>1592</v>
      </c>
      <c r="FE48" s="526" t="s">
        <v>1592</v>
      </c>
      <c r="FF48" s="526" t="s">
        <v>1592</v>
      </c>
      <c r="FG48" s="526" t="s">
        <v>1592</v>
      </c>
      <c r="FH48" s="526" t="s">
        <v>1592</v>
      </c>
      <c r="FI48" s="526">
        <v>81</v>
      </c>
      <c r="FJ48" s="526">
        <v>81</v>
      </c>
      <c r="FK48" s="526">
        <v>81</v>
      </c>
      <c r="FL48" s="526">
        <v>81</v>
      </c>
      <c r="FM48" s="526">
        <v>81</v>
      </c>
      <c r="FN48" s="526">
        <v>81</v>
      </c>
      <c r="FO48" s="526">
        <v>79</v>
      </c>
      <c r="FP48" s="526">
        <v>79</v>
      </c>
      <c r="FQ48" s="526">
        <v>79</v>
      </c>
      <c r="FR48" s="526">
        <v>79</v>
      </c>
      <c r="FS48" s="526">
        <v>46</v>
      </c>
      <c r="FT48" s="526">
        <v>46</v>
      </c>
      <c r="FU48" s="526">
        <v>46</v>
      </c>
      <c r="FV48" s="526">
        <v>46</v>
      </c>
      <c r="FW48" s="526">
        <v>45</v>
      </c>
      <c r="FX48" s="526">
        <v>45</v>
      </c>
      <c r="FY48" s="526">
        <v>47</v>
      </c>
      <c r="FZ48" s="526">
        <v>48</v>
      </c>
      <c r="GA48" s="526">
        <v>48</v>
      </c>
      <c r="GB48" s="526">
        <v>48</v>
      </c>
      <c r="GC48" s="526" t="s">
        <v>883</v>
      </c>
      <c r="GD48" s="526" t="s">
        <v>883</v>
      </c>
      <c r="GE48" s="526" t="s">
        <v>883</v>
      </c>
      <c r="GF48" s="526" t="s">
        <v>883</v>
      </c>
      <c r="GG48" s="526" t="s">
        <v>883</v>
      </c>
      <c r="GH48" s="526" t="s">
        <v>883</v>
      </c>
      <c r="GI48" s="526" t="s">
        <v>883</v>
      </c>
      <c r="GJ48" s="526" t="s">
        <v>883</v>
      </c>
      <c r="GK48" s="526" t="s">
        <v>883</v>
      </c>
      <c r="GL48" s="526" t="s">
        <v>883</v>
      </c>
      <c r="GM48" s="526" t="s">
        <v>883</v>
      </c>
      <c r="GN48" s="526" t="s">
        <v>883</v>
      </c>
      <c r="GO48" s="562" t="str">
        <f t="shared" ref="GO48:GO59" si="25">IF(GC48="配置",$GO$3,"")</f>
        <v/>
      </c>
      <c r="GP48" s="562" t="str">
        <f t="shared" ref="GP48:GP59" si="26">IF(GD48="配置",$GO$3,"")</f>
        <v/>
      </c>
      <c r="GQ48" s="562" t="str">
        <f t="shared" ref="GQ48:GQ59" si="27">IF(GE48="配置",$GO$3,"")</f>
        <v/>
      </c>
      <c r="GR48" s="562" t="str">
        <f t="shared" ref="GR48:GR59" si="28">IF(GF48="配置",$GO$3,"")</f>
        <v/>
      </c>
      <c r="GS48" s="562" t="str">
        <f t="shared" ref="GS48:GS59" si="29">IF(GG48="配置",$GO$3,"")</f>
        <v/>
      </c>
      <c r="GT48" s="562" t="str">
        <f t="shared" ref="GT48:GT59" si="30">IF(GH48="配置",$GO$3,"")</f>
        <v/>
      </c>
      <c r="GU48" s="562" t="str">
        <f t="shared" ref="GU48:GU59" si="31">IF(GI48="配置",$GO$3,"")</f>
        <v/>
      </c>
      <c r="GV48" s="562" t="str">
        <f t="shared" ref="GV48:GV59" si="32">IF(GJ48="配置",$GO$3,"")</f>
        <v/>
      </c>
      <c r="GW48" s="562" t="str">
        <f t="shared" ref="GW48:GW59" si="33">IF(GK48="配置",$GO$3,"")</f>
        <v/>
      </c>
      <c r="GX48" s="562" t="str">
        <f t="shared" ref="GX48:GX59" si="34">IF(GL48="配置",$GO$3,"")</f>
        <v/>
      </c>
      <c r="GY48" s="562" t="str">
        <f t="shared" ref="GY48:GY59" si="35">IF(GM48="配置",$GO$3,"")</f>
        <v/>
      </c>
      <c r="GZ48" s="562" t="str">
        <f t="shared" ref="GZ48:GZ59" si="36">IF(GN48="配置",$GO$3,"")</f>
        <v/>
      </c>
      <c r="HA48" s="564" t="s">
        <v>1723</v>
      </c>
      <c r="HC48" s="349" t="s">
        <v>1520</v>
      </c>
    </row>
    <row r="49" spans="2:209">
      <c r="B49" s="353">
        <v>45</v>
      </c>
      <c r="C49" s="352">
        <v>245</v>
      </c>
      <c r="D49" s="346" t="s">
        <v>1669</v>
      </c>
      <c r="E49" s="557" t="s">
        <v>13</v>
      </c>
      <c r="F49" s="555">
        <v>200</v>
      </c>
      <c r="G49" s="555">
        <v>120</v>
      </c>
      <c r="H49" s="555">
        <v>55</v>
      </c>
      <c r="I49" s="555">
        <v>25</v>
      </c>
      <c r="J49" s="551"/>
      <c r="K49" s="551"/>
      <c r="L49" s="551"/>
      <c r="M49" s="551"/>
      <c r="N49" s="551"/>
      <c r="O49" s="551"/>
      <c r="P49" s="551"/>
      <c r="Q49" s="551"/>
      <c r="R49" s="551"/>
      <c r="S49" s="551"/>
      <c r="T49" s="551"/>
      <c r="U49" s="551"/>
      <c r="V49" s="551"/>
      <c r="W49" s="551"/>
      <c r="X49" s="551"/>
      <c r="Y49" s="551"/>
      <c r="Z49" s="551"/>
      <c r="AA49" s="551"/>
      <c r="AB49" s="551"/>
      <c r="AC49" s="551"/>
      <c r="AD49" s="551"/>
      <c r="AE49" s="551"/>
      <c r="AF49" s="551"/>
      <c r="AG49" s="551"/>
      <c r="AH49" s="551"/>
      <c r="AI49" s="551"/>
      <c r="AJ49" s="556"/>
      <c r="AK49" s="556"/>
      <c r="AL49" s="556"/>
      <c r="AM49" s="551"/>
      <c r="AN49" s="555" t="s">
        <v>11</v>
      </c>
      <c r="AO49" s="526" t="s">
        <v>883</v>
      </c>
      <c r="AP49" s="526" t="s">
        <v>883</v>
      </c>
      <c r="AQ49" s="526" t="s">
        <v>883</v>
      </c>
      <c r="AR49" s="526" t="s">
        <v>883</v>
      </c>
      <c r="AS49" s="526" t="s">
        <v>883</v>
      </c>
      <c r="AT49" s="526" t="s">
        <v>883</v>
      </c>
      <c r="AU49" s="526" t="s">
        <v>883</v>
      </c>
      <c r="AV49" s="526" t="s">
        <v>883</v>
      </c>
      <c r="AW49" s="526" t="s">
        <v>883</v>
      </c>
      <c r="AX49" s="526" t="s">
        <v>883</v>
      </c>
      <c r="AY49" s="526" t="s">
        <v>883</v>
      </c>
      <c r="AZ49" s="526" t="s">
        <v>883</v>
      </c>
      <c r="BA49" s="526" t="s">
        <v>883</v>
      </c>
      <c r="BB49" s="526" t="s">
        <v>883</v>
      </c>
      <c r="BC49" s="526" t="s">
        <v>883</v>
      </c>
      <c r="BD49" s="526" t="s">
        <v>883</v>
      </c>
      <c r="BE49" s="526" t="s">
        <v>883</v>
      </c>
      <c r="BF49" s="526" t="s">
        <v>883</v>
      </c>
      <c r="BG49" s="526" t="s">
        <v>883</v>
      </c>
      <c r="BH49" s="526" t="s">
        <v>883</v>
      </c>
      <c r="BI49" s="526" t="s">
        <v>883</v>
      </c>
      <c r="BJ49" s="526" t="s">
        <v>883</v>
      </c>
      <c r="BK49" s="526" t="s">
        <v>883</v>
      </c>
      <c r="BL49" s="526" t="s">
        <v>883</v>
      </c>
      <c r="BM49" s="526">
        <v>0</v>
      </c>
      <c r="BN49" s="526">
        <v>0</v>
      </c>
      <c r="BO49" s="526">
        <v>0</v>
      </c>
      <c r="BP49" s="526">
        <v>0</v>
      </c>
      <c r="BQ49" s="526">
        <v>0</v>
      </c>
      <c r="BR49" s="526">
        <v>0</v>
      </c>
      <c r="BS49" s="526">
        <v>0</v>
      </c>
      <c r="BT49" s="526">
        <v>0</v>
      </c>
      <c r="BU49" s="526">
        <v>0</v>
      </c>
      <c r="BV49" s="526">
        <v>0</v>
      </c>
      <c r="BW49" s="526">
        <v>0</v>
      </c>
      <c r="BX49" s="526">
        <v>0</v>
      </c>
      <c r="BY49" s="558">
        <v>0</v>
      </c>
      <c r="BZ49" s="558">
        <v>0</v>
      </c>
      <c r="CA49" s="558">
        <v>0</v>
      </c>
      <c r="CB49" s="558">
        <v>0</v>
      </c>
      <c r="CC49" s="558">
        <v>0</v>
      </c>
      <c r="CD49" s="558">
        <v>0</v>
      </c>
      <c r="CE49" s="558">
        <v>0</v>
      </c>
      <c r="CF49" s="558">
        <v>0</v>
      </c>
      <c r="CG49" s="558">
        <v>0</v>
      </c>
      <c r="CH49" s="558">
        <v>0</v>
      </c>
      <c r="CI49" s="558">
        <v>0</v>
      </c>
      <c r="CJ49" s="558">
        <v>0</v>
      </c>
      <c r="CK49" s="526">
        <v>0</v>
      </c>
      <c r="CL49" s="526">
        <v>0</v>
      </c>
      <c r="CM49" s="526">
        <v>0</v>
      </c>
      <c r="CN49" s="526">
        <v>0</v>
      </c>
      <c r="CO49" s="526">
        <v>0</v>
      </c>
      <c r="CP49" s="526">
        <v>0</v>
      </c>
      <c r="CQ49" s="526">
        <v>0</v>
      </c>
      <c r="CR49" s="526">
        <v>0</v>
      </c>
      <c r="CS49" s="526">
        <v>0</v>
      </c>
      <c r="CT49" s="526">
        <v>0</v>
      </c>
      <c r="CU49" s="526">
        <v>0</v>
      </c>
      <c r="CV49" s="526">
        <v>0</v>
      </c>
      <c r="CW49" s="526" t="s">
        <v>13</v>
      </c>
      <c r="CX49" s="526">
        <v>3</v>
      </c>
      <c r="CY49" s="560"/>
      <c r="CZ49" s="560"/>
      <c r="DA49" s="560"/>
      <c r="DB49" s="560"/>
      <c r="DC49" s="560"/>
      <c r="DD49" s="560"/>
      <c r="DE49" s="560"/>
      <c r="DF49" s="560"/>
      <c r="DG49" s="560"/>
      <c r="DH49" s="560"/>
      <c r="DI49" s="560"/>
      <c r="DJ49" s="560"/>
      <c r="DK49" s="560"/>
      <c r="DL49" s="560"/>
      <c r="DM49" s="560"/>
      <c r="DN49" s="560"/>
      <c r="DO49" s="560"/>
      <c r="DP49" s="560"/>
      <c r="DQ49" s="560"/>
      <c r="DR49" s="560"/>
      <c r="DS49" s="560"/>
      <c r="DT49" s="560"/>
      <c r="DU49" s="560"/>
      <c r="DV49" s="560"/>
      <c r="DW49" s="560"/>
      <c r="DX49" s="560"/>
      <c r="DY49" s="560"/>
      <c r="DZ49" s="560"/>
      <c r="EA49" s="560"/>
      <c r="EB49" s="560"/>
      <c r="EC49" s="560"/>
      <c r="ED49" s="560"/>
      <c r="EE49" s="560"/>
      <c r="EF49" s="560"/>
      <c r="EG49" s="560"/>
      <c r="EH49" s="560"/>
      <c r="EI49" s="526" t="s">
        <v>1133</v>
      </c>
      <c r="EJ49" s="526" t="s">
        <v>1133</v>
      </c>
      <c r="EK49" s="526" t="s">
        <v>1133</v>
      </c>
      <c r="EL49" s="526" t="s">
        <v>1133</v>
      </c>
      <c r="EM49" s="526" t="s">
        <v>1133</v>
      </c>
      <c r="EN49" s="526" t="s">
        <v>1133</v>
      </c>
      <c r="EO49" s="526" t="s">
        <v>1133</v>
      </c>
      <c r="EP49" s="526" t="s">
        <v>1133</v>
      </c>
      <c r="EQ49" s="526" t="s">
        <v>1133</v>
      </c>
      <c r="ER49" s="526" t="s">
        <v>1133</v>
      </c>
      <c r="ES49" s="526" t="s">
        <v>1133</v>
      </c>
      <c r="ET49" s="526" t="s">
        <v>1133</v>
      </c>
      <c r="EU49" s="526">
        <v>4200</v>
      </c>
      <c r="EV49" s="526">
        <v>4070</v>
      </c>
      <c r="EW49" s="526" t="s">
        <v>1592</v>
      </c>
      <c r="EX49" s="526" t="s">
        <v>1592</v>
      </c>
      <c r="EY49" s="526" t="s">
        <v>1592</v>
      </c>
      <c r="EZ49" s="526" t="s">
        <v>1592</v>
      </c>
      <c r="FA49" s="526" t="s">
        <v>1592</v>
      </c>
      <c r="FB49" s="526" t="s">
        <v>1592</v>
      </c>
      <c r="FC49" s="526" t="s">
        <v>1592</v>
      </c>
      <c r="FD49" s="526" t="s">
        <v>1592</v>
      </c>
      <c r="FE49" s="526" t="s">
        <v>1592</v>
      </c>
      <c r="FF49" s="526" t="s">
        <v>1592</v>
      </c>
      <c r="FG49" s="526" t="s">
        <v>1592</v>
      </c>
      <c r="FH49" s="526" t="s">
        <v>1592</v>
      </c>
      <c r="FI49" s="526">
        <v>81</v>
      </c>
      <c r="FJ49" s="526">
        <v>81</v>
      </c>
      <c r="FK49" s="526">
        <v>81</v>
      </c>
      <c r="FL49" s="526">
        <v>81</v>
      </c>
      <c r="FM49" s="526">
        <v>81</v>
      </c>
      <c r="FN49" s="526">
        <v>81</v>
      </c>
      <c r="FO49" s="526">
        <v>79</v>
      </c>
      <c r="FP49" s="526">
        <v>79</v>
      </c>
      <c r="FQ49" s="526">
        <v>79</v>
      </c>
      <c r="FR49" s="526">
        <v>79</v>
      </c>
      <c r="FS49" s="526">
        <v>46</v>
      </c>
      <c r="FT49" s="526">
        <v>46</v>
      </c>
      <c r="FU49" s="526">
        <v>46</v>
      </c>
      <c r="FV49" s="526">
        <v>46</v>
      </c>
      <c r="FW49" s="526">
        <v>45</v>
      </c>
      <c r="FX49" s="526">
        <v>45</v>
      </c>
      <c r="FY49" s="526">
        <v>47</v>
      </c>
      <c r="FZ49" s="526">
        <v>48</v>
      </c>
      <c r="GA49" s="526">
        <v>48</v>
      </c>
      <c r="GB49" s="526">
        <v>48</v>
      </c>
      <c r="GC49" s="526" t="s">
        <v>883</v>
      </c>
      <c r="GD49" s="526" t="s">
        <v>883</v>
      </c>
      <c r="GE49" s="526" t="s">
        <v>883</v>
      </c>
      <c r="GF49" s="526" t="s">
        <v>883</v>
      </c>
      <c r="GG49" s="526" t="s">
        <v>883</v>
      </c>
      <c r="GH49" s="526" t="s">
        <v>883</v>
      </c>
      <c r="GI49" s="526" t="s">
        <v>883</v>
      </c>
      <c r="GJ49" s="526" t="s">
        <v>883</v>
      </c>
      <c r="GK49" s="526" t="s">
        <v>883</v>
      </c>
      <c r="GL49" s="526" t="s">
        <v>883</v>
      </c>
      <c r="GM49" s="526" t="s">
        <v>883</v>
      </c>
      <c r="GN49" s="526" t="s">
        <v>883</v>
      </c>
      <c r="GO49" s="562" t="str">
        <f t="shared" si="25"/>
        <v/>
      </c>
      <c r="GP49" s="562" t="str">
        <f t="shared" si="26"/>
        <v/>
      </c>
      <c r="GQ49" s="562" t="str">
        <f t="shared" si="27"/>
        <v/>
      </c>
      <c r="GR49" s="562" t="str">
        <f t="shared" si="28"/>
        <v/>
      </c>
      <c r="GS49" s="562" t="str">
        <f t="shared" si="29"/>
        <v/>
      </c>
      <c r="GT49" s="562" t="str">
        <f t="shared" si="30"/>
        <v/>
      </c>
      <c r="GU49" s="562" t="str">
        <f t="shared" si="31"/>
        <v/>
      </c>
      <c r="GV49" s="562" t="str">
        <f t="shared" si="32"/>
        <v/>
      </c>
      <c r="GW49" s="562" t="str">
        <f t="shared" si="33"/>
        <v/>
      </c>
      <c r="GX49" s="562" t="str">
        <f t="shared" si="34"/>
        <v/>
      </c>
      <c r="GY49" s="562" t="str">
        <f t="shared" si="35"/>
        <v/>
      </c>
      <c r="GZ49" s="562" t="str">
        <f t="shared" si="36"/>
        <v/>
      </c>
      <c r="HA49" s="564" t="s">
        <v>1724</v>
      </c>
    </row>
    <row r="50" spans="2:209">
      <c r="B50" s="353">
        <v>46</v>
      </c>
      <c r="C50" s="352">
        <v>246</v>
      </c>
      <c r="D50" s="346" t="s">
        <v>1672</v>
      </c>
      <c r="E50" s="557" t="s">
        <v>13</v>
      </c>
      <c r="F50" s="555">
        <v>116</v>
      </c>
      <c r="G50" s="555">
        <v>6</v>
      </c>
      <c r="H50" s="555">
        <v>66</v>
      </c>
      <c r="I50" s="555">
        <v>44</v>
      </c>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1"/>
      <c r="AH50" s="551"/>
      <c r="AI50" s="551"/>
      <c r="AJ50" s="556"/>
      <c r="AK50" s="556"/>
      <c r="AL50" s="556"/>
      <c r="AM50" s="551"/>
      <c r="AN50" s="555" t="s">
        <v>11</v>
      </c>
      <c r="AO50" s="526" t="s">
        <v>883</v>
      </c>
      <c r="AP50" s="526" t="s">
        <v>883</v>
      </c>
      <c r="AQ50" s="526" t="s">
        <v>883</v>
      </c>
      <c r="AR50" s="526" t="s">
        <v>883</v>
      </c>
      <c r="AS50" s="526" t="s">
        <v>883</v>
      </c>
      <c r="AT50" s="526" t="s">
        <v>883</v>
      </c>
      <c r="AU50" s="526" t="s">
        <v>883</v>
      </c>
      <c r="AV50" s="526" t="s">
        <v>883</v>
      </c>
      <c r="AW50" s="526" t="s">
        <v>883</v>
      </c>
      <c r="AX50" s="526" t="s">
        <v>883</v>
      </c>
      <c r="AY50" s="526" t="s">
        <v>883</v>
      </c>
      <c r="AZ50" s="526" t="s">
        <v>883</v>
      </c>
      <c r="BA50" s="526" t="s">
        <v>883</v>
      </c>
      <c r="BB50" s="526" t="s">
        <v>883</v>
      </c>
      <c r="BC50" s="526" t="s">
        <v>883</v>
      </c>
      <c r="BD50" s="526" t="s">
        <v>883</v>
      </c>
      <c r="BE50" s="526" t="s">
        <v>883</v>
      </c>
      <c r="BF50" s="526" t="s">
        <v>883</v>
      </c>
      <c r="BG50" s="526" t="s">
        <v>883</v>
      </c>
      <c r="BH50" s="526" t="s">
        <v>883</v>
      </c>
      <c r="BI50" s="526" t="s">
        <v>883</v>
      </c>
      <c r="BJ50" s="526" t="s">
        <v>883</v>
      </c>
      <c r="BK50" s="526" t="s">
        <v>883</v>
      </c>
      <c r="BL50" s="526" t="s">
        <v>883</v>
      </c>
      <c r="BM50" s="526">
        <v>0</v>
      </c>
      <c r="BN50" s="526">
        <v>0</v>
      </c>
      <c r="BO50" s="526">
        <v>0</v>
      </c>
      <c r="BP50" s="526">
        <v>0</v>
      </c>
      <c r="BQ50" s="526">
        <v>0</v>
      </c>
      <c r="BR50" s="526">
        <v>0</v>
      </c>
      <c r="BS50" s="526">
        <v>0</v>
      </c>
      <c r="BT50" s="526">
        <v>0</v>
      </c>
      <c r="BU50" s="526">
        <v>0</v>
      </c>
      <c r="BV50" s="526">
        <v>0</v>
      </c>
      <c r="BW50" s="526">
        <v>0</v>
      </c>
      <c r="BX50" s="526">
        <v>0</v>
      </c>
      <c r="BY50" s="558">
        <v>0</v>
      </c>
      <c r="BZ50" s="558">
        <v>0</v>
      </c>
      <c r="CA50" s="558">
        <v>0</v>
      </c>
      <c r="CB50" s="558">
        <v>0</v>
      </c>
      <c r="CC50" s="558">
        <v>0</v>
      </c>
      <c r="CD50" s="558">
        <v>0</v>
      </c>
      <c r="CE50" s="558">
        <v>0</v>
      </c>
      <c r="CF50" s="558">
        <v>0</v>
      </c>
      <c r="CG50" s="558">
        <v>0</v>
      </c>
      <c r="CH50" s="558">
        <v>0</v>
      </c>
      <c r="CI50" s="558">
        <v>0</v>
      </c>
      <c r="CJ50" s="558">
        <v>0</v>
      </c>
      <c r="CK50" s="526">
        <v>0</v>
      </c>
      <c r="CL50" s="526">
        <v>0</v>
      </c>
      <c r="CM50" s="526">
        <v>0</v>
      </c>
      <c r="CN50" s="526">
        <v>0</v>
      </c>
      <c r="CO50" s="526">
        <v>0</v>
      </c>
      <c r="CP50" s="526">
        <v>0</v>
      </c>
      <c r="CQ50" s="526">
        <v>0</v>
      </c>
      <c r="CR50" s="526">
        <v>0</v>
      </c>
      <c r="CS50" s="526">
        <v>0</v>
      </c>
      <c r="CT50" s="526">
        <v>0</v>
      </c>
      <c r="CU50" s="526">
        <v>0</v>
      </c>
      <c r="CV50" s="526">
        <v>0</v>
      </c>
      <c r="CW50" s="526" t="s">
        <v>13</v>
      </c>
      <c r="CX50" s="526">
        <v>4</v>
      </c>
      <c r="CY50" s="560"/>
      <c r="CZ50" s="560"/>
      <c r="DA50" s="560"/>
      <c r="DB50" s="560"/>
      <c r="DC50" s="560"/>
      <c r="DD50" s="560"/>
      <c r="DE50" s="560"/>
      <c r="DF50" s="560"/>
      <c r="DG50" s="560"/>
      <c r="DH50" s="560"/>
      <c r="DI50" s="560"/>
      <c r="DJ50" s="560"/>
      <c r="DK50" s="560"/>
      <c r="DL50" s="560"/>
      <c r="DM50" s="560"/>
      <c r="DN50" s="560"/>
      <c r="DO50" s="560"/>
      <c r="DP50" s="560"/>
      <c r="DQ50" s="560"/>
      <c r="DR50" s="560"/>
      <c r="DS50" s="560"/>
      <c r="DT50" s="560"/>
      <c r="DU50" s="560"/>
      <c r="DV50" s="560"/>
      <c r="DW50" s="560"/>
      <c r="DX50" s="560"/>
      <c r="DY50" s="560"/>
      <c r="DZ50" s="560"/>
      <c r="EA50" s="560"/>
      <c r="EB50" s="560"/>
      <c r="EC50" s="560"/>
      <c r="ED50" s="560"/>
      <c r="EE50" s="560"/>
      <c r="EF50" s="560"/>
      <c r="EG50" s="560"/>
      <c r="EH50" s="560"/>
      <c r="EI50" s="526" t="s">
        <v>1133</v>
      </c>
      <c r="EJ50" s="526" t="s">
        <v>1133</v>
      </c>
      <c r="EK50" s="526" t="s">
        <v>1133</v>
      </c>
      <c r="EL50" s="526" t="s">
        <v>1133</v>
      </c>
      <c r="EM50" s="526" t="s">
        <v>1133</v>
      </c>
      <c r="EN50" s="526" t="s">
        <v>1133</v>
      </c>
      <c r="EO50" s="526" t="s">
        <v>1133</v>
      </c>
      <c r="EP50" s="526" t="s">
        <v>1133</v>
      </c>
      <c r="EQ50" s="526" t="s">
        <v>1133</v>
      </c>
      <c r="ER50" s="526" t="s">
        <v>1133</v>
      </c>
      <c r="ES50" s="526" t="s">
        <v>1133</v>
      </c>
      <c r="ET50" s="526" t="s">
        <v>1133</v>
      </c>
      <c r="EU50" s="526">
        <v>4200</v>
      </c>
      <c r="EV50" s="526">
        <v>4070</v>
      </c>
      <c r="EW50" s="526" t="s">
        <v>1592</v>
      </c>
      <c r="EX50" s="526" t="s">
        <v>1592</v>
      </c>
      <c r="EY50" s="526" t="s">
        <v>1592</v>
      </c>
      <c r="EZ50" s="526" t="s">
        <v>1592</v>
      </c>
      <c r="FA50" s="526" t="s">
        <v>1592</v>
      </c>
      <c r="FB50" s="526" t="s">
        <v>1592</v>
      </c>
      <c r="FC50" s="526" t="s">
        <v>1592</v>
      </c>
      <c r="FD50" s="526" t="s">
        <v>1592</v>
      </c>
      <c r="FE50" s="526" t="s">
        <v>1592</v>
      </c>
      <c r="FF50" s="526" t="s">
        <v>1592</v>
      </c>
      <c r="FG50" s="526" t="s">
        <v>1592</v>
      </c>
      <c r="FH50" s="526" t="s">
        <v>1592</v>
      </c>
      <c r="FI50" s="526">
        <v>81</v>
      </c>
      <c r="FJ50" s="526">
        <v>81</v>
      </c>
      <c r="FK50" s="526">
        <v>81</v>
      </c>
      <c r="FL50" s="526">
        <v>81</v>
      </c>
      <c r="FM50" s="526">
        <v>81</v>
      </c>
      <c r="FN50" s="526">
        <v>81</v>
      </c>
      <c r="FO50" s="526">
        <v>79</v>
      </c>
      <c r="FP50" s="526">
        <v>79</v>
      </c>
      <c r="FQ50" s="526">
        <v>79</v>
      </c>
      <c r="FR50" s="526">
        <v>79</v>
      </c>
      <c r="FS50" s="526">
        <v>46</v>
      </c>
      <c r="FT50" s="526">
        <v>46</v>
      </c>
      <c r="FU50" s="526">
        <v>46</v>
      </c>
      <c r="FV50" s="526">
        <v>46</v>
      </c>
      <c r="FW50" s="526">
        <v>45</v>
      </c>
      <c r="FX50" s="526">
        <v>45</v>
      </c>
      <c r="FY50" s="526">
        <v>47</v>
      </c>
      <c r="FZ50" s="526">
        <v>48</v>
      </c>
      <c r="GA50" s="526">
        <v>48</v>
      </c>
      <c r="GB50" s="526">
        <v>48</v>
      </c>
      <c r="GC50" s="526" t="s">
        <v>883</v>
      </c>
      <c r="GD50" s="526" t="s">
        <v>883</v>
      </c>
      <c r="GE50" s="526" t="s">
        <v>883</v>
      </c>
      <c r="GF50" s="526" t="s">
        <v>883</v>
      </c>
      <c r="GG50" s="526" t="s">
        <v>883</v>
      </c>
      <c r="GH50" s="526" t="s">
        <v>883</v>
      </c>
      <c r="GI50" s="526" t="s">
        <v>883</v>
      </c>
      <c r="GJ50" s="526" t="s">
        <v>883</v>
      </c>
      <c r="GK50" s="526" t="s">
        <v>883</v>
      </c>
      <c r="GL50" s="526" t="s">
        <v>883</v>
      </c>
      <c r="GM50" s="526" t="s">
        <v>883</v>
      </c>
      <c r="GN50" s="526" t="s">
        <v>883</v>
      </c>
      <c r="GO50" s="562" t="str">
        <f t="shared" si="25"/>
        <v/>
      </c>
      <c r="GP50" s="562" t="str">
        <f t="shared" si="26"/>
        <v/>
      </c>
      <c r="GQ50" s="562" t="str">
        <f t="shared" si="27"/>
        <v/>
      </c>
      <c r="GR50" s="562" t="str">
        <f t="shared" si="28"/>
        <v/>
      </c>
      <c r="GS50" s="562" t="str">
        <f t="shared" si="29"/>
        <v/>
      </c>
      <c r="GT50" s="562" t="str">
        <f t="shared" si="30"/>
        <v/>
      </c>
      <c r="GU50" s="562" t="str">
        <f t="shared" si="31"/>
        <v/>
      </c>
      <c r="GV50" s="562" t="str">
        <f t="shared" si="32"/>
        <v/>
      </c>
      <c r="GW50" s="562" t="str">
        <f t="shared" si="33"/>
        <v/>
      </c>
      <c r="GX50" s="562" t="str">
        <f t="shared" si="34"/>
        <v/>
      </c>
      <c r="GY50" s="562" t="str">
        <f t="shared" si="35"/>
        <v/>
      </c>
      <c r="GZ50" s="562" t="str">
        <f t="shared" si="36"/>
        <v/>
      </c>
      <c r="HA50" s="564" t="s">
        <v>1724</v>
      </c>
    </row>
    <row r="51" spans="2:209">
      <c r="B51" s="353">
        <v>47</v>
      </c>
      <c r="C51" s="352">
        <v>247</v>
      </c>
      <c r="D51" s="346" t="s">
        <v>1675</v>
      </c>
      <c r="E51" s="557" t="s">
        <v>13</v>
      </c>
      <c r="F51" s="555">
        <v>220</v>
      </c>
      <c r="G51" s="555">
        <v>120</v>
      </c>
      <c r="H51" s="555">
        <v>80</v>
      </c>
      <c r="I51" s="555">
        <v>20</v>
      </c>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1"/>
      <c r="AI51" s="551"/>
      <c r="AJ51" s="556"/>
      <c r="AK51" s="556"/>
      <c r="AL51" s="556"/>
      <c r="AM51" s="551"/>
      <c r="AN51" s="555" t="s">
        <v>11</v>
      </c>
      <c r="AO51" s="526" t="s">
        <v>883</v>
      </c>
      <c r="AP51" s="526" t="s">
        <v>883</v>
      </c>
      <c r="AQ51" s="526" t="s">
        <v>883</v>
      </c>
      <c r="AR51" s="526" t="s">
        <v>883</v>
      </c>
      <c r="AS51" s="526" t="s">
        <v>883</v>
      </c>
      <c r="AT51" s="526" t="s">
        <v>883</v>
      </c>
      <c r="AU51" s="526" t="s">
        <v>883</v>
      </c>
      <c r="AV51" s="526" t="s">
        <v>883</v>
      </c>
      <c r="AW51" s="526" t="s">
        <v>883</v>
      </c>
      <c r="AX51" s="526" t="s">
        <v>883</v>
      </c>
      <c r="AY51" s="526" t="s">
        <v>883</v>
      </c>
      <c r="AZ51" s="526" t="s">
        <v>883</v>
      </c>
      <c r="BA51" s="526" t="s">
        <v>883</v>
      </c>
      <c r="BB51" s="526" t="s">
        <v>883</v>
      </c>
      <c r="BC51" s="526" t="s">
        <v>883</v>
      </c>
      <c r="BD51" s="526" t="s">
        <v>883</v>
      </c>
      <c r="BE51" s="526" t="s">
        <v>883</v>
      </c>
      <c r="BF51" s="526" t="s">
        <v>883</v>
      </c>
      <c r="BG51" s="526" t="s">
        <v>883</v>
      </c>
      <c r="BH51" s="526" t="s">
        <v>883</v>
      </c>
      <c r="BI51" s="526" t="s">
        <v>883</v>
      </c>
      <c r="BJ51" s="526" t="s">
        <v>883</v>
      </c>
      <c r="BK51" s="526" t="s">
        <v>883</v>
      </c>
      <c r="BL51" s="526" t="s">
        <v>883</v>
      </c>
      <c r="BM51" s="526">
        <v>0</v>
      </c>
      <c r="BN51" s="526">
        <v>0</v>
      </c>
      <c r="BO51" s="526">
        <v>0</v>
      </c>
      <c r="BP51" s="526">
        <v>0</v>
      </c>
      <c r="BQ51" s="526">
        <v>0</v>
      </c>
      <c r="BR51" s="526">
        <v>0</v>
      </c>
      <c r="BS51" s="526">
        <v>0</v>
      </c>
      <c r="BT51" s="526">
        <v>0</v>
      </c>
      <c r="BU51" s="526">
        <v>0</v>
      </c>
      <c r="BV51" s="526">
        <v>0</v>
      </c>
      <c r="BW51" s="526">
        <v>0</v>
      </c>
      <c r="BX51" s="526">
        <v>0</v>
      </c>
      <c r="BY51" s="558">
        <v>0</v>
      </c>
      <c r="BZ51" s="558">
        <v>0</v>
      </c>
      <c r="CA51" s="558">
        <v>0</v>
      </c>
      <c r="CB51" s="558">
        <v>0</v>
      </c>
      <c r="CC51" s="558">
        <v>0</v>
      </c>
      <c r="CD51" s="558">
        <v>0</v>
      </c>
      <c r="CE51" s="558">
        <v>0</v>
      </c>
      <c r="CF51" s="558">
        <v>0</v>
      </c>
      <c r="CG51" s="558">
        <v>0</v>
      </c>
      <c r="CH51" s="558">
        <v>0</v>
      </c>
      <c r="CI51" s="558">
        <v>0</v>
      </c>
      <c r="CJ51" s="558">
        <v>0</v>
      </c>
      <c r="CK51" s="526">
        <v>0</v>
      </c>
      <c r="CL51" s="526">
        <v>0</v>
      </c>
      <c r="CM51" s="526">
        <v>0</v>
      </c>
      <c r="CN51" s="526">
        <v>0</v>
      </c>
      <c r="CO51" s="526">
        <v>0</v>
      </c>
      <c r="CP51" s="526">
        <v>0</v>
      </c>
      <c r="CQ51" s="526">
        <v>0</v>
      </c>
      <c r="CR51" s="526">
        <v>0</v>
      </c>
      <c r="CS51" s="526">
        <v>0</v>
      </c>
      <c r="CT51" s="526">
        <v>0</v>
      </c>
      <c r="CU51" s="526">
        <v>0</v>
      </c>
      <c r="CV51" s="526">
        <v>0</v>
      </c>
      <c r="CW51" s="526" t="s">
        <v>13</v>
      </c>
      <c r="CX51" s="526">
        <v>5</v>
      </c>
      <c r="CY51" s="560"/>
      <c r="CZ51" s="560"/>
      <c r="DA51" s="560"/>
      <c r="DB51" s="560"/>
      <c r="DC51" s="560"/>
      <c r="DD51" s="560"/>
      <c r="DE51" s="560"/>
      <c r="DF51" s="560"/>
      <c r="DG51" s="560"/>
      <c r="DH51" s="560"/>
      <c r="DI51" s="560"/>
      <c r="DJ51" s="560"/>
      <c r="DK51" s="560"/>
      <c r="DL51" s="560"/>
      <c r="DM51" s="560"/>
      <c r="DN51" s="560"/>
      <c r="DO51" s="560"/>
      <c r="DP51" s="560"/>
      <c r="DQ51" s="560"/>
      <c r="DR51" s="560"/>
      <c r="DS51" s="560"/>
      <c r="DT51" s="560"/>
      <c r="DU51" s="560"/>
      <c r="DV51" s="560"/>
      <c r="DW51" s="560"/>
      <c r="DX51" s="560"/>
      <c r="DY51" s="560"/>
      <c r="DZ51" s="560"/>
      <c r="EA51" s="560"/>
      <c r="EB51" s="560"/>
      <c r="EC51" s="560"/>
      <c r="ED51" s="560"/>
      <c r="EE51" s="560"/>
      <c r="EF51" s="560"/>
      <c r="EG51" s="560"/>
      <c r="EH51" s="560"/>
      <c r="EI51" s="526" t="s">
        <v>1133</v>
      </c>
      <c r="EJ51" s="526" t="s">
        <v>1133</v>
      </c>
      <c r="EK51" s="526" t="s">
        <v>1133</v>
      </c>
      <c r="EL51" s="526" t="s">
        <v>1133</v>
      </c>
      <c r="EM51" s="526" t="s">
        <v>1133</v>
      </c>
      <c r="EN51" s="526" t="s">
        <v>1133</v>
      </c>
      <c r="EO51" s="526" t="s">
        <v>1133</v>
      </c>
      <c r="EP51" s="526" t="s">
        <v>1133</v>
      </c>
      <c r="EQ51" s="526" t="s">
        <v>1133</v>
      </c>
      <c r="ER51" s="526" t="s">
        <v>1133</v>
      </c>
      <c r="ES51" s="526" t="s">
        <v>1133</v>
      </c>
      <c r="ET51" s="526" t="s">
        <v>1133</v>
      </c>
      <c r="EU51" s="526">
        <v>4200</v>
      </c>
      <c r="EV51" s="526">
        <v>4070</v>
      </c>
      <c r="EW51" s="526" t="s">
        <v>1592</v>
      </c>
      <c r="EX51" s="526" t="s">
        <v>1592</v>
      </c>
      <c r="EY51" s="526" t="s">
        <v>1592</v>
      </c>
      <c r="EZ51" s="526" t="s">
        <v>1592</v>
      </c>
      <c r="FA51" s="526" t="s">
        <v>1592</v>
      </c>
      <c r="FB51" s="526" t="s">
        <v>1592</v>
      </c>
      <c r="FC51" s="526" t="s">
        <v>1592</v>
      </c>
      <c r="FD51" s="526" t="s">
        <v>1592</v>
      </c>
      <c r="FE51" s="526" t="s">
        <v>1592</v>
      </c>
      <c r="FF51" s="526" t="s">
        <v>1592</v>
      </c>
      <c r="FG51" s="526" t="s">
        <v>1592</v>
      </c>
      <c r="FH51" s="526" t="s">
        <v>1592</v>
      </c>
      <c r="FI51" s="526">
        <v>81</v>
      </c>
      <c r="FJ51" s="526">
        <v>81</v>
      </c>
      <c r="FK51" s="526">
        <v>81</v>
      </c>
      <c r="FL51" s="526">
        <v>81</v>
      </c>
      <c r="FM51" s="526">
        <v>81</v>
      </c>
      <c r="FN51" s="526">
        <v>81</v>
      </c>
      <c r="FO51" s="526">
        <v>79</v>
      </c>
      <c r="FP51" s="526">
        <v>79</v>
      </c>
      <c r="FQ51" s="526">
        <v>79</v>
      </c>
      <c r="FR51" s="526">
        <v>79</v>
      </c>
      <c r="FS51" s="526">
        <v>46</v>
      </c>
      <c r="FT51" s="526">
        <v>46</v>
      </c>
      <c r="FU51" s="526">
        <v>46</v>
      </c>
      <c r="FV51" s="526">
        <v>46</v>
      </c>
      <c r="FW51" s="526">
        <v>45</v>
      </c>
      <c r="FX51" s="526">
        <v>45</v>
      </c>
      <c r="FY51" s="526">
        <v>47</v>
      </c>
      <c r="FZ51" s="526">
        <v>48</v>
      </c>
      <c r="GA51" s="526">
        <v>48</v>
      </c>
      <c r="GB51" s="526">
        <v>48</v>
      </c>
      <c r="GC51" s="526" t="s">
        <v>883</v>
      </c>
      <c r="GD51" s="526" t="s">
        <v>883</v>
      </c>
      <c r="GE51" s="526" t="s">
        <v>883</v>
      </c>
      <c r="GF51" s="526" t="s">
        <v>883</v>
      </c>
      <c r="GG51" s="526" t="s">
        <v>883</v>
      </c>
      <c r="GH51" s="526" t="s">
        <v>883</v>
      </c>
      <c r="GI51" s="526" t="s">
        <v>883</v>
      </c>
      <c r="GJ51" s="526" t="s">
        <v>883</v>
      </c>
      <c r="GK51" s="526" t="s">
        <v>883</v>
      </c>
      <c r="GL51" s="526" t="s">
        <v>883</v>
      </c>
      <c r="GM51" s="526" t="s">
        <v>883</v>
      </c>
      <c r="GN51" s="526" t="s">
        <v>883</v>
      </c>
      <c r="GO51" s="562" t="str">
        <f t="shared" si="25"/>
        <v/>
      </c>
      <c r="GP51" s="562" t="str">
        <f t="shared" si="26"/>
        <v/>
      </c>
      <c r="GQ51" s="562" t="str">
        <f t="shared" si="27"/>
        <v/>
      </c>
      <c r="GR51" s="562" t="str">
        <f t="shared" si="28"/>
        <v/>
      </c>
      <c r="GS51" s="562" t="str">
        <f t="shared" si="29"/>
        <v/>
      </c>
      <c r="GT51" s="562" t="str">
        <f t="shared" si="30"/>
        <v/>
      </c>
      <c r="GU51" s="562" t="str">
        <f t="shared" si="31"/>
        <v/>
      </c>
      <c r="GV51" s="562" t="str">
        <f t="shared" si="32"/>
        <v/>
      </c>
      <c r="GW51" s="562" t="str">
        <f t="shared" si="33"/>
        <v/>
      </c>
      <c r="GX51" s="562" t="str">
        <f t="shared" si="34"/>
        <v/>
      </c>
      <c r="GY51" s="562" t="str">
        <f t="shared" si="35"/>
        <v/>
      </c>
      <c r="GZ51" s="562" t="str">
        <f t="shared" si="36"/>
        <v/>
      </c>
      <c r="HA51" s="564" t="s">
        <v>1723</v>
      </c>
    </row>
    <row r="52" spans="2:209">
      <c r="B52" s="353">
        <v>48</v>
      </c>
      <c r="C52" s="352">
        <v>248</v>
      </c>
      <c r="D52" s="346" t="s">
        <v>1678</v>
      </c>
      <c r="E52" s="557" t="s">
        <v>13</v>
      </c>
      <c r="F52" s="555">
        <v>116</v>
      </c>
      <c r="G52" s="555">
        <v>6</v>
      </c>
      <c r="H52" s="555">
        <v>66</v>
      </c>
      <c r="I52" s="555">
        <v>44</v>
      </c>
      <c r="J52" s="551"/>
      <c r="K52" s="551"/>
      <c r="L52" s="551"/>
      <c r="M52" s="551"/>
      <c r="N52" s="551"/>
      <c r="O52" s="551"/>
      <c r="P52" s="551"/>
      <c r="Q52" s="551"/>
      <c r="R52" s="551"/>
      <c r="S52" s="551"/>
      <c r="T52" s="551"/>
      <c r="U52" s="551"/>
      <c r="V52" s="551"/>
      <c r="W52" s="551"/>
      <c r="X52" s="551"/>
      <c r="Y52" s="551"/>
      <c r="Z52" s="551"/>
      <c r="AA52" s="551"/>
      <c r="AB52" s="551"/>
      <c r="AC52" s="551"/>
      <c r="AD52" s="551"/>
      <c r="AE52" s="551"/>
      <c r="AF52" s="551"/>
      <c r="AG52" s="551"/>
      <c r="AH52" s="551"/>
      <c r="AI52" s="551"/>
      <c r="AJ52" s="556"/>
      <c r="AK52" s="556"/>
      <c r="AL52" s="556"/>
      <c r="AM52" s="551"/>
      <c r="AN52" s="555" t="s">
        <v>11</v>
      </c>
      <c r="AO52" s="526" t="s">
        <v>1388</v>
      </c>
      <c r="AP52" s="526" t="s">
        <v>1388</v>
      </c>
      <c r="AQ52" s="526" t="s">
        <v>1388</v>
      </c>
      <c r="AR52" s="526" t="s">
        <v>1388</v>
      </c>
      <c r="AS52" s="526" t="s">
        <v>1388</v>
      </c>
      <c r="AT52" s="526" t="s">
        <v>1388</v>
      </c>
      <c r="AU52" s="526" t="s">
        <v>1388</v>
      </c>
      <c r="AV52" s="526" t="s">
        <v>1388</v>
      </c>
      <c r="AW52" s="526" t="s">
        <v>1388</v>
      </c>
      <c r="AX52" s="526" t="s">
        <v>1388</v>
      </c>
      <c r="AY52" s="526" t="s">
        <v>1388</v>
      </c>
      <c r="AZ52" s="526" t="s">
        <v>1388</v>
      </c>
      <c r="BA52" s="526" t="s">
        <v>1390</v>
      </c>
      <c r="BB52" s="526" t="s">
        <v>1390</v>
      </c>
      <c r="BC52" s="526" t="s">
        <v>1390</v>
      </c>
      <c r="BD52" s="526" t="s">
        <v>1390</v>
      </c>
      <c r="BE52" s="526" t="s">
        <v>1390</v>
      </c>
      <c r="BF52" s="526" t="s">
        <v>1390</v>
      </c>
      <c r="BG52" s="526" t="s">
        <v>1390</v>
      </c>
      <c r="BH52" s="526" t="s">
        <v>1390</v>
      </c>
      <c r="BI52" s="526" t="s">
        <v>1390</v>
      </c>
      <c r="BJ52" s="526" t="s">
        <v>1390</v>
      </c>
      <c r="BK52" s="526" t="s">
        <v>1390</v>
      </c>
      <c r="BL52" s="526" t="s">
        <v>1390</v>
      </c>
      <c r="BM52" s="526">
        <v>0</v>
      </c>
      <c r="BN52" s="526">
        <v>0</v>
      </c>
      <c r="BO52" s="526">
        <v>0</v>
      </c>
      <c r="BP52" s="526">
        <v>0</v>
      </c>
      <c r="BQ52" s="526">
        <v>0</v>
      </c>
      <c r="BR52" s="526">
        <v>0</v>
      </c>
      <c r="BS52" s="526">
        <v>0</v>
      </c>
      <c r="BT52" s="526">
        <v>0</v>
      </c>
      <c r="BU52" s="526">
        <v>0</v>
      </c>
      <c r="BV52" s="526">
        <v>0</v>
      </c>
      <c r="BW52" s="526">
        <v>0</v>
      </c>
      <c r="BX52" s="526">
        <v>0</v>
      </c>
      <c r="BY52" s="558">
        <v>0</v>
      </c>
      <c r="BZ52" s="558">
        <v>0</v>
      </c>
      <c r="CA52" s="558">
        <v>0</v>
      </c>
      <c r="CB52" s="558">
        <v>0</v>
      </c>
      <c r="CC52" s="558">
        <v>0</v>
      </c>
      <c r="CD52" s="558">
        <v>0</v>
      </c>
      <c r="CE52" s="558">
        <v>0</v>
      </c>
      <c r="CF52" s="558">
        <v>0</v>
      </c>
      <c r="CG52" s="558">
        <v>0</v>
      </c>
      <c r="CH52" s="558">
        <v>0</v>
      </c>
      <c r="CI52" s="558">
        <v>0</v>
      </c>
      <c r="CJ52" s="558">
        <v>0</v>
      </c>
      <c r="CK52" s="526">
        <v>0</v>
      </c>
      <c r="CL52" s="526">
        <v>0</v>
      </c>
      <c r="CM52" s="526">
        <v>0</v>
      </c>
      <c r="CN52" s="526">
        <v>0</v>
      </c>
      <c r="CO52" s="526">
        <v>0</v>
      </c>
      <c r="CP52" s="526">
        <v>0</v>
      </c>
      <c r="CQ52" s="526">
        <v>0</v>
      </c>
      <c r="CR52" s="526">
        <v>0</v>
      </c>
      <c r="CS52" s="526">
        <v>0</v>
      </c>
      <c r="CT52" s="526">
        <v>0</v>
      </c>
      <c r="CU52" s="526">
        <v>0</v>
      </c>
      <c r="CV52" s="526">
        <v>0</v>
      </c>
      <c r="CW52" s="526" t="s">
        <v>13</v>
      </c>
      <c r="CX52" s="526">
        <v>6</v>
      </c>
      <c r="CY52" s="560"/>
      <c r="CZ52" s="560"/>
      <c r="DA52" s="560"/>
      <c r="DB52" s="560"/>
      <c r="DC52" s="560"/>
      <c r="DD52" s="560"/>
      <c r="DE52" s="560"/>
      <c r="DF52" s="560"/>
      <c r="DG52" s="560"/>
      <c r="DH52" s="560"/>
      <c r="DI52" s="560"/>
      <c r="DJ52" s="560"/>
      <c r="DK52" s="560"/>
      <c r="DL52" s="560"/>
      <c r="DM52" s="560"/>
      <c r="DN52" s="560"/>
      <c r="DO52" s="560"/>
      <c r="DP52" s="560"/>
      <c r="DQ52" s="560"/>
      <c r="DR52" s="560"/>
      <c r="DS52" s="560"/>
      <c r="DT52" s="560"/>
      <c r="DU52" s="560"/>
      <c r="DV52" s="560"/>
      <c r="DW52" s="560"/>
      <c r="DX52" s="560"/>
      <c r="DY52" s="560"/>
      <c r="DZ52" s="560"/>
      <c r="EA52" s="560"/>
      <c r="EB52" s="560"/>
      <c r="EC52" s="560"/>
      <c r="ED52" s="560"/>
      <c r="EE52" s="560"/>
      <c r="EF52" s="560"/>
      <c r="EG52" s="560"/>
      <c r="EH52" s="560"/>
      <c r="EI52" s="526" t="s">
        <v>1133</v>
      </c>
      <c r="EJ52" s="526" t="s">
        <v>1133</v>
      </c>
      <c r="EK52" s="526" t="s">
        <v>1133</v>
      </c>
      <c r="EL52" s="526" t="s">
        <v>1133</v>
      </c>
      <c r="EM52" s="526" t="s">
        <v>1133</v>
      </c>
      <c r="EN52" s="526" t="s">
        <v>1133</v>
      </c>
      <c r="EO52" s="526" t="s">
        <v>1133</v>
      </c>
      <c r="EP52" s="526" t="s">
        <v>1133</v>
      </c>
      <c r="EQ52" s="526" t="s">
        <v>1133</v>
      </c>
      <c r="ER52" s="526" t="s">
        <v>1133</v>
      </c>
      <c r="ES52" s="526" t="s">
        <v>1133</v>
      </c>
      <c r="ET52" s="526" t="s">
        <v>1133</v>
      </c>
      <c r="EU52" s="526">
        <v>4200</v>
      </c>
      <c r="EV52" s="526">
        <v>4070</v>
      </c>
      <c r="EW52" s="526" t="s">
        <v>1592</v>
      </c>
      <c r="EX52" s="526" t="s">
        <v>1592</v>
      </c>
      <c r="EY52" s="526" t="s">
        <v>1592</v>
      </c>
      <c r="EZ52" s="526" t="s">
        <v>1592</v>
      </c>
      <c r="FA52" s="526" t="s">
        <v>1592</v>
      </c>
      <c r="FB52" s="526" t="s">
        <v>1592</v>
      </c>
      <c r="FC52" s="526" t="s">
        <v>1592</v>
      </c>
      <c r="FD52" s="526" t="s">
        <v>1592</v>
      </c>
      <c r="FE52" s="526" t="s">
        <v>1592</v>
      </c>
      <c r="FF52" s="526" t="s">
        <v>1592</v>
      </c>
      <c r="FG52" s="526" t="s">
        <v>1592</v>
      </c>
      <c r="FH52" s="526" t="s">
        <v>1592</v>
      </c>
      <c r="FI52" s="526">
        <v>81</v>
      </c>
      <c r="FJ52" s="526">
        <v>81</v>
      </c>
      <c r="FK52" s="526">
        <v>81</v>
      </c>
      <c r="FL52" s="526">
        <v>81</v>
      </c>
      <c r="FM52" s="526">
        <v>81</v>
      </c>
      <c r="FN52" s="526">
        <v>81</v>
      </c>
      <c r="FO52" s="526">
        <v>79</v>
      </c>
      <c r="FP52" s="526">
        <v>79</v>
      </c>
      <c r="FQ52" s="526">
        <v>79</v>
      </c>
      <c r="FR52" s="526">
        <v>79</v>
      </c>
      <c r="FS52" s="526">
        <v>46</v>
      </c>
      <c r="FT52" s="526">
        <v>46</v>
      </c>
      <c r="FU52" s="526">
        <v>46</v>
      </c>
      <c r="FV52" s="526">
        <v>46</v>
      </c>
      <c r="FW52" s="526">
        <v>45</v>
      </c>
      <c r="FX52" s="526">
        <v>45</v>
      </c>
      <c r="FY52" s="526">
        <v>47</v>
      </c>
      <c r="FZ52" s="526">
        <v>48</v>
      </c>
      <c r="GA52" s="526">
        <v>48</v>
      </c>
      <c r="GB52" s="526">
        <v>48</v>
      </c>
      <c r="GC52" s="526" t="s">
        <v>883</v>
      </c>
      <c r="GD52" s="526" t="s">
        <v>883</v>
      </c>
      <c r="GE52" s="526" t="s">
        <v>883</v>
      </c>
      <c r="GF52" s="526" t="s">
        <v>883</v>
      </c>
      <c r="GG52" s="526" t="s">
        <v>883</v>
      </c>
      <c r="GH52" s="526" t="s">
        <v>883</v>
      </c>
      <c r="GI52" s="526" t="s">
        <v>883</v>
      </c>
      <c r="GJ52" s="526" t="s">
        <v>883</v>
      </c>
      <c r="GK52" s="526" t="s">
        <v>883</v>
      </c>
      <c r="GL52" s="526" t="s">
        <v>883</v>
      </c>
      <c r="GM52" s="526" t="s">
        <v>883</v>
      </c>
      <c r="GN52" s="526" t="s">
        <v>883</v>
      </c>
      <c r="GO52" s="562" t="str">
        <f t="shared" si="25"/>
        <v/>
      </c>
      <c r="GP52" s="562" t="str">
        <f t="shared" si="26"/>
        <v/>
      </c>
      <c r="GQ52" s="562" t="str">
        <f t="shared" si="27"/>
        <v/>
      </c>
      <c r="GR52" s="562" t="str">
        <f t="shared" si="28"/>
        <v/>
      </c>
      <c r="GS52" s="562" t="str">
        <f t="shared" si="29"/>
        <v/>
      </c>
      <c r="GT52" s="562" t="str">
        <f t="shared" si="30"/>
        <v/>
      </c>
      <c r="GU52" s="562" t="str">
        <f t="shared" si="31"/>
        <v/>
      </c>
      <c r="GV52" s="562" t="str">
        <f t="shared" si="32"/>
        <v/>
      </c>
      <c r="GW52" s="562" t="str">
        <f t="shared" si="33"/>
        <v/>
      </c>
      <c r="GX52" s="562" t="str">
        <f t="shared" si="34"/>
        <v/>
      </c>
      <c r="GY52" s="562" t="str">
        <f t="shared" si="35"/>
        <v/>
      </c>
      <c r="GZ52" s="562" t="str">
        <f t="shared" si="36"/>
        <v/>
      </c>
      <c r="HA52" s="564" t="s">
        <v>1724</v>
      </c>
    </row>
    <row r="53" spans="2:209">
      <c r="B53" s="353">
        <v>49</v>
      </c>
      <c r="C53" s="352">
        <v>249</v>
      </c>
      <c r="D53" s="346" t="s">
        <v>1681</v>
      </c>
      <c r="E53" s="557" t="s">
        <v>13</v>
      </c>
      <c r="F53" s="555">
        <v>195</v>
      </c>
      <c r="G53" s="555">
        <v>135</v>
      </c>
      <c r="H53" s="555">
        <v>60</v>
      </c>
      <c r="I53" s="555">
        <v>0</v>
      </c>
      <c r="J53" s="551"/>
      <c r="K53" s="551"/>
      <c r="L53" s="551"/>
      <c r="M53" s="551"/>
      <c r="N53" s="551"/>
      <c r="O53" s="551"/>
      <c r="P53" s="551"/>
      <c r="Q53" s="551"/>
      <c r="R53" s="551"/>
      <c r="S53" s="551"/>
      <c r="T53" s="551"/>
      <c r="U53" s="551"/>
      <c r="V53" s="551"/>
      <c r="W53" s="551"/>
      <c r="X53" s="551"/>
      <c r="Y53" s="551"/>
      <c r="Z53" s="551"/>
      <c r="AA53" s="551"/>
      <c r="AB53" s="551"/>
      <c r="AC53" s="551"/>
      <c r="AD53" s="551"/>
      <c r="AE53" s="551"/>
      <c r="AF53" s="551"/>
      <c r="AG53" s="551"/>
      <c r="AH53" s="551"/>
      <c r="AI53" s="551"/>
      <c r="AJ53" s="556"/>
      <c r="AK53" s="556"/>
      <c r="AL53" s="556"/>
      <c r="AM53" s="551"/>
      <c r="AN53" s="555" t="s">
        <v>11</v>
      </c>
      <c r="AO53" s="526" t="s">
        <v>883</v>
      </c>
      <c r="AP53" s="526" t="s">
        <v>883</v>
      </c>
      <c r="AQ53" s="526" t="s">
        <v>883</v>
      </c>
      <c r="AR53" s="526" t="s">
        <v>883</v>
      </c>
      <c r="AS53" s="526" t="s">
        <v>883</v>
      </c>
      <c r="AT53" s="526" t="s">
        <v>883</v>
      </c>
      <c r="AU53" s="526" t="s">
        <v>883</v>
      </c>
      <c r="AV53" s="526" t="s">
        <v>883</v>
      </c>
      <c r="AW53" s="526" t="s">
        <v>883</v>
      </c>
      <c r="AX53" s="526" t="s">
        <v>883</v>
      </c>
      <c r="AY53" s="526" t="s">
        <v>883</v>
      </c>
      <c r="AZ53" s="526" t="s">
        <v>883</v>
      </c>
      <c r="BA53" s="526" t="s">
        <v>883</v>
      </c>
      <c r="BB53" s="526" t="s">
        <v>883</v>
      </c>
      <c r="BC53" s="526" t="s">
        <v>883</v>
      </c>
      <c r="BD53" s="526" t="s">
        <v>883</v>
      </c>
      <c r="BE53" s="526" t="s">
        <v>883</v>
      </c>
      <c r="BF53" s="526" t="s">
        <v>883</v>
      </c>
      <c r="BG53" s="526" t="s">
        <v>883</v>
      </c>
      <c r="BH53" s="526" t="s">
        <v>883</v>
      </c>
      <c r="BI53" s="526" t="s">
        <v>883</v>
      </c>
      <c r="BJ53" s="526" t="s">
        <v>883</v>
      </c>
      <c r="BK53" s="526" t="s">
        <v>883</v>
      </c>
      <c r="BL53" s="526" t="s">
        <v>883</v>
      </c>
      <c r="BM53" s="526">
        <v>0</v>
      </c>
      <c r="BN53" s="526">
        <v>0</v>
      </c>
      <c r="BO53" s="526">
        <v>0</v>
      </c>
      <c r="BP53" s="526">
        <v>0</v>
      </c>
      <c r="BQ53" s="526">
        <v>0</v>
      </c>
      <c r="BR53" s="526">
        <v>0</v>
      </c>
      <c r="BS53" s="526">
        <v>0</v>
      </c>
      <c r="BT53" s="526">
        <v>0</v>
      </c>
      <c r="BU53" s="526">
        <v>0</v>
      </c>
      <c r="BV53" s="526">
        <v>0</v>
      </c>
      <c r="BW53" s="526">
        <v>0</v>
      </c>
      <c r="BX53" s="526">
        <v>0</v>
      </c>
      <c r="BY53" s="558">
        <v>0</v>
      </c>
      <c r="BZ53" s="558">
        <v>0</v>
      </c>
      <c r="CA53" s="558">
        <v>0</v>
      </c>
      <c r="CB53" s="558">
        <v>0</v>
      </c>
      <c r="CC53" s="558">
        <v>0</v>
      </c>
      <c r="CD53" s="558">
        <v>0</v>
      </c>
      <c r="CE53" s="558">
        <v>0</v>
      </c>
      <c r="CF53" s="558">
        <v>0</v>
      </c>
      <c r="CG53" s="558">
        <v>0</v>
      </c>
      <c r="CH53" s="558">
        <v>0</v>
      </c>
      <c r="CI53" s="558">
        <v>0</v>
      </c>
      <c r="CJ53" s="558">
        <v>0</v>
      </c>
      <c r="CK53" s="526">
        <v>0</v>
      </c>
      <c r="CL53" s="526">
        <v>0</v>
      </c>
      <c r="CM53" s="526">
        <v>0</v>
      </c>
      <c r="CN53" s="526">
        <v>0</v>
      </c>
      <c r="CO53" s="526">
        <v>0</v>
      </c>
      <c r="CP53" s="526">
        <v>0</v>
      </c>
      <c r="CQ53" s="526">
        <v>0</v>
      </c>
      <c r="CR53" s="526">
        <v>0</v>
      </c>
      <c r="CS53" s="526">
        <v>0</v>
      </c>
      <c r="CT53" s="526">
        <v>0</v>
      </c>
      <c r="CU53" s="526">
        <v>0</v>
      </c>
      <c r="CV53" s="526">
        <v>0</v>
      </c>
      <c r="CW53" s="526" t="s">
        <v>13</v>
      </c>
      <c r="CX53" s="526">
        <v>7</v>
      </c>
      <c r="CY53" s="560"/>
      <c r="CZ53" s="560"/>
      <c r="DA53" s="560"/>
      <c r="DB53" s="560"/>
      <c r="DC53" s="560"/>
      <c r="DD53" s="560"/>
      <c r="DE53" s="560"/>
      <c r="DF53" s="560"/>
      <c r="DG53" s="560"/>
      <c r="DH53" s="560"/>
      <c r="DI53" s="560"/>
      <c r="DJ53" s="560"/>
      <c r="DK53" s="560"/>
      <c r="DL53" s="560"/>
      <c r="DM53" s="560"/>
      <c r="DN53" s="560"/>
      <c r="DO53" s="560"/>
      <c r="DP53" s="560"/>
      <c r="DQ53" s="560"/>
      <c r="DR53" s="560"/>
      <c r="DS53" s="560"/>
      <c r="DT53" s="560"/>
      <c r="DU53" s="560"/>
      <c r="DV53" s="560"/>
      <c r="DW53" s="560"/>
      <c r="DX53" s="560"/>
      <c r="DY53" s="560"/>
      <c r="DZ53" s="560"/>
      <c r="EA53" s="560"/>
      <c r="EB53" s="560"/>
      <c r="EC53" s="560"/>
      <c r="ED53" s="560"/>
      <c r="EE53" s="560"/>
      <c r="EF53" s="560"/>
      <c r="EG53" s="560"/>
      <c r="EH53" s="560"/>
      <c r="EI53" s="526" t="s">
        <v>1133</v>
      </c>
      <c r="EJ53" s="526" t="s">
        <v>1133</v>
      </c>
      <c r="EK53" s="526" t="s">
        <v>1133</v>
      </c>
      <c r="EL53" s="526" t="s">
        <v>1133</v>
      </c>
      <c r="EM53" s="526" t="s">
        <v>1133</v>
      </c>
      <c r="EN53" s="526" t="s">
        <v>1133</v>
      </c>
      <c r="EO53" s="526" t="s">
        <v>1133</v>
      </c>
      <c r="EP53" s="526" t="s">
        <v>1133</v>
      </c>
      <c r="EQ53" s="526" t="s">
        <v>1133</v>
      </c>
      <c r="ER53" s="526" t="s">
        <v>1133</v>
      </c>
      <c r="ES53" s="526" t="s">
        <v>1133</v>
      </c>
      <c r="ET53" s="526" t="s">
        <v>1133</v>
      </c>
      <c r="EU53" s="526">
        <v>4200</v>
      </c>
      <c r="EV53" s="526">
        <v>4070</v>
      </c>
      <c r="EW53" s="526" t="s">
        <v>1592</v>
      </c>
      <c r="EX53" s="526" t="s">
        <v>1592</v>
      </c>
      <c r="EY53" s="526" t="s">
        <v>1592</v>
      </c>
      <c r="EZ53" s="526" t="s">
        <v>1592</v>
      </c>
      <c r="FA53" s="526" t="s">
        <v>1592</v>
      </c>
      <c r="FB53" s="526" t="s">
        <v>1592</v>
      </c>
      <c r="FC53" s="526" t="s">
        <v>1592</v>
      </c>
      <c r="FD53" s="526" t="s">
        <v>1592</v>
      </c>
      <c r="FE53" s="526" t="s">
        <v>1592</v>
      </c>
      <c r="FF53" s="526" t="s">
        <v>1592</v>
      </c>
      <c r="FG53" s="526" t="s">
        <v>1592</v>
      </c>
      <c r="FH53" s="526" t="s">
        <v>1592</v>
      </c>
      <c r="FI53" s="526">
        <v>81</v>
      </c>
      <c r="FJ53" s="526">
        <v>81</v>
      </c>
      <c r="FK53" s="526">
        <v>81</v>
      </c>
      <c r="FL53" s="526">
        <v>81</v>
      </c>
      <c r="FM53" s="526">
        <v>81</v>
      </c>
      <c r="FN53" s="526">
        <v>81</v>
      </c>
      <c r="FO53" s="526">
        <v>79</v>
      </c>
      <c r="FP53" s="526">
        <v>79</v>
      </c>
      <c r="FQ53" s="526">
        <v>79</v>
      </c>
      <c r="FR53" s="526">
        <v>79</v>
      </c>
      <c r="FS53" s="526">
        <v>46</v>
      </c>
      <c r="FT53" s="526">
        <v>46</v>
      </c>
      <c r="FU53" s="526">
        <v>46</v>
      </c>
      <c r="FV53" s="526">
        <v>46</v>
      </c>
      <c r="FW53" s="526">
        <v>45</v>
      </c>
      <c r="FX53" s="526">
        <v>45</v>
      </c>
      <c r="FY53" s="526">
        <v>47</v>
      </c>
      <c r="FZ53" s="526">
        <v>48</v>
      </c>
      <c r="GA53" s="526">
        <v>48</v>
      </c>
      <c r="GB53" s="526">
        <v>48</v>
      </c>
      <c r="GC53" s="526" t="s">
        <v>883</v>
      </c>
      <c r="GD53" s="526" t="s">
        <v>883</v>
      </c>
      <c r="GE53" s="526" t="s">
        <v>883</v>
      </c>
      <c r="GF53" s="526" t="s">
        <v>883</v>
      </c>
      <c r="GG53" s="526" t="s">
        <v>883</v>
      </c>
      <c r="GH53" s="526" t="s">
        <v>883</v>
      </c>
      <c r="GI53" s="526" t="s">
        <v>883</v>
      </c>
      <c r="GJ53" s="526" t="s">
        <v>883</v>
      </c>
      <c r="GK53" s="526" t="s">
        <v>883</v>
      </c>
      <c r="GL53" s="526" t="s">
        <v>883</v>
      </c>
      <c r="GM53" s="526" t="s">
        <v>883</v>
      </c>
      <c r="GN53" s="526" t="s">
        <v>883</v>
      </c>
      <c r="GO53" s="562" t="str">
        <f t="shared" si="25"/>
        <v/>
      </c>
      <c r="GP53" s="562" t="str">
        <f t="shared" si="26"/>
        <v/>
      </c>
      <c r="GQ53" s="562" t="str">
        <f t="shared" si="27"/>
        <v/>
      </c>
      <c r="GR53" s="562" t="str">
        <f t="shared" si="28"/>
        <v/>
      </c>
      <c r="GS53" s="562" t="str">
        <f t="shared" si="29"/>
        <v/>
      </c>
      <c r="GT53" s="562" t="str">
        <f t="shared" si="30"/>
        <v/>
      </c>
      <c r="GU53" s="562" t="str">
        <f t="shared" si="31"/>
        <v/>
      </c>
      <c r="GV53" s="562" t="str">
        <f t="shared" si="32"/>
        <v/>
      </c>
      <c r="GW53" s="562" t="str">
        <f t="shared" si="33"/>
        <v/>
      </c>
      <c r="GX53" s="562" t="str">
        <f t="shared" si="34"/>
        <v/>
      </c>
      <c r="GY53" s="562" t="str">
        <f t="shared" si="35"/>
        <v/>
      </c>
      <c r="GZ53" s="562" t="str">
        <f t="shared" si="36"/>
        <v/>
      </c>
      <c r="HA53" s="564" t="s">
        <v>1725</v>
      </c>
    </row>
    <row r="54" spans="2:209">
      <c r="B54" s="353">
        <v>50</v>
      </c>
      <c r="C54" s="352">
        <v>250</v>
      </c>
      <c r="D54" s="346" t="s">
        <v>1685</v>
      </c>
      <c r="E54" s="557" t="s">
        <v>13</v>
      </c>
      <c r="F54" s="555">
        <v>105</v>
      </c>
      <c r="G54" s="555">
        <v>35</v>
      </c>
      <c r="H54" s="555">
        <v>50</v>
      </c>
      <c r="I54" s="555">
        <v>20</v>
      </c>
      <c r="J54" s="551"/>
      <c r="K54" s="551"/>
      <c r="L54" s="551"/>
      <c r="M54" s="551"/>
      <c r="N54" s="551"/>
      <c r="O54" s="551"/>
      <c r="P54" s="551"/>
      <c r="Q54" s="551"/>
      <c r="R54" s="551"/>
      <c r="S54" s="551"/>
      <c r="T54" s="551"/>
      <c r="U54" s="551"/>
      <c r="V54" s="551"/>
      <c r="W54" s="551"/>
      <c r="X54" s="551"/>
      <c r="Y54" s="551"/>
      <c r="Z54" s="551"/>
      <c r="AA54" s="551"/>
      <c r="AB54" s="551"/>
      <c r="AC54" s="551"/>
      <c r="AD54" s="551"/>
      <c r="AE54" s="551"/>
      <c r="AF54" s="551"/>
      <c r="AG54" s="551"/>
      <c r="AH54" s="551"/>
      <c r="AI54" s="551"/>
      <c r="AJ54" s="556"/>
      <c r="AK54" s="556"/>
      <c r="AL54" s="556"/>
      <c r="AM54" s="551"/>
      <c r="AN54" s="555" t="s">
        <v>11</v>
      </c>
      <c r="AO54" s="526" t="s">
        <v>883</v>
      </c>
      <c r="AP54" s="526" t="s">
        <v>883</v>
      </c>
      <c r="AQ54" s="526" t="s">
        <v>883</v>
      </c>
      <c r="AR54" s="526" t="s">
        <v>883</v>
      </c>
      <c r="AS54" s="526" t="s">
        <v>883</v>
      </c>
      <c r="AT54" s="526" t="s">
        <v>883</v>
      </c>
      <c r="AU54" s="526" t="s">
        <v>883</v>
      </c>
      <c r="AV54" s="526" t="s">
        <v>883</v>
      </c>
      <c r="AW54" s="526" t="s">
        <v>883</v>
      </c>
      <c r="AX54" s="526" t="s">
        <v>883</v>
      </c>
      <c r="AY54" s="526" t="s">
        <v>883</v>
      </c>
      <c r="AZ54" s="526" t="s">
        <v>883</v>
      </c>
      <c r="BA54" s="526" t="s">
        <v>883</v>
      </c>
      <c r="BB54" s="526" t="s">
        <v>883</v>
      </c>
      <c r="BC54" s="526" t="s">
        <v>883</v>
      </c>
      <c r="BD54" s="526" t="s">
        <v>883</v>
      </c>
      <c r="BE54" s="526" t="s">
        <v>883</v>
      </c>
      <c r="BF54" s="526" t="s">
        <v>883</v>
      </c>
      <c r="BG54" s="526" t="s">
        <v>883</v>
      </c>
      <c r="BH54" s="526" t="s">
        <v>883</v>
      </c>
      <c r="BI54" s="526" t="s">
        <v>883</v>
      </c>
      <c r="BJ54" s="526" t="s">
        <v>883</v>
      </c>
      <c r="BK54" s="526" t="s">
        <v>883</v>
      </c>
      <c r="BL54" s="526" t="s">
        <v>883</v>
      </c>
      <c r="BM54" s="526">
        <v>0</v>
      </c>
      <c r="BN54" s="526">
        <v>0</v>
      </c>
      <c r="BO54" s="526">
        <v>0</v>
      </c>
      <c r="BP54" s="526">
        <v>0</v>
      </c>
      <c r="BQ54" s="526">
        <v>0</v>
      </c>
      <c r="BR54" s="526">
        <v>0</v>
      </c>
      <c r="BS54" s="526">
        <v>0</v>
      </c>
      <c r="BT54" s="526">
        <v>0</v>
      </c>
      <c r="BU54" s="526">
        <v>0</v>
      </c>
      <c r="BV54" s="526">
        <v>0</v>
      </c>
      <c r="BW54" s="526">
        <v>0</v>
      </c>
      <c r="BX54" s="526">
        <v>0</v>
      </c>
      <c r="BY54" s="558">
        <v>0</v>
      </c>
      <c r="BZ54" s="558">
        <v>0</v>
      </c>
      <c r="CA54" s="558">
        <v>0</v>
      </c>
      <c r="CB54" s="558">
        <v>0</v>
      </c>
      <c r="CC54" s="558">
        <v>0</v>
      </c>
      <c r="CD54" s="558">
        <v>0</v>
      </c>
      <c r="CE54" s="558">
        <v>0</v>
      </c>
      <c r="CF54" s="558">
        <v>0</v>
      </c>
      <c r="CG54" s="558">
        <v>0</v>
      </c>
      <c r="CH54" s="558">
        <v>0</v>
      </c>
      <c r="CI54" s="558">
        <v>0</v>
      </c>
      <c r="CJ54" s="558">
        <v>0</v>
      </c>
      <c r="CK54" s="526">
        <v>0</v>
      </c>
      <c r="CL54" s="526">
        <v>0</v>
      </c>
      <c r="CM54" s="526">
        <v>0</v>
      </c>
      <c r="CN54" s="526">
        <v>0</v>
      </c>
      <c r="CO54" s="526">
        <v>0</v>
      </c>
      <c r="CP54" s="526">
        <v>0</v>
      </c>
      <c r="CQ54" s="526">
        <v>0</v>
      </c>
      <c r="CR54" s="526">
        <v>0</v>
      </c>
      <c r="CS54" s="526">
        <v>0</v>
      </c>
      <c r="CT54" s="526">
        <v>0</v>
      </c>
      <c r="CU54" s="526">
        <v>0</v>
      </c>
      <c r="CV54" s="526">
        <v>0</v>
      </c>
      <c r="CW54" s="526" t="s">
        <v>13</v>
      </c>
      <c r="CX54" s="526">
        <v>8</v>
      </c>
      <c r="CY54" s="560"/>
      <c r="CZ54" s="560"/>
      <c r="DA54" s="560"/>
      <c r="DB54" s="560"/>
      <c r="DC54" s="560"/>
      <c r="DD54" s="560"/>
      <c r="DE54" s="560"/>
      <c r="DF54" s="560"/>
      <c r="DG54" s="560"/>
      <c r="DH54" s="560"/>
      <c r="DI54" s="560"/>
      <c r="DJ54" s="560"/>
      <c r="DK54" s="560"/>
      <c r="DL54" s="560"/>
      <c r="DM54" s="560"/>
      <c r="DN54" s="560"/>
      <c r="DO54" s="560"/>
      <c r="DP54" s="560"/>
      <c r="DQ54" s="560"/>
      <c r="DR54" s="560"/>
      <c r="DS54" s="560"/>
      <c r="DT54" s="560"/>
      <c r="DU54" s="560"/>
      <c r="DV54" s="560"/>
      <c r="DW54" s="560"/>
      <c r="DX54" s="560"/>
      <c r="DY54" s="560"/>
      <c r="DZ54" s="560"/>
      <c r="EA54" s="560"/>
      <c r="EB54" s="560"/>
      <c r="EC54" s="560"/>
      <c r="ED54" s="560"/>
      <c r="EE54" s="560"/>
      <c r="EF54" s="560"/>
      <c r="EG54" s="560"/>
      <c r="EH54" s="560"/>
      <c r="EI54" s="526" t="s">
        <v>1133</v>
      </c>
      <c r="EJ54" s="526" t="s">
        <v>1133</v>
      </c>
      <c r="EK54" s="526" t="s">
        <v>1133</v>
      </c>
      <c r="EL54" s="526" t="s">
        <v>1133</v>
      </c>
      <c r="EM54" s="526" t="s">
        <v>1133</v>
      </c>
      <c r="EN54" s="526" t="s">
        <v>1133</v>
      </c>
      <c r="EO54" s="526" t="s">
        <v>1133</v>
      </c>
      <c r="EP54" s="526" t="s">
        <v>1133</v>
      </c>
      <c r="EQ54" s="526" t="s">
        <v>1133</v>
      </c>
      <c r="ER54" s="526" t="s">
        <v>1133</v>
      </c>
      <c r="ES54" s="526" t="s">
        <v>1133</v>
      </c>
      <c r="ET54" s="526" t="s">
        <v>1133</v>
      </c>
      <c r="EU54" s="526">
        <v>4200</v>
      </c>
      <c r="EV54" s="526">
        <v>4070</v>
      </c>
      <c r="EW54" s="526" t="s">
        <v>1592</v>
      </c>
      <c r="EX54" s="526" t="s">
        <v>1592</v>
      </c>
      <c r="EY54" s="526" t="s">
        <v>1592</v>
      </c>
      <c r="EZ54" s="526" t="s">
        <v>1592</v>
      </c>
      <c r="FA54" s="526" t="s">
        <v>1592</v>
      </c>
      <c r="FB54" s="526" t="s">
        <v>1592</v>
      </c>
      <c r="FC54" s="526" t="s">
        <v>1592</v>
      </c>
      <c r="FD54" s="526" t="s">
        <v>1592</v>
      </c>
      <c r="FE54" s="526" t="s">
        <v>1592</v>
      </c>
      <c r="FF54" s="526" t="s">
        <v>1592</v>
      </c>
      <c r="FG54" s="526" t="s">
        <v>1592</v>
      </c>
      <c r="FH54" s="526" t="s">
        <v>1592</v>
      </c>
      <c r="FI54" s="526">
        <v>81</v>
      </c>
      <c r="FJ54" s="526">
        <v>81</v>
      </c>
      <c r="FK54" s="526">
        <v>81</v>
      </c>
      <c r="FL54" s="526">
        <v>81</v>
      </c>
      <c r="FM54" s="526">
        <v>81</v>
      </c>
      <c r="FN54" s="526">
        <v>81</v>
      </c>
      <c r="FO54" s="526">
        <v>79</v>
      </c>
      <c r="FP54" s="526">
        <v>79</v>
      </c>
      <c r="FQ54" s="526">
        <v>79</v>
      </c>
      <c r="FR54" s="526">
        <v>79</v>
      </c>
      <c r="FS54" s="526">
        <v>46</v>
      </c>
      <c r="FT54" s="526">
        <v>46</v>
      </c>
      <c r="FU54" s="526">
        <v>46</v>
      </c>
      <c r="FV54" s="526">
        <v>46</v>
      </c>
      <c r="FW54" s="526">
        <v>45</v>
      </c>
      <c r="FX54" s="526">
        <v>45</v>
      </c>
      <c r="FY54" s="526">
        <v>47</v>
      </c>
      <c r="FZ54" s="526">
        <v>48</v>
      </c>
      <c r="GA54" s="526">
        <v>48</v>
      </c>
      <c r="GB54" s="526">
        <v>48</v>
      </c>
      <c r="GC54" s="526" t="s">
        <v>883</v>
      </c>
      <c r="GD54" s="526" t="s">
        <v>883</v>
      </c>
      <c r="GE54" s="526" t="s">
        <v>883</v>
      </c>
      <c r="GF54" s="526" t="s">
        <v>883</v>
      </c>
      <c r="GG54" s="526" t="s">
        <v>883</v>
      </c>
      <c r="GH54" s="526" t="s">
        <v>883</v>
      </c>
      <c r="GI54" s="526" t="s">
        <v>883</v>
      </c>
      <c r="GJ54" s="526" t="s">
        <v>883</v>
      </c>
      <c r="GK54" s="526" t="s">
        <v>883</v>
      </c>
      <c r="GL54" s="526" t="s">
        <v>883</v>
      </c>
      <c r="GM54" s="526" t="s">
        <v>883</v>
      </c>
      <c r="GN54" s="526" t="s">
        <v>883</v>
      </c>
      <c r="GO54" s="562" t="str">
        <f t="shared" si="25"/>
        <v/>
      </c>
      <c r="GP54" s="562" t="str">
        <f t="shared" si="26"/>
        <v/>
      </c>
      <c r="GQ54" s="562" t="str">
        <f t="shared" si="27"/>
        <v/>
      </c>
      <c r="GR54" s="562" t="str">
        <f t="shared" si="28"/>
        <v/>
      </c>
      <c r="GS54" s="562" t="str">
        <f t="shared" si="29"/>
        <v/>
      </c>
      <c r="GT54" s="562" t="str">
        <f t="shared" si="30"/>
        <v/>
      </c>
      <c r="GU54" s="562" t="str">
        <f t="shared" si="31"/>
        <v/>
      </c>
      <c r="GV54" s="562" t="str">
        <f t="shared" si="32"/>
        <v/>
      </c>
      <c r="GW54" s="562" t="str">
        <f t="shared" si="33"/>
        <v/>
      </c>
      <c r="GX54" s="562" t="str">
        <f t="shared" si="34"/>
        <v/>
      </c>
      <c r="GY54" s="562" t="str">
        <f t="shared" si="35"/>
        <v/>
      </c>
      <c r="GZ54" s="562" t="str">
        <f t="shared" si="36"/>
        <v/>
      </c>
      <c r="HA54" s="564" t="s">
        <v>1723</v>
      </c>
    </row>
    <row r="55" spans="2:209">
      <c r="B55" s="353">
        <v>51</v>
      </c>
      <c r="C55" s="352">
        <v>251</v>
      </c>
      <c r="D55" s="346" t="s">
        <v>1688</v>
      </c>
      <c r="E55" s="557" t="s">
        <v>13</v>
      </c>
      <c r="F55" s="555">
        <v>140</v>
      </c>
      <c r="G55" s="555">
        <v>5</v>
      </c>
      <c r="H55" s="555">
        <v>75</v>
      </c>
      <c r="I55" s="555">
        <v>60</v>
      </c>
      <c r="J55" s="551"/>
      <c r="K55" s="551"/>
      <c r="L55" s="551"/>
      <c r="M55" s="551"/>
      <c r="N55" s="551"/>
      <c r="O55" s="551"/>
      <c r="P55" s="551"/>
      <c r="Q55" s="551"/>
      <c r="R55" s="551"/>
      <c r="S55" s="551"/>
      <c r="T55" s="551"/>
      <c r="U55" s="551"/>
      <c r="V55" s="551"/>
      <c r="W55" s="551"/>
      <c r="X55" s="551"/>
      <c r="Y55" s="551"/>
      <c r="Z55" s="551"/>
      <c r="AA55" s="551"/>
      <c r="AB55" s="551"/>
      <c r="AC55" s="551"/>
      <c r="AD55" s="551"/>
      <c r="AE55" s="551"/>
      <c r="AF55" s="551"/>
      <c r="AG55" s="551"/>
      <c r="AH55" s="551"/>
      <c r="AI55" s="551"/>
      <c r="AJ55" s="556"/>
      <c r="AK55" s="556"/>
      <c r="AL55" s="556"/>
      <c r="AM55" s="551"/>
      <c r="AN55" s="555" t="s">
        <v>11</v>
      </c>
      <c r="AO55" s="526" t="s">
        <v>883</v>
      </c>
      <c r="AP55" s="526" t="s">
        <v>883</v>
      </c>
      <c r="AQ55" s="526" t="s">
        <v>883</v>
      </c>
      <c r="AR55" s="526" t="s">
        <v>883</v>
      </c>
      <c r="AS55" s="526" t="s">
        <v>883</v>
      </c>
      <c r="AT55" s="526" t="s">
        <v>883</v>
      </c>
      <c r="AU55" s="526" t="s">
        <v>883</v>
      </c>
      <c r="AV55" s="526" t="s">
        <v>883</v>
      </c>
      <c r="AW55" s="526" t="s">
        <v>883</v>
      </c>
      <c r="AX55" s="526" t="s">
        <v>883</v>
      </c>
      <c r="AY55" s="526" t="s">
        <v>883</v>
      </c>
      <c r="AZ55" s="526" t="s">
        <v>883</v>
      </c>
      <c r="BA55" s="526" t="s">
        <v>883</v>
      </c>
      <c r="BB55" s="526" t="s">
        <v>883</v>
      </c>
      <c r="BC55" s="526" t="s">
        <v>883</v>
      </c>
      <c r="BD55" s="526" t="s">
        <v>883</v>
      </c>
      <c r="BE55" s="526" t="s">
        <v>883</v>
      </c>
      <c r="BF55" s="526" t="s">
        <v>883</v>
      </c>
      <c r="BG55" s="526" t="s">
        <v>883</v>
      </c>
      <c r="BH55" s="526" t="s">
        <v>883</v>
      </c>
      <c r="BI55" s="526" t="s">
        <v>883</v>
      </c>
      <c r="BJ55" s="526" t="s">
        <v>883</v>
      </c>
      <c r="BK55" s="526" t="s">
        <v>883</v>
      </c>
      <c r="BL55" s="526" t="s">
        <v>883</v>
      </c>
      <c r="BM55" s="526">
        <v>0</v>
      </c>
      <c r="BN55" s="526">
        <v>0</v>
      </c>
      <c r="BO55" s="526">
        <v>0</v>
      </c>
      <c r="BP55" s="526">
        <v>0</v>
      </c>
      <c r="BQ55" s="526">
        <v>0</v>
      </c>
      <c r="BR55" s="526">
        <v>0</v>
      </c>
      <c r="BS55" s="526">
        <v>0</v>
      </c>
      <c r="BT55" s="526">
        <v>0</v>
      </c>
      <c r="BU55" s="526">
        <v>0</v>
      </c>
      <c r="BV55" s="526">
        <v>0</v>
      </c>
      <c r="BW55" s="526">
        <v>0</v>
      </c>
      <c r="BX55" s="526">
        <v>0</v>
      </c>
      <c r="BY55" s="558">
        <v>0</v>
      </c>
      <c r="BZ55" s="558">
        <v>0</v>
      </c>
      <c r="CA55" s="558">
        <v>0</v>
      </c>
      <c r="CB55" s="558">
        <v>0</v>
      </c>
      <c r="CC55" s="558">
        <v>0</v>
      </c>
      <c r="CD55" s="558">
        <v>0</v>
      </c>
      <c r="CE55" s="558">
        <v>0</v>
      </c>
      <c r="CF55" s="558">
        <v>0</v>
      </c>
      <c r="CG55" s="558">
        <v>0</v>
      </c>
      <c r="CH55" s="558">
        <v>0</v>
      </c>
      <c r="CI55" s="558">
        <v>0</v>
      </c>
      <c r="CJ55" s="558">
        <v>0</v>
      </c>
      <c r="CK55" s="526">
        <v>0</v>
      </c>
      <c r="CL55" s="526">
        <v>0</v>
      </c>
      <c r="CM55" s="526">
        <v>0</v>
      </c>
      <c r="CN55" s="526">
        <v>0</v>
      </c>
      <c r="CO55" s="526">
        <v>0</v>
      </c>
      <c r="CP55" s="526">
        <v>0</v>
      </c>
      <c r="CQ55" s="526">
        <v>0</v>
      </c>
      <c r="CR55" s="526">
        <v>0</v>
      </c>
      <c r="CS55" s="526">
        <v>0</v>
      </c>
      <c r="CT55" s="526">
        <v>0</v>
      </c>
      <c r="CU55" s="526">
        <v>0</v>
      </c>
      <c r="CV55" s="526">
        <v>0</v>
      </c>
      <c r="CW55" s="526" t="s">
        <v>13</v>
      </c>
      <c r="CX55" s="526">
        <v>9</v>
      </c>
      <c r="CY55" s="560"/>
      <c r="CZ55" s="560"/>
      <c r="DA55" s="560"/>
      <c r="DB55" s="560"/>
      <c r="DC55" s="560"/>
      <c r="DD55" s="560"/>
      <c r="DE55" s="560"/>
      <c r="DF55" s="560"/>
      <c r="DG55" s="560"/>
      <c r="DH55" s="560"/>
      <c r="DI55" s="560"/>
      <c r="DJ55" s="560"/>
      <c r="DK55" s="560"/>
      <c r="DL55" s="560"/>
      <c r="DM55" s="560"/>
      <c r="DN55" s="560"/>
      <c r="DO55" s="560"/>
      <c r="DP55" s="560"/>
      <c r="DQ55" s="560"/>
      <c r="DR55" s="560"/>
      <c r="DS55" s="560"/>
      <c r="DT55" s="560"/>
      <c r="DU55" s="560"/>
      <c r="DV55" s="560"/>
      <c r="DW55" s="560"/>
      <c r="DX55" s="560"/>
      <c r="DY55" s="560"/>
      <c r="DZ55" s="560"/>
      <c r="EA55" s="560"/>
      <c r="EB55" s="560"/>
      <c r="EC55" s="560"/>
      <c r="ED55" s="560"/>
      <c r="EE55" s="560"/>
      <c r="EF55" s="560"/>
      <c r="EG55" s="560"/>
      <c r="EH55" s="560"/>
      <c r="EI55" s="526" t="s">
        <v>1133</v>
      </c>
      <c r="EJ55" s="526" t="s">
        <v>1133</v>
      </c>
      <c r="EK55" s="526" t="s">
        <v>1133</v>
      </c>
      <c r="EL55" s="526" t="s">
        <v>1133</v>
      </c>
      <c r="EM55" s="526" t="s">
        <v>1133</v>
      </c>
      <c r="EN55" s="526" t="s">
        <v>1133</v>
      </c>
      <c r="EO55" s="526" t="s">
        <v>1133</v>
      </c>
      <c r="EP55" s="526" t="s">
        <v>1133</v>
      </c>
      <c r="EQ55" s="526" t="s">
        <v>1133</v>
      </c>
      <c r="ER55" s="526" t="s">
        <v>1133</v>
      </c>
      <c r="ES55" s="526" t="s">
        <v>1133</v>
      </c>
      <c r="ET55" s="526" t="s">
        <v>1133</v>
      </c>
      <c r="EU55" s="526">
        <v>4200</v>
      </c>
      <c r="EV55" s="526">
        <v>4070</v>
      </c>
      <c r="EW55" s="526" t="s">
        <v>1592</v>
      </c>
      <c r="EX55" s="526" t="s">
        <v>1592</v>
      </c>
      <c r="EY55" s="526" t="s">
        <v>1592</v>
      </c>
      <c r="EZ55" s="526" t="s">
        <v>1592</v>
      </c>
      <c r="FA55" s="526" t="s">
        <v>1592</v>
      </c>
      <c r="FB55" s="526" t="s">
        <v>1592</v>
      </c>
      <c r="FC55" s="526" t="s">
        <v>1592</v>
      </c>
      <c r="FD55" s="526" t="s">
        <v>1592</v>
      </c>
      <c r="FE55" s="526" t="s">
        <v>1592</v>
      </c>
      <c r="FF55" s="526" t="s">
        <v>1592</v>
      </c>
      <c r="FG55" s="526" t="s">
        <v>1592</v>
      </c>
      <c r="FH55" s="526" t="s">
        <v>1592</v>
      </c>
      <c r="FI55" s="526">
        <v>81</v>
      </c>
      <c r="FJ55" s="526">
        <v>81</v>
      </c>
      <c r="FK55" s="526">
        <v>81</v>
      </c>
      <c r="FL55" s="526">
        <v>81</v>
      </c>
      <c r="FM55" s="526">
        <v>81</v>
      </c>
      <c r="FN55" s="526">
        <v>81</v>
      </c>
      <c r="FO55" s="526">
        <v>79</v>
      </c>
      <c r="FP55" s="526">
        <v>79</v>
      </c>
      <c r="FQ55" s="526">
        <v>79</v>
      </c>
      <c r="FR55" s="526">
        <v>79</v>
      </c>
      <c r="FS55" s="526">
        <v>46</v>
      </c>
      <c r="FT55" s="526">
        <v>46</v>
      </c>
      <c r="FU55" s="526">
        <v>46</v>
      </c>
      <c r="FV55" s="526">
        <v>46</v>
      </c>
      <c r="FW55" s="526">
        <v>45</v>
      </c>
      <c r="FX55" s="526">
        <v>45</v>
      </c>
      <c r="FY55" s="526">
        <v>47</v>
      </c>
      <c r="FZ55" s="526">
        <v>48</v>
      </c>
      <c r="GA55" s="526">
        <v>48</v>
      </c>
      <c r="GB55" s="526">
        <v>48</v>
      </c>
      <c r="GC55" s="526" t="s">
        <v>883</v>
      </c>
      <c r="GD55" s="526" t="s">
        <v>883</v>
      </c>
      <c r="GE55" s="526" t="s">
        <v>883</v>
      </c>
      <c r="GF55" s="526" t="s">
        <v>883</v>
      </c>
      <c r="GG55" s="526" t="s">
        <v>883</v>
      </c>
      <c r="GH55" s="526" t="s">
        <v>883</v>
      </c>
      <c r="GI55" s="526" t="s">
        <v>883</v>
      </c>
      <c r="GJ55" s="526" t="s">
        <v>883</v>
      </c>
      <c r="GK55" s="526" t="s">
        <v>883</v>
      </c>
      <c r="GL55" s="526" t="s">
        <v>883</v>
      </c>
      <c r="GM55" s="526" t="s">
        <v>883</v>
      </c>
      <c r="GN55" s="526" t="s">
        <v>883</v>
      </c>
      <c r="GO55" s="562" t="str">
        <f t="shared" si="25"/>
        <v/>
      </c>
      <c r="GP55" s="562" t="str">
        <f t="shared" si="26"/>
        <v/>
      </c>
      <c r="GQ55" s="562" t="str">
        <f t="shared" si="27"/>
        <v/>
      </c>
      <c r="GR55" s="562" t="str">
        <f t="shared" si="28"/>
        <v/>
      </c>
      <c r="GS55" s="562" t="str">
        <f t="shared" si="29"/>
        <v/>
      </c>
      <c r="GT55" s="562" t="str">
        <f t="shared" si="30"/>
        <v/>
      </c>
      <c r="GU55" s="562" t="str">
        <f t="shared" si="31"/>
        <v/>
      </c>
      <c r="GV55" s="562" t="str">
        <f t="shared" si="32"/>
        <v/>
      </c>
      <c r="GW55" s="562" t="str">
        <f t="shared" si="33"/>
        <v/>
      </c>
      <c r="GX55" s="562" t="str">
        <f t="shared" si="34"/>
        <v/>
      </c>
      <c r="GY55" s="562" t="str">
        <f t="shared" si="35"/>
        <v/>
      </c>
      <c r="GZ55" s="562" t="str">
        <f t="shared" si="36"/>
        <v/>
      </c>
      <c r="HA55" s="564" t="s">
        <v>1724</v>
      </c>
    </row>
    <row r="56" spans="2:209">
      <c r="B56" s="353">
        <v>52</v>
      </c>
      <c r="C56" s="352">
        <v>252</v>
      </c>
      <c r="D56" s="346" t="s">
        <v>1691</v>
      </c>
      <c r="E56" s="557" t="s">
        <v>13</v>
      </c>
      <c r="F56" s="555">
        <v>135</v>
      </c>
      <c r="G56" s="555">
        <v>105</v>
      </c>
      <c r="H56" s="555">
        <v>30</v>
      </c>
      <c r="I56" s="555">
        <v>0</v>
      </c>
      <c r="J56" s="551"/>
      <c r="K56" s="551"/>
      <c r="L56" s="551"/>
      <c r="M56" s="551"/>
      <c r="N56" s="551"/>
      <c r="O56" s="551"/>
      <c r="P56" s="551"/>
      <c r="Q56" s="551"/>
      <c r="R56" s="551"/>
      <c r="S56" s="551"/>
      <c r="T56" s="551"/>
      <c r="U56" s="551"/>
      <c r="V56" s="551"/>
      <c r="W56" s="551"/>
      <c r="X56" s="551"/>
      <c r="Y56" s="551"/>
      <c r="Z56" s="551"/>
      <c r="AA56" s="551"/>
      <c r="AB56" s="551"/>
      <c r="AC56" s="551"/>
      <c r="AD56" s="551"/>
      <c r="AE56" s="551"/>
      <c r="AF56" s="551"/>
      <c r="AG56" s="551"/>
      <c r="AH56" s="551"/>
      <c r="AI56" s="551"/>
      <c r="AJ56" s="556"/>
      <c r="AK56" s="556"/>
      <c r="AL56" s="556"/>
      <c r="AM56" s="551"/>
      <c r="AN56" s="555" t="s">
        <v>11</v>
      </c>
      <c r="AO56" s="526" t="s">
        <v>883</v>
      </c>
      <c r="AP56" s="526" t="s">
        <v>883</v>
      </c>
      <c r="AQ56" s="526" t="s">
        <v>883</v>
      </c>
      <c r="AR56" s="526" t="s">
        <v>883</v>
      </c>
      <c r="AS56" s="526" t="s">
        <v>883</v>
      </c>
      <c r="AT56" s="526" t="s">
        <v>883</v>
      </c>
      <c r="AU56" s="526" t="s">
        <v>883</v>
      </c>
      <c r="AV56" s="526" t="s">
        <v>883</v>
      </c>
      <c r="AW56" s="526" t="s">
        <v>883</v>
      </c>
      <c r="AX56" s="526" t="s">
        <v>883</v>
      </c>
      <c r="AY56" s="526" t="s">
        <v>883</v>
      </c>
      <c r="AZ56" s="526" t="s">
        <v>883</v>
      </c>
      <c r="BA56" s="526" t="s">
        <v>883</v>
      </c>
      <c r="BB56" s="526" t="s">
        <v>883</v>
      </c>
      <c r="BC56" s="526" t="s">
        <v>883</v>
      </c>
      <c r="BD56" s="526" t="s">
        <v>883</v>
      </c>
      <c r="BE56" s="526" t="s">
        <v>883</v>
      </c>
      <c r="BF56" s="526" t="s">
        <v>883</v>
      </c>
      <c r="BG56" s="526" t="s">
        <v>883</v>
      </c>
      <c r="BH56" s="526" t="s">
        <v>883</v>
      </c>
      <c r="BI56" s="526" t="s">
        <v>883</v>
      </c>
      <c r="BJ56" s="526" t="s">
        <v>883</v>
      </c>
      <c r="BK56" s="526" t="s">
        <v>883</v>
      </c>
      <c r="BL56" s="526" t="s">
        <v>883</v>
      </c>
      <c r="BM56" s="526">
        <v>0</v>
      </c>
      <c r="BN56" s="526">
        <v>0</v>
      </c>
      <c r="BO56" s="526">
        <v>0</v>
      </c>
      <c r="BP56" s="526">
        <v>0</v>
      </c>
      <c r="BQ56" s="526">
        <v>0</v>
      </c>
      <c r="BR56" s="526">
        <v>0</v>
      </c>
      <c r="BS56" s="526">
        <v>0</v>
      </c>
      <c r="BT56" s="526">
        <v>0</v>
      </c>
      <c r="BU56" s="526">
        <v>0</v>
      </c>
      <c r="BV56" s="526">
        <v>0</v>
      </c>
      <c r="BW56" s="526">
        <v>0</v>
      </c>
      <c r="BX56" s="526">
        <v>0</v>
      </c>
      <c r="BY56" s="558">
        <v>0</v>
      </c>
      <c r="BZ56" s="558">
        <v>0</v>
      </c>
      <c r="CA56" s="558">
        <v>0</v>
      </c>
      <c r="CB56" s="558">
        <v>0</v>
      </c>
      <c r="CC56" s="558">
        <v>0</v>
      </c>
      <c r="CD56" s="558">
        <v>0</v>
      </c>
      <c r="CE56" s="558">
        <v>0</v>
      </c>
      <c r="CF56" s="558">
        <v>0</v>
      </c>
      <c r="CG56" s="558">
        <v>0</v>
      </c>
      <c r="CH56" s="558">
        <v>0</v>
      </c>
      <c r="CI56" s="558">
        <v>0</v>
      </c>
      <c r="CJ56" s="558">
        <v>0</v>
      </c>
      <c r="CK56" s="526">
        <v>0</v>
      </c>
      <c r="CL56" s="526">
        <v>0</v>
      </c>
      <c r="CM56" s="526">
        <v>0</v>
      </c>
      <c r="CN56" s="526">
        <v>0</v>
      </c>
      <c r="CO56" s="526">
        <v>0</v>
      </c>
      <c r="CP56" s="526">
        <v>0</v>
      </c>
      <c r="CQ56" s="526">
        <v>0</v>
      </c>
      <c r="CR56" s="526">
        <v>0</v>
      </c>
      <c r="CS56" s="526">
        <v>0</v>
      </c>
      <c r="CT56" s="526">
        <v>0</v>
      </c>
      <c r="CU56" s="526">
        <v>0</v>
      </c>
      <c r="CV56" s="526">
        <v>0</v>
      </c>
      <c r="CW56" s="526" t="s">
        <v>13</v>
      </c>
      <c r="CX56" s="526">
        <v>10</v>
      </c>
      <c r="CY56" s="560"/>
      <c r="CZ56" s="560"/>
      <c r="DA56" s="560"/>
      <c r="DB56" s="560"/>
      <c r="DC56" s="560"/>
      <c r="DD56" s="560"/>
      <c r="DE56" s="560"/>
      <c r="DF56" s="560"/>
      <c r="DG56" s="560"/>
      <c r="DH56" s="560"/>
      <c r="DI56" s="560"/>
      <c r="DJ56" s="560"/>
      <c r="DK56" s="560"/>
      <c r="DL56" s="560"/>
      <c r="DM56" s="560"/>
      <c r="DN56" s="560"/>
      <c r="DO56" s="560"/>
      <c r="DP56" s="560"/>
      <c r="DQ56" s="560"/>
      <c r="DR56" s="560"/>
      <c r="DS56" s="560"/>
      <c r="DT56" s="560"/>
      <c r="DU56" s="560"/>
      <c r="DV56" s="560"/>
      <c r="DW56" s="560"/>
      <c r="DX56" s="560"/>
      <c r="DY56" s="560"/>
      <c r="DZ56" s="560"/>
      <c r="EA56" s="560"/>
      <c r="EB56" s="560"/>
      <c r="EC56" s="560"/>
      <c r="ED56" s="560"/>
      <c r="EE56" s="560"/>
      <c r="EF56" s="560"/>
      <c r="EG56" s="560"/>
      <c r="EH56" s="560"/>
      <c r="EI56" s="526" t="s">
        <v>1133</v>
      </c>
      <c r="EJ56" s="526" t="s">
        <v>1133</v>
      </c>
      <c r="EK56" s="526" t="s">
        <v>1133</v>
      </c>
      <c r="EL56" s="526" t="s">
        <v>1133</v>
      </c>
      <c r="EM56" s="526" t="s">
        <v>1133</v>
      </c>
      <c r="EN56" s="526" t="s">
        <v>1133</v>
      </c>
      <c r="EO56" s="526" t="s">
        <v>1133</v>
      </c>
      <c r="EP56" s="526" t="s">
        <v>1133</v>
      </c>
      <c r="EQ56" s="526" t="s">
        <v>1133</v>
      </c>
      <c r="ER56" s="526" t="s">
        <v>1133</v>
      </c>
      <c r="ES56" s="526" t="s">
        <v>1133</v>
      </c>
      <c r="ET56" s="526" t="s">
        <v>1133</v>
      </c>
      <c r="EU56" s="526">
        <v>4200</v>
      </c>
      <c r="EV56" s="526">
        <v>4070</v>
      </c>
      <c r="EW56" s="526" t="s">
        <v>1592</v>
      </c>
      <c r="EX56" s="526" t="s">
        <v>1592</v>
      </c>
      <c r="EY56" s="526" t="s">
        <v>1592</v>
      </c>
      <c r="EZ56" s="526" t="s">
        <v>1592</v>
      </c>
      <c r="FA56" s="526" t="s">
        <v>1592</v>
      </c>
      <c r="FB56" s="526" t="s">
        <v>1592</v>
      </c>
      <c r="FC56" s="526" t="s">
        <v>1592</v>
      </c>
      <c r="FD56" s="526" t="s">
        <v>1592</v>
      </c>
      <c r="FE56" s="526" t="s">
        <v>1592</v>
      </c>
      <c r="FF56" s="526" t="s">
        <v>1592</v>
      </c>
      <c r="FG56" s="526" t="s">
        <v>1592</v>
      </c>
      <c r="FH56" s="526" t="s">
        <v>1592</v>
      </c>
      <c r="FI56" s="526">
        <v>81</v>
      </c>
      <c r="FJ56" s="526">
        <v>81</v>
      </c>
      <c r="FK56" s="526">
        <v>81</v>
      </c>
      <c r="FL56" s="526">
        <v>81</v>
      </c>
      <c r="FM56" s="526">
        <v>81</v>
      </c>
      <c r="FN56" s="526">
        <v>81</v>
      </c>
      <c r="FO56" s="526">
        <v>79</v>
      </c>
      <c r="FP56" s="526">
        <v>79</v>
      </c>
      <c r="FQ56" s="526">
        <v>79</v>
      </c>
      <c r="FR56" s="526">
        <v>79</v>
      </c>
      <c r="FS56" s="526">
        <v>46</v>
      </c>
      <c r="FT56" s="526">
        <v>46</v>
      </c>
      <c r="FU56" s="526">
        <v>46</v>
      </c>
      <c r="FV56" s="526">
        <v>46</v>
      </c>
      <c r="FW56" s="526">
        <v>45</v>
      </c>
      <c r="FX56" s="526">
        <v>45</v>
      </c>
      <c r="FY56" s="526">
        <v>47</v>
      </c>
      <c r="FZ56" s="526">
        <v>48</v>
      </c>
      <c r="GA56" s="526">
        <v>48</v>
      </c>
      <c r="GB56" s="526">
        <v>48</v>
      </c>
      <c r="GC56" s="526" t="s">
        <v>883</v>
      </c>
      <c r="GD56" s="526" t="s">
        <v>883</v>
      </c>
      <c r="GE56" s="526" t="s">
        <v>883</v>
      </c>
      <c r="GF56" s="526" t="s">
        <v>883</v>
      </c>
      <c r="GG56" s="526" t="s">
        <v>883</v>
      </c>
      <c r="GH56" s="526" t="s">
        <v>883</v>
      </c>
      <c r="GI56" s="526" t="s">
        <v>883</v>
      </c>
      <c r="GJ56" s="526" t="s">
        <v>883</v>
      </c>
      <c r="GK56" s="526" t="s">
        <v>883</v>
      </c>
      <c r="GL56" s="526" t="s">
        <v>883</v>
      </c>
      <c r="GM56" s="526" t="s">
        <v>883</v>
      </c>
      <c r="GN56" s="526" t="s">
        <v>883</v>
      </c>
      <c r="GO56" s="562" t="str">
        <f t="shared" si="25"/>
        <v/>
      </c>
      <c r="GP56" s="562" t="str">
        <f t="shared" si="26"/>
        <v/>
      </c>
      <c r="GQ56" s="562" t="str">
        <f t="shared" si="27"/>
        <v/>
      </c>
      <c r="GR56" s="562" t="str">
        <f t="shared" si="28"/>
        <v/>
      </c>
      <c r="GS56" s="562" t="str">
        <f t="shared" si="29"/>
        <v/>
      </c>
      <c r="GT56" s="562" t="str">
        <f t="shared" si="30"/>
        <v/>
      </c>
      <c r="GU56" s="562" t="str">
        <f t="shared" si="31"/>
        <v/>
      </c>
      <c r="GV56" s="562" t="str">
        <f t="shared" si="32"/>
        <v/>
      </c>
      <c r="GW56" s="562" t="str">
        <f t="shared" si="33"/>
        <v/>
      </c>
      <c r="GX56" s="562" t="str">
        <f t="shared" si="34"/>
        <v/>
      </c>
      <c r="GY56" s="562" t="str">
        <f t="shared" si="35"/>
        <v/>
      </c>
      <c r="GZ56" s="562" t="str">
        <f t="shared" si="36"/>
        <v/>
      </c>
      <c r="HA56" s="564" t="s">
        <v>1723</v>
      </c>
    </row>
    <row r="57" spans="2:209">
      <c r="B57" s="353">
        <v>53</v>
      </c>
      <c r="C57" s="352">
        <v>253</v>
      </c>
      <c r="D57" s="346" t="s">
        <v>1694</v>
      </c>
      <c r="E57" s="557" t="s">
        <v>13</v>
      </c>
      <c r="F57" s="555">
        <v>135</v>
      </c>
      <c r="G57" s="555">
        <v>105</v>
      </c>
      <c r="H57" s="555">
        <v>30</v>
      </c>
      <c r="I57" s="555">
        <v>0</v>
      </c>
      <c r="J57" s="551"/>
      <c r="K57" s="551"/>
      <c r="L57" s="551"/>
      <c r="M57" s="551"/>
      <c r="N57" s="551"/>
      <c r="O57" s="551"/>
      <c r="P57" s="551"/>
      <c r="Q57" s="551"/>
      <c r="R57" s="551"/>
      <c r="S57" s="551"/>
      <c r="T57" s="551"/>
      <c r="U57" s="551"/>
      <c r="V57" s="551"/>
      <c r="W57" s="551"/>
      <c r="X57" s="551"/>
      <c r="Y57" s="551"/>
      <c r="Z57" s="551"/>
      <c r="AA57" s="551"/>
      <c r="AB57" s="551"/>
      <c r="AC57" s="551"/>
      <c r="AD57" s="551"/>
      <c r="AE57" s="551"/>
      <c r="AF57" s="551"/>
      <c r="AG57" s="551"/>
      <c r="AH57" s="551"/>
      <c r="AI57" s="551"/>
      <c r="AJ57" s="556"/>
      <c r="AK57" s="556"/>
      <c r="AL57" s="556"/>
      <c r="AM57" s="551"/>
      <c r="AN57" s="555" t="s">
        <v>11</v>
      </c>
      <c r="AO57" s="526" t="s">
        <v>883</v>
      </c>
      <c r="AP57" s="526" t="s">
        <v>883</v>
      </c>
      <c r="AQ57" s="526" t="s">
        <v>883</v>
      </c>
      <c r="AR57" s="526" t="s">
        <v>883</v>
      </c>
      <c r="AS57" s="526" t="s">
        <v>883</v>
      </c>
      <c r="AT57" s="526" t="s">
        <v>883</v>
      </c>
      <c r="AU57" s="526" t="s">
        <v>883</v>
      </c>
      <c r="AV57" s="526" t="s">
        <v>883</v>
      </c>
      <c r="AW57" s="526" t="s">
        <v>883</v>
      </c>
      <c r="AX57" s="526" t="s">
        <v>883</v>
      </c>
      <c r="AY57" s="526" t="s">
        <v>883</v>
      </c>
      <c r="AZ57" s="526" t="s">
        <v>883</v>
      </c>
      <c r="BA57" s="526" t="s">
        <v>883</v>
      </c>
      <c r="BB57" s="526" t="s">
        <v>883</v>
      </c>
      <c r="BC57" s="526" t="s">
        <v>883</v>
      </c>
      <c r="BD57" s="526" t="s">
        <v>883</v>
      </c>
      <c r="BE57" s="526" t="s">
        <v>883</v>
      </c>
      <c r="BF57" s="526" t="s">
        <v>883</v>
      </c>
      <c r="BG57" s="526" t="s">
        <v>883</v>
      </c>
      <c r="BH57" s="526" t="s">
        <v>883</v>
      </c>
      <c r="BI57" s="526" t="s">
        <v>883</v>
      </c>
      <c r="BJ57" s="526" t="s">
        <v>883</v>
      </c>
      <c r="BK57" s="526" t="s">
        <v>883</v>
      </c>
      <c r="BL57" s="526" t="s">
        <v>883</v>
      </c>
      <c r="BM57" s="526">
        <v>0</v>
      </c>
      <c r="BN57" s="526">
        <v>0</v>
      </c>
      <c r="BO57" s="526">
        <v>0</v>
      </c>
      <c r="BP57" s="526">
        <v>0</v>
      </c>
      <c r="BQ57" s="526">
        <v>0</v>
      </c>
      <c r="BR57" s="526">
        <v>0</v>
      </c>
      <c r="BS57" s="526">
        <v>0</v>
      </c>
      <c r="BT57" s="526">
        <v>0</v>
      </c>
      <c r="BU57" s="526">
        <v>0</v>
      </c>
      <c r="BV57" s="526">
        <v>0</v>
      </c>
      <c r="BW57" s="526">
        <v>0</v>
      </c>
      <c r="BX57" s="526">
        <v>0</v>
      </c>
      <c r="BY57" s="558">
        <v>0</v>
      </c>
      <c r="BZ57" s="558">
        <v>0</v>
      </c>
      <c r="CA57" s="558">
        <v>0</v>
      </c>
      <c r="CB57" s="558">
        <v>0</v>
      </c>
      <c r="CC57" s="558">
        <v>0</v>
      </c>
      <c r="CD57" s="558">
        <v>0</v>
      </c>
      <c r="CE57" s="558">
        <v>0</v>
      </c>
      <c r="CF57" s="558">
        <v>0</v>
      </c>
      <c r="CG57" s="558">
        <v>0</v>
      </c>
      <c r="CH57" s="558">
        <v>0</v>
      </c>
      <c r="CI57" s="558">
        <v>0</v>
      </c>
      <c r="CJ57" s="558">
        <v>0</v>
      </c>
      <c r="CK57" s="526">
        <v>0</v>
      </c>
      <c r="CL57" s="526">
        <v>0</v>
      </c>
      <c r="CM57" s="526">
        <v>0</v>
      </c>
      <c r="CN57" s="526">
        <v>0</v>
      </c>
      <c r="CO57" s="526">
        <v>0</v>
      </c>
      <c r="CP57" s="526">
        <v>0</v>
      </c>
      <c r="CQ57" s="526">
        <v>0</v>
      </c>
      <c r="CR57" s="526">
        <v>0</v>
      </c>
      <c r="CS57" s="526">
        <v>0</v>
      </c>
      <c r="CT57" s="526">
        <v>0</v>
      </c>
      <c r="CU57" s="526">
        <v>0</v>
      </c>
      <c r="CV57" s="526">
        <v>0</v>
      </c>
      <c r="CW57" s="526" t="s">
        <v>13</v>
      </c>
      <c r="CX57" s="526">
        <v>11</v>
      </c>
      <c r="CY57" s="560"/>
      <c r="CZ57" s="560"/>
      <c r="DA57" s="560"/>
      <c r="DB57" s="560"/>
      <c r="DC57" s="560"/>
      <c r="DD57" s="560"/>
      <c r="DE57" s="560"/>
      <c r="DF57" s="560"/>
      <c r="DG57" s="560"/>
      <c r="DH57" s="560"/>
      <c r="DI57" s="560"/>
      <c r="DJ57" s="560"/>
      <c r="DK57" s="560"/>
      <c r="DL57" s="560"/>
      <c r="DM57" s="560"/>
      <c r="DN57" s="560"/>
      <c r="DO57" s="560"/>
      <c r="DP57" s="560"/>
      <c r="DQ57" s="560"/>
      <c r="DR57" s="560"/>
      <c r="DS57" s="560"/>
      <c r="DT57" s="560"/>
      <c r="DU57" s="560"/>
      <c r="DV57" s="560"/>
      <c r="DW57" s="560"/>
      <c r="DX57" s="560"/>
      <c r="DY57" s="560"/>
      <c r="DZ57" s="560"/>
      <c r="EA57" s="560"/>
      <c r="EB57" s="560"/>
      <c r="EC57" s="560"/>
      <c r="ED57" s="560"/>
      <c r="EE57" s="560"/>
      <c r="EF57" s="560"/>
      <c r="EG57" s="560"/>
      <c r="EH57" s="560"/>
      <c r="EI57" s="526" t="s">
        <v>1133</v>
      </c>
      <c r="EJ57" s="526" t="s">
        <v>1133</v>
      </c>
      <c r="EK57" s="526" t="s">
        <v>1133</v>
      </c>
      <c r="EL57" s="526" t="s">
        <v>1133</v>
      </c>
      <c r="EM57" s="526" t="s">
        <v>1133</v>
      </c>
      <c r="EN57" s="526" t="s">
        <v>1133</v>
      </c>
      <c r="EO57" s="526" t="s">
        <v>1133</v>
      </c>
      <c r="EP57" s="526" t="s">
        <v>1133</v>
      </c>
      <c r="EQ57" s="526" t="s">
        <v>1133</v>
      </c>
      <c r="ER57" s="526" t="s">
        <v>1133</v>
      </c>
      <c r="ES57" s="526" t="s">
        <v>1133</v>
      </c>
      <c r="ET57" s="526" t="s">
        <v>1133</v>
      </c>
      <c r="EU57" s="526">
        <v>4200</v>
      </c>
      <c r="EV57" s="526">
        <v>4070</v>
      </c>
      <c r="EW57" s="526" t="s">
        <v>1592</v>
      </c>
      <c r="EX57" s="526" t="s">
        <v>1592</v>
      </c>
      <c r="EY57" s="526" t="s">
        <v>1592</v>
      </c>
      <c r="EZ57" s="526" t="s">
        <v>1592</v>
      </c>
      <c r="FA57" s="526" t="s">
        <v>1592</v>
      </c>
      <c r="FB57" s="526" t="s">
        <v>1592</v>
      </c>
      <c r="FC57" s="526" t="s">
        <v>1592</v>
      </c>
      <c r="FD57" s="526" t="s">
        <v>1592</v>
      </c>
      <c r="FE57" s="526" t="s">
        <v>1592</v>
      </c>
      <c r="FF57" s="526" t="s">
        <v>1592</v>
      </c>
      <c r="FG57" s="526" t="s">
        <v>1592</v>
      </c>
      <c r="FH57" s="526" t="s">
        <v>1592</v>
      </c>
      <c r="FI57" s="526">
        <v>81</v>
      </c>
      <c r="FJ57" s="526">
        <v>81</v>
      </c>
      <c r="FK57" s="526">
        <v>81</v>
      </c>
      <c r="FL57" s="526">
        <v>81</v>
      </c>
      <c r="FM57" s="526">
        <v>81</v>
      </c>
      <c r="FN57" s="526">
        <v>81</v>
      </c>
      <c r="FO57" s="526">
        <v>79</v>
      </c>
      <c r="FP57" s="526">
        <v>79</v>
      </c>
      <c r="FQ57" s="526">
        <v>79</v>
      </c>
      <c r="FR57" s="526">
        <v>79</v>
      </c>
      <c r="FS57" s="526">
        <v>46</v>
      </c>
      <c r="FT57" s="526">
        <v>46</v>
      </c>
      <c r="FU57" s="526">
        <v>46</v>
      </c>
      <c r="FV57" s="526">
        <v>46</v>
      </c>
      <c r="FW57" s="526">
        <v>45</v>
      </c>
      <c r="FX57" s="526">
        <v>45</v>
      </c>
      <c r="FY57" s="526">
        <v>47</v>
      </c>
      <c r="FZ57" s="526">
        <v>48</v>
      </c>
      <c r="GA57" s="526">
        <v>48</v>
      </c>
      <c r="GB57" s="526">
        <v>48</v>
      </c>
      <c r="GC57" s="526" t="s">
        <v>883</v>
      </c>
      <c r="GD57" s="526" t="s">
        <v>883</v>
      </c>
      <c r="GE57" s="526" t="s">
        <v>883</v>
      </c>
      <c r="GF57" s="526" t="s">
        <v>883</v>
      </c>
      <c r="GG57" s="526" t="s">
        <v>883</v>
      </c>
      <c r="GH57" s="526" t="s">
        <v>883</v>
      </c>
      <c r="GI57" s="526" t="s">
        <v>883</v>
      </c>
      <c r="GJ57" s="526" t="s">
        <v>883</v>
      </c>
      <c r="GK57" s="526" t="s">
        <v>883</v>
      </c>
      <c r="GL57" s="526" t="s">
        <v>883</v>
      </c>
      <c r="GM57" s="526" t="s">
        <v>883</v>
      </c>
      <c r="GN57" s="526" t="s">
        <v>883</v>
      </c>
      <c r="GO57" s="562" t="str">
        <f t="shared" si="25"/>
        <v/>
      </c>
      <c r="GP57" s="562" t="str">
        <f t="shared" si="26"/>
        <v/>
      </c>
      <c r="GQ57" s="562" t="str">
        <f t="shared" si="27"/>
        <v/>
      </c>
      <c r="GR57" s="562" t="str">
        <f t="shared" si="28"/>
        <v/>
      </c>
      <c r="GS57" s="562" t="str">
        <f t="shared" si="29"/>
        <v/>
      </c>
      <c r="GT57" s="562" t="str">
        <f t="shared" si="30"/>
        <v/>
      </c>
      <c r="GU57" s="562" t="str">
        <f t="shared" si="31"/>
        <v/>
      </c>
      <c r="GV57" s="562" t="str">
        <f t="shared" si="32"/>
        <v/>
      </c>
      <c r="GW57" s="562" t="str">
        <f t="shared" si="33"/>
        <v/>
      </c>
      <c r="GX57" s="562" t="str">
        <f t="shared" si="34"/>
        <v/>
      </c>
      <c r="GY57" s="562" t="str">
        <f t="shared" si="35"/>
        <v/>
      </c>
      <c r="GZ57" s="562" t="str">
        <f t="shared" si="36"/>
        <v/>
      </c>
      <c r="HA57" s="564" t="s">
        <v>1723</v>
      </c>
    </row>
    <row r="58" spans="2:209">
      <c r="B58" s="353">
        <v>54</v>
      </c>
      <c r="C58" s="352">
        <v>254</v>
      </c>
      <c r="D58" s="346" t="s">
        <v>1697</v>
      </c>
      <c r="E58" s="557" t="s">
        <v>13</v>
      </c>
      <c r="F58" s="555">
        <v>210</v>
      </c>
      <c r="G58" s="555">
        <v>150</v>
      </c>
      <c r="H58" s="555">
        <v>60</v>
      </c>
      <c r="I58" s="555">
        <v>0</v>
      </c>
      <c r="J58" s="551"/>
      <c r="K58" s="551"/>
      <c r="L58" s="551"/>
      <c r="M58" s="551"/>
      <c r="N58" s="551"/>
      <c r="O58" s="551"/>
      <c r="P58" s="551"/>
      <c r="Q58" s="551"/>
      <c r="R58" s="551"/>
      <c r="S58" s="551"/>
      <c r="T58" s="551"/>
      <c r="U58" s="551"/>
      <c r="V58" s="551"/>
      <c r="W58" s="551"/>
      <c r="X58" s="551"/>
      <c r="Y58" s="551"/>
      <c r="Z58" s="551"/>
      <c r="AA58" s="551"/>
      <c r="AB58" s="551"/>
      <c r="AC58" s="551"/>
      <c r="AD58" s="551"/>
      <c r="AE58" s="551"/>
      <c r="AF58" s="551"/>
      <c r="AG58" s="551"/>
      <c r="AH58" s="551"/>
      <c r="AI58" s="551"/>
      <c r="AJ58" s="556"/>
      <c r="AK58" s="556"/>
      <c r="AL58" s="556"/>
      <c r="AM58" s="551"/>
      <c r="AN58" s="555" t="s">
        <v>11</v>
      </c>
      <c r="AO58" s="526" t="s">
        <v>883</v>
      </c>
      <c r="AP58" s="526" t="s">
        <v>883</v>
      </c>
      <c r="AQ58" s="526" t="s">
        <v>883</v>
      </c>
      <c r="AR58" s="526" t="s">
        <v>883</v>
      </c>
      <c r="AS58" s="526" t="s">
        <v>883</v>
      </c>
      <c r="AT58" s="526" t="s">
        <v>883</v>
      </c>
      <c r="AU58" s="526" t="s">
        <v>883</v>
      </c>
      <c r="AV58" s="526" t="s">
        <v>883</v>
      </c>
      <c r="AW58" s="526" t="s">
        <v>883</v>
      </c>
      <c r="AX58" s="526" t="s">
        <v>883</v>
      </c>
      <c r="AY58" s="526" t="s">
        <v>883</v>
      </c>
      <c r="AZ58" s="526" t="s">
        <v>883</v>
      </c>
      <c r="BA58" s="526" t="s">
        <v>883</v>
      </c>
      <c r="BB58" s="526" t="s">
        <v>883</v>
      </c>
      <c r="BC58" s="526" t="s">
        <v>883</v>
      </c>
      <c r="BD58" s="526" t="s">
        <v>883</v>
      </c>
      <c r="BE58" s="526" t="s">
        <v>883</v>
      </c>
      <c r="BF58" s="526" t="s">
        <v>883</v>
      </c>
      <c r="BG58" s="526" t="s">
        <v>883</v>
      </c>
      <c r="BH58" s="526" t="s">
        <v>883</v>
      </c>
      <c r="BI58" s="526" t="s">
        <v>883</v>
      </c>
      <c r="BJ58" s="526" t="s">
        <v>883</v>
      </c>
      <c r="BK58" s="526" t="s">
        <v>883</v>
      </c>
      <c r="BL58" s="526" t="s">
        <v>883</v>
      </c>
      <c r="BM58" s="526">
        <v>0</v>
      </c>
      <c r="BN58" s="526">
        <v>0</v>
      </c>
      <c r="BO58" s="526">
        <v>0</v>
      </c>
      <c r="BP58" s="526">
        <v>0</v>
      </c>
      <c r="BQ58" s="526">
        <v>0</v>
      </c>
      <c r="BR58" s="526">
        <v>0</v>
      </c>
      <c r="BS58" s="526">
        <v>0</v>
      </c>
      <c r="BT58" s="526">
        <v>0</v>
      </c>
      <c r="BU58" s="526">
        <v>0</v>
      </c>
      <c r="BV58" s="526">
        <v>0</v>
      </c>
      <c r="BW58" s="526">
        <v>0</v>
      </c>
      <c r="BX58" s="526">
        <v>0</v>
      </c>
      <c r="BY58" s="558">
        <v>0</v>
      </c>
      <c r="BZ58" s="558">
        <v>0</v>
      </c>
      <c r="CA58" s="558">
        <v>0</v>
      </c>
      <c r="CB58" s="558">
        <v>0</v>
      </c>
      <c r="CC58" s="558">
        <v>0</v>
      </c>
      <c r="CD58" s="558">
        <v>0</v>
      </c>
      <c r="CE58" s="558">
        <v>0</v>
      </c>
      <c r="CF58" s="558">
        <v>0</v>
      </c>
      <c r="CG58" s="558">
        <v>0</v>
      </c>
      <c r="CH58" s="558">
        <v>0</v>
      </c>
      <c r="CI58" s="558">
        <v>0</v>
      </c>
      <c r="CJ58" s="558">
        <v>0</v>
      </c>
      <c r="CK58" s="526">
        <v>0</v>
      </c>
      <c r="CL58" s="526">
        <v>0</v>
      </c>
      <c r="CM58" s="526">
        <v>0</v>
      </c>
      <c r="CN58" s="526">
        <v>0</v>
      </c>
      <c r="CO58" s="526">
        <v>0</v>
      </c>
      <c r="CP58" s="526">
        <v>0</v>
      </c>
      <c r="CQ58" s="526">
        <v>0</v>
      </c>
      <c r="CR58" s="526">
        <v>0</v>
      </c>
      <c r="CS58" s="526">
        <v>0</v>
      </c>
      <c r="CT58" s="526">
        <v>0</v>
      </c>
      <c r="CU58" s="526">
        <v>0</v>
      </c>
      <c r="CV58" s="526">
        <v>0</v>
      </c>
      <c r="CW58" s="526" t="s">
        <v>13</v>
      </c>
      <c r="CX58" s="526">
        <v>12</v>
      </c>
      <c r="CY58" s="560"/>
      <c r="CZ58" s="560"/>
      <c r="DA58" s="560"/>
      <c r="DB58" s="560"/>
      <c r="DC58" s="560"/>
      <c r="DD58" s="560"/>
      <c r="DE58" s="560"/>
      <c r="DF58" s="560"/>
      <c r="DG58" s="560"/>
      <c r="DH58" s="560"/>
      <c r="DI58" s="560"/>
      <c r="DJ58" s="560"/>
      <c r="DK58" s="560"/>
      <c r="DL58" s="560"/>
      <c r="DM58" s="560"/>
      <c r="DN58" s="560"/>
      <c r="DO58" s="560"/>
      <c r="DP58" s="560"/>
      <c r="DQ58" s="560"/>
      <c r="DR58" s="560"/>
      <c r="DS58" s="560"/>
      <c r="DT58" s="560"/>
      <c r="DU58" s="560"/>
      <c r="DV58" s="560"/>
      <c r="DW58" s="560"/>
      <c r="DX58" s="560"/>
      <c r="DY58" s="560"/>
      <c r="DZ58" s="560"/>
      <c r="EA58" s="560"/>
      <c r="EB58" s="560"/>
      <c r="EC58" s="560"/>
      <c r="ED58" s="560"/>
      <c r="EE58" s="560"/>
      <c r="EF58" s="560"/>
      <c r="EG58" s="560"/>
      <c r="EH58" s="560"/>
      <c r="EI58" s="526" t="s">
        <v>1133</v>
      </c>
      <c r="EJ58" s="526" t="s">
        <v>1133</v>
      </c>
      <c r="EK58" s="526" t="s">
        <v>1133</v>
      </c>
      <c r="EL58" s="526" t="s">
        <v>1133</v>
      </c>
      <c r="EM58" s="526" t="s">
        <v>1133</v>
      </c>
      <c r="EN58" s="526" t="s">
        <v>1133</v>
      </c>
      <c r="EO58" s="526" t="s">
        <v>1133</v>
      </c>
      <c r="EP58" s="526" t="s">
        <v>1133</v>
      </c>
      <c r="EQ58" s="526" t="s">
        <v>1133</v>
      </c>
      <c r="ER58" s="526" t="s">
        <v>1133</v>
      </c>
      <c r="ES58" s="526" t="s">
        <v>1133</v>
      </c>
      <c r="ET58" s="526" t="s">
        <v>1133</v>
      </c>
      <c r="EU58" s="526">
        <v>4200</v>
      </c>
      <c r="EV58" s="526">
        <v>4070</v>
      </c>
      <c r="EW58" s="526" t="s">
        <v>1592</v>
      </c>
      <c r="EX58" s="526" t="s">
        <v>1592</v>
      </c>
      <c r="EY58" s="526" t="s">
        <v>1592</v>
      </c>
      <c r="EZ58" s="526" t="s">
        <v>1592</v>
      </c>
      <c r="FA58" s="526" t="s">
        <v>1592</v>
      </c>
      <c r="FB58" s="526" t="s">
        <v>1592</v>
      </c>
      <c r="FC58" s="526" t="s">
        <v>1592</v>
      </c>
      <c r="FD58" s="526" t="s">
        <v>1592</v>
      </c>
      <c r="FE58" s="526" t="s">
        <v>1592</v>
      </c>
      <c r="FF58" s="526" t="s">
        <v>1592</v>
      </c>
      <c r="FG58" s="526" t="s">
        <v>1592</v>
      </c>
      <c r="FH58" s="526" t="s">
        <v>1592</v>
      </c>
      <c r="FI58" s="526">
        <v>81</v>
      </c>
      <c r="FJ58" s="526">
        <v>81</v>
      </c>
      <c r="FK58" s="526">
        <v>81</v>
      </c>
      <c r="FL58" s="526">
        <v>81</v>
      </c>
      <c r="FM58" s="526">
        <v>81</v>
      </c>
      <c r="FN58" s="526">
        <v>81</v>
      </c>
      <c r="FO58" s="526">
        <v>79</v>
      </c>
      <c r="FP58" s="526">
        <v>79</v>
      </c>
      <c r="FQ58" s="526">
        <v>79</v>
      </c>
      <c r="FR58" s="526">
        <v>79</v>
      </c>
      <c r="FS58" s="526">
        <v>46</v>
      </c>
      <c r="FT58" s="526">
        <v>46</v>
      </c>
      <c r="FU58" s="526">
        <v>46</v>
      </c>
      <c r="FV58" s="526">
        <v>46</v>
      </c>
      <c r="FW58" s="526">
        <v>45</v>
      </c>
      <c r="FX58" s="526">
        <v>45</v>
      </c>
      <c r="FY58" s="526">
        <v>47</v>
      </c>
      <c r="FZ58" s="526">
        <v>48</v>
      </c>
      <c r="GA58" s="526">
        <v>48</v>
      </c>
      <c r="GB58" s="526">
        <v>48</v>
      </c>
      <c r="GC58" s="526" t="s">
        <v>883</v>
      </c>
      <c r="GD58" s="526" t="s">
        <v>883</v>
      </c>
      <c r="GE58" s="526" t="s">
        <v>883</v>
      </c>
      <c r="GF58" s="526" t="s">
        <v>883</v>
      </c>
      <c r="GG58" s="526" t="s">
        <v>883</v>
      </c>
      <c r="GH58" s="526" t="s">
        <v>883</v>
      </c>
      <c r="GI58" s="526" t="s">
        <v>883</v>
      </c>
      <c r="GJ58" s="526" t="s">
        <v>883</v>
      </c>
      <c r="GK58" s="526" t="s">
        <v>883</v>
      </c>
      <c r="GL58" s="526" t="s">
        <v>883</v>
      </c>
      <c r="GM58" s="526" t="s">
        <v>883</v>
      </c>
      <c r="GN58" s="526" t="s">
        <v>883</v>
      </c>
      <c r="GO58" s="562" t="str">
        <f t="shared" si="25"/>
        <v/>
      </c>
      <c r="GP58" s="562" t="str">
        <f t="shared" si="26"/>
        <v/>
      </c>
      <c r="GQ58" s="562" t="str">
        <f t="shared" si="27"/>
        <v/>
      </c>
      <c r="GR58" s="562" t="str">
        <f t="shared" si="28"/>
        <v/>
      </c>
      <c r="GS58" s="562" t="str">
        <f t="shared" si="29"/>
        <v/>
      </c>
      <c r="GT58" s="562" t="str">
        <f t="shared" si="30"/>
        <v/>
      </c>
      <c r="GU58" s="562" t="str">
        <f t="shared" si="31"/>
        <v/>
      </c>
      <c r="GV58" s="562" t="str">
        <f t="shared" si="32"/>
        <v/>
      </c>
      <c r="GW58" s="562" t="str">
        <f t="shared" si="33"/>
        <v/>
      </c>
      <c r="GX58" s="562" t="str">
        <f t="shared" si="34"/>
        <v/>
      </c>
      <c r="GY58" s="562" t="str">
        <f t="shared" si="35"/>
        <v/>
      </c>
      <c r="GZ58" s="562" t="str">
        <f t="shared" si="36"/>
        <v/>
      </c>
      <c r="HA58" s="564" t="s">
        <v>1726</v>
      </c>
    </row>
    <row r="59" spans="2:209">
      <c r="B59" s="354"/>
      <c r="C59" s="344"/>
      <c r="D59" s="346"/>
      <c r="E59" s="557"/>
      <c r="F59" s="551"/>
      <c r="G59" s="551"/>
      <c r="H59" s="551"/>
      <c r="I59" s="551"/>
      <c r="J59" s="551"/>
      <c r="K59" s="551"/>
      <c r="L59" s="551"/>
      <c r="M59" s="551"/>
      <c r="N59" s="551"/>
      <c r="O59" s="551"/>
      <c r="P59" s="551"/>
      <c r="Q59" s="551"/>
      <c r="R59" s="551"/>
      <c r="S59" s="551"/>
      <c r="T59" s="551"/>
      <c r="U59" s="551"/>
      <c r="V59" s="551"/>
      <c r="W59" s="551"/>
      <c r="X59" s="551"/>
      <c r="Y59" s="551"/>
      <c r="Z59" s="551"/>
      <c r="AA59" s="551"/>
      <c r="AB59" s="551"/>
      <c r="AC59" s="551"/>
      <c r="AD59" s="551"/>
      <c r="AE59" s="551"/>
      <c r="AF59" s="551"/>
      <c r="AG59" s="551"/>
      <c r="AH59" s="551"/>
      <c r="AI59" s="551"/>
      <c r="AJ59" s="556"/>
      <c r="AK59" s="556"/>
      <c r="AL59" s="556"/>
      <c r="AM59" s="551"/>
      <c r="AN59" s="555" t="s">
        <v>11</v>
      </c>
      <c r="AO59" s="526" t="s">
        <v>883</v>
      </c>
      <c r="AP59" s="526" t="s">
        <v>883</v>
      </c>
      <c r="AQ59" s="526" t="s">
        <v>883</v>
      </c>
      <c r="AR59" s="526" t="s">
        <v>883</v>
      </c>
      <c r="AS59" s="526" t="s">
        <v>883</v>
      </c>
      <c r="AT59" s="526" t="s">
        <v>883</v>
      </c>
      <c r="AU59" s="526" t="s">
        <v>883</v>
      </c>
      <c r="AV59" s="526" t="s">
        <v>883</v>
      </c>
      <c r="AW59" s="526" t="s">
        <v>883</v>
      </c>
      <c r="AX59" s="526" t="s">
        <v>883</v>
      </c>
      <c r="AY59" s="526" t="s">
        <v>883</v>
      </c>
      <c r="AZ59" s="526" t="s">
        <v>883</v>
      </c>
      <c r="BA59" s="526" t="s">
        <v>883</v>
      </c>
      <c r="BB59" s="526" t="s">
        <v>883</v>
      </c>
      <c r="BC59" s="526" t="s">
        <v>883</v>
      </c>
      <c r="BD59" s="526" t="s">
        <v>883</v>
      </c>
      <c r="BE59" s="526" t="s">
        <v>883</v>
      </c>
      <c r="BF59" s="526" t="s">
        <v>883</v>
      </c>
      <c r="BG59" s="526" t="s">
        <v>883</v>
      </c>
      <c r="BH59" s="526" t="s">
        <v>883</v>
      </c>
      <c r="BI59" s="526" t="s">
        <v>883</v>
      </c>
      <c r="BJ59" s="526" t="s">
        <v>883</v>
      </c>
      <c r="BK59" s="526" t="s">
        <v>883</v>
      </c>
      <c r="BL59" s="526" t="s">
        <v>883</v>
      </c>
      <c r="BM59" s="526">
        <v>0</v>
      </c>
      <c r="BN59" s="526">
        <v>0</v>
      </c>
      <c r="BO59" s="526">
        <v>0</v>
      </c>
      <c r="BP59" s="526">
        <v>0</v>
      </c>
      <c r="BQ59" s="526">
        <v>0</v>
      </c>
      <c r="BR59" s="526">
        <v>0</v>
      </c>
      <c r="BS59" s="526">
        <v>0</v>
      </c>
      <c r="BT59" s="526">
        <v>0</v>
      </c>
      <c r="BU59" s="526">
        <v>0</v>
      </c>
      <c r="BV59" s="526">
        <v>0</v>
      </c>
      <c r="BW59" s="526">
        <v>0</v>
      </c>
      <c r="BX59" s="526">
        <v>0</v>
      </c>
      <c r="BY59" s="558">
        <v>0</v>
      </c>
      <c r="BZ59" s="558">
        <v>0</v>
      </c>
      <c r="CA59" s="558">
        <v>0</v>
      </c>
      <c r="CB59" s="558">
        <v>0</v>
      </c>
      <c r="CC59" s="558">
        <v>0</v>
      </c>
      <c r="CD59" s="558">
        <v>0</v>
      </c>
      <c r="CE59" s="558">
        <v>0</v>
      </c>
      <c r="CF59" s="558">
        <v>0</v>
      </c>
      <c r="CG59" s="558">
        <v>0</v>
      </c>
      <c r="CH59" s="558">
        <v>0</v>
      </c>
      <c r="CI59" s="558">
        <v>0</v>
      </c>
      <c r="CJ59" s="558">
        <v>0</v>
      </c>
      <c r="CK59" s="526">
        <v>0</v>
      </c>
      <c r="CL59" s="526">
        <v>0</v>
      </c>
      <c r="CM59" s="526">
        <v>0</v>
      </c>
      <c r="CN59" s="526">
        <v>0</v>
      </c>
      <c r="CO59" s="526">
        <v>0</v>
      </c>
      <c r="CP59" s="526">
        <v>0</v>
      </c>
      <c r="CQ59" s="526">
        <v>0</v>
      </c>
      <c r="CR59" s="526">
        <v>0</v>
      </c>
      <c r="CS59" s="526">
        <v>0</v>
      </c>
      <c r="CT59" s="526">
        <v>0</v>
      </c>
      <c r="CU59" s="526">
        <v>0</v>
      </c>
      <c r="CV59" s="526">
        <v>0</v>
      </c>
      <c r="CW59" s="526" t="s">
        <v>13</v>
      </c>
      <c r="CX59" s="526">
        <v>13</v>
      </c>
      <c r="CY59" s="560"/>
      <c r="CZ59" s="560"/>
      <c r="DA59" s="560"/>
      <c r="DB59" s="560"/>
      <c r="DC59" s="560"/>
      <c r="DD59" s="560"/>
      <c r="DE59" s="560"/>
      <c r="DF59" s="560"/>
      <c r="DG59" s="560"/>
      <c r="DH59" s="560"/>
      <c r="DI59" s="560"/>
      <c r="DJ59" s="560"/>
      <c r="DK59" s="560"/>
      <c r="DL59" s="560"/>
      <c r="DM59" s="560"/>
      <c r="DN59" s="560"/>
      <c r="DO59" s="560"/>
      <c r="DP59" s="560"/>
      <c r="DQ59" s="560"/>
      <c r="DR59" s="560"/>
      <c r="DS59" s="560"/>
      <c r="DT59" s="560"/>
      <c r="DU59" s="560"/>
      <c r="DV59" s="560"/>
      <c r="DW59" s="560"/>
      <c r="DX59" s="560"/>
      <c r="DY59" s="560"/>
      <c r="DZ59" s="560"/>
      <c r="EA59" s="560"/>
      <c r="EB59" s="560"/>
      <c r="EC59" s="560"/>
      <c r="ED59" s="560"/>
      <c r="EE59" s="560"/>
      <c r="EF59" s="560"/>
      <c r="EG59" s="560"/>
      <c r="EH59" s="560"/>
      <c r="EI59" s="526" t="s">
        <v>1133</v>
      </c>
      <c r="EJ59" s="526" t="s">
        <v>1133</v>
      </c>
      <c r="EK59" s="526" t="s">
        <v>1133</v>
      </c>
      <c r="EL59" s="526" t="s">
        <v>1133</v>
      </c>
      <c r="EM59" s="526" t="s">
        <v>1133</v>
      </c>
      <c r="EN59" s="526" t="s">
        <v>1133</v>
      </c>
      <c r="EO59" s="526" t="s">
        <v>1133</v>
      </c>
      <c r="EP59" s="526" t="s">
        <v>1133</v>
      </c>
      <c r="EQ59" s="526" t="s">
        <v>1133</v>
      </c>
      <c r="ER59" s="526" t="s">
        <v>1133</v>
      </c>
      <c r="ES59" s="526" t="s">
        <v>1133</v>
      </c>
      <c r="ET59" s="526" t="s">
        <v>1133</v>
      </c>
      <c r="EU59" s="526">
        <v>4200</v>
      </c>
      <c r="EV59" s="526">
        <v>4070</v>
      </c>
      <c r="EW59" s="526" t="s">
        <v>1592</v>
      </c>
      <c r="EX59" s="526" t="s">
        <v>1592</v>
      </c>
      <c r="EY59" s="526" t="s">
        <v>1592</v>
      </c>
      <c r="EZ59" s="526" t="s">
        <v>1592</v>
      </c>
      <c r="FA59" s="526" t="s">
        <v>1592</v>
      </c>
      <c r="FB59" s="526" t="s">
        <v>1592</v>
      </c>
      <c r="FC59" s="526" t="s">
        <v>1592</v>
      </c>
      <c r="FD59" s="526" t="s">
        <v>1592</v>
      </c>
      <c r="FE59" s="526" t="s">
        <v>1592</v>
      </c>
      <c r="FF59" s="526" t="s">
        <v>1592</v>
      </c>
      <c r="FG59" s="526" t="s">
        <v>1592</v>
      </c>
      <c r="FH59" s="526" t="s">
        <v>1592</v>
      </c>
      <c r="FI59" s="526">
        <v>81</v>
      </c>
      <c r="FJ59" s="526">
        <v>81</v>
      </c>
      <c r="FK59" s="526">
        <v>81</v>
      </c>
      <c r="FL59" s="526">
        <v>81</v>
      </c>
      <c r="FM59" s="526">
        <v>81</v>
      </c>
      <c r="FN59" s="526">
        <v>81</v>
      </c>
      <c r="FO59" s="526">
        <v>79</v>
      </c>
      <c r="FP59" s="526">
        <v>79</v>
      </c>
      <c r="FQ59" s="526">
        <v>79</v>
      </c>
      <c r="FR59" s="526">
        <v>79</v>
      </c>
      <c r="FS59" s="526">
        <v>46</v>
      </c>
      <c r="FT59" s="526">
        <v>46</v>
      </c>
      <c r="FU59" s="526">
        <v>46</v>
      </c>
      <c r="FV59" s="526">
        <v>46</v>
      </c>
      <c r="FW59" s="526">
        <v>45</v>
      </c>
      <c r="FX59" s="526">
        <v>45</v>
      </c>
      <c r="FY59" s="526">
        <v>47</v>
      </c>
      <c r="FZ59" s="526">
        <v>48</v>
      </c>
      <c r="GA59" s="526">
        <v>48</v>
      </c>
      <c r="GB59" s="526">
        <v>48</v>
      </c>
      <c r="GC59" s="526" t="s">
        <v>883</v>
      </c>
      <c r="GD59" s="526" t="s">
        <v>883</v>
      </c>
      <c r="GE59" s="526" t="s">
        <v>883</v>
      </c>
      <c r="GF59" s="526" t="s">
        <v>883</v>
      </c>
      <c r="GG59" s="526" t="s">
        <v>883</v>
      </c>
      <c r="GH59" s="526" t="s">
        <v>883</v>
      </c>
      <c r="GI59" s="526" t="s">
        <v>883</v>
      </c>
      <c r="GJ59" s="526" t="s">
        <v>883</v>
      </c>
      <c r="GK59" s="526" t="s">
        <v>883</v>
      </c>
      <c r="GL59" s="526" t="s">
        <v>883</v>
      </c>
      <c r="GM59" s="526" t="s">
        <v>883</v>
      </c>
      <c r="GN59" s="526" t="s">
        <v>883</v>
      </c>
      <c r="GO59" s="562" t="str">
        <f t="shared" si="25"/>
        <v/>
      </c>
      <c r="GP59" s="562" t="str">
        <f t="shared" si="26"/>
        <v/>
      </c>
      <c r="GQ59" s="562" t="str">
        <f t="shared" si="27"/>
        <v/>
      </c>
      <c r="GR59" s="562" t="str">
        <f t="shared" si="28"/>
        <v/>
      </c>
      <c r="GS59" s="562" t="str">
        <f t="shared" si="29"/>
        <v/>
      </c>
      <c r="GT59" s="562" t="str">
        <f t="shared" si="30"/>
        <v/>
      </c>
      <c r="GU59" s="562" t="str">
        <f t="shared" si="31"/>
        <v/>
      </c>
      <c r="GV59" s="562" t="str">
        <f t="shared" si="32"/>
        <v/>
      </c>
      <c r="GW59" s="562" t="str">
        <f t="shared" si="33"/>
        <v/>
      </c>
      <c r="GX59" s="562" t="str">
        <f t="shared" si="34"/>
        <v/>
      </c>
      <c r="GY59" s="562" t="str">
        <f t="shared" si="35"/>
        <v/>
      </c>
      <c r="GZ59" s="562" t="str">
        <f t="shared" si="36"/>
        <v/>
      </c>
      <c r="HA59" s="569"/>
    </row>
    <row r="60" spans="2:209">
      <c r="D60" s="333" t="s">
        <v>884</v>
      </c>
      <c r="E60" s="333" t="s">
        <v>11</v>
      </c>
      <c r="AN60" s="349" t="s">
        <v>11</v>
      </c>
      <c r="AO60" s="349" t="s">
        <v>1388</v>
      </c>
      <c r="BA60" s="349" t="s">
        <v>1389</v>
      </c>
      <c r="CW60" s="349" t="s">
        <v>1389</v>
      </c>
      <c r="CY60" s="349" t="s">
        <v>1389</v>
      </c>
      <c r="DK60" s="349" t="s">
        <v>1458</v>
      </c>
      <c r="DW60" s="349" t="s">
        <v>1458</v>
      </c>
      <c r="EI60" s="349" t="s">
        <v>1389</v>
      </c>
      <c r="GC60" s="349" t="s">
        <v>1456</v>
      </c>
    </row>
    <row r="61" spans="2:209">
      <c r="E61" s="333" t="s">
        <v>13</v>
      </c>
      <c r="AN61" s="349" t="s">
        <v>13</v>
      </c>
      <c r="AO61" s="349" t="s">
        <v>1387</v>
      </c>
      <c r="BA61" s="349" t="s">
        <v>1390</v>
      </c>
      <c r="CW61" s="349" t="s">
        <v>1390</v>
      </c>
      <c r="CY61" s="349" t="s">
        <v>1390</v>
      </c>
      <c r="DK61" s="349" t="s">
        <v>1459</v>
      </c>
      <c r="DW61" s="349" t="s">
        <v>1459</v>
      </c>
      <c r="EI61" s="349" t="s">
        <v>1390</v>
      </c>
      <c r="GC61" s="349" t="s">
        <v>1457</v>
      </c>
    </row>
    <row r="62" spans="2:209">
      <c r="E62" s="333" t="s">
        <v>901</v>
      </c>
      <c r="AO62" s="349" t="s">
        <v>883</v>
      </c>
      <c r="BA62" s="349" t="s">
        <v>883</v>
      </c>
      <c r="DK62" s="349" t="s">
        <v>883</v>
      </c>
      <c r="DW62" s="349" t="s">
        <v>883</v>
      </c>
      <c r="GC62" s="349" t="s">
        <v>1455</v>
      </c>
    </row>
  </sheetData>
  <sheetProtection selectLockedCells="1" selectUnlockedCells="1"/>
  <autoFilter ref="A4:GW30" xr:uid="{F1C85610-AB69-4229-AB1E-DCE4EF9836A9}"/>
  <mergeCells count="1">
    <mergeCell ref="GP3:GS3"/>
  </mergeCells>
  <phoneticPr fontId="1"/>
  <dataValidations count="9">
    <dataValidation type="list" allowBlank="1" showInputMessage="1" showErrorMessage="1" sqref="DL24:DV24 DX24:EH24 DJ24 DK5:EH23 DK25:EH59" xr:uid="{1250E751-84CB-4CE9-BED5-2FDF2C02EF53}">
      <formula1>$DK$60:$DK$62</formula1>
    </dataValidation>
    <dataValidation type="list" allowBlank="1" showInputMessage="1" showErrorMessage="1" sqref="GC5:GN59" xr:uid="{D0203416-0FD3-4C5D-A886-0D0D7842E997}">
      <formula1>$GC$60:$GC$62</formula1>
    </dataValidation>
    <dataValidation type="list" allowBlank="1" showInputMessage="1" showErrorMessage="1" sqref="E5:E59" xr:uid="{8508BA59-7AA3-48CF-BE8E-19BEC7AD80E8}">
      <formula1>$E$60:$E$62</formula1>
    </dataValidation>
    <dataValidation type="list" allowBlank="1" showInputMessage="1" showErrorMessage="1" sqref="CY5:DJ59" xr:uid="{31455074-AE90-4F5B-816E-5FEB902058B4}">
      <formula1>$CY$60:$CY$61</formula1>
    </dataValidation>
    <dataValidation type="list" allowBlank="1" showInputMessage="1" showErrorMessage="1" sqref="CW5:CW59" xr:uid="{1833B4B9-A3A1-4C6E-A06B-26B7A2666730}">
      <formula1>$CW$60:$CW$61</formula1>
    </dataValidation>
    <dataValidation type="list" allowBlank="1" showInputMessage="1" showErrorMessage="1" sqref="EI5:ET59" xr:uid="{33F16ADA-E88B-4709-BE0B-CE58617DE6F0}">
      <formula1>$EI$60:$EI$61</formula1>
    </dataValidation>
    <dataValidation type="list" allowBlank="1" showInputMessage="1" showErrorMessage="1" sqref="BA5:BL59" xr:uid="{44EAB723-3624-4D84-B164-5C060ED3F25C}">
      <formula1>$BA$60:$BA$62</formula1>
    </dataValidation>
    <dataValidation type="list" allowBlank="1" showInputMessage="1" showErrorMessage="1" sqref="AO5:AZ59" xr:uid="{687246FC-BF0F-4BCC-96EA-47D2B3118429}">
      <formula1>$AO$60:$AO$62</formula1>
    </dataValidation>
    <dataValidation type="list" allowBlank="1" showInputMessage="1" showErrorMessage="1" sqref="AN5:AN59" xr:uid="{44676FA8-5B80-41CA-9E4C-7D90B2DE86EA}">
      <formula1>$AN$60:$AN$61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FF8B-0C52-4DC5-BB56-39BCE2E6A551}">
  <sheetPr>
    <tabColor rgb="FFFF0000"/>
  </sheetPr>
  <dimension ref="B1:U69"/>
  <sheetViews>
    <sheetView showGridLines="0" view="pageBreakPreview" zoomScaleNormal="100" zoomScaleSheetLayoutView="100" workbookViewId="0">
      <selection activeCell="G48" sqref="G48"/>
    </sheetView>
  </sheetViews>
  <sheetFormatPr defaultColWidth="9" defaultRowHeight="13"/>
  <cols>
    <col min="1" max="1" width="1.5" style="477" customWidth="1"/>
    <col min="2" max="15" width="9" style="477"/>
    <col min="16" max="16" width="1.25" style="477" customWidth="1"/>
    <col min="17" max="16384" width="9" style="477"/>
  </cols>
  <sheetData>
    <row r="1" spans="2:15" ht="14">
      <c r="B1" s="476" t="s">
        <v>298</v>
      </c>
    </row>
    <row r="2" spans="2:15" ht="19.5" customHeight="1" thickBot="1">
      <c r="B2" s="478" t="s">
        <v>299</v>
      </c>
    </row>
    <row r="3" spans="2:15" ht="11.25" customHeight="1">
      <c r="B3" s="661" t="s">
        <v>300</v>
      </c>
      <c r="C3" s="662"/>
      <c r="D3" s="662"/>
      <c r="E3" s="662"/>
      <c r="F3" s="662"/>
      <c r="G3" s="479" t="s">
        <v>301</v>
      </c>
      <c r="H3" s="479"/>
      <c r="I3" s="479"/>
      <c r="J3" s="479"/>
      <c r="K3" s="479"/>
      <c r="L3" s="479"/>
      <c r="M3" s="479"/>
      <c r="N3" s="479"/>
      <c r="O3" s="480"/>
    </row>
    <row r="4" spans="2:15" ht="11.25" customHeight="1">
      <c r="B4" s="481" t="s">
        <v>302</v>
      </c>
      <c r="C4" s="482"/>
      <c r="D4" s="482"/>
      <c r="E4" s="482"/>
      <c r="F4" s="482"/>
      <c r="G4" s="482" t="s">
        <v>1270</v>
      </c>
      <c r="H4" s="482"/>
      <c r="I4" s="482"/>
      <c r="J4" s="482"/>
      <c r="K4" s="482"/>
      <c r="L4" s="482"/>
      <c r="M4" s="482"/>
      <c r="N4" s="482"/>
      <c r="O4" s="483"/>
    </row>
    <row r="5" spans="2:15" ht="11.25" customHeight="1">
      <c r="B5" s="481"/>
      <c r="C5" s="482"/>
      <c r="D5" s="482"/>
      <c r="E5" s="482"/>
      <c r="F5" s="482"/>
      <c r="G5" s="482" t="s">
        <v>1271</v>
      </c>
      <c r="H5" s="482"/>
      <c r="I5" s="482"/>
      <c r="J5" s="482"/>
      <c r="K5" s="482"/>
      <c r="L5" s="482"/>
      <c r="M5" s="482"/>
      <c r="N5" s="482"/>
      <c r="O5" s="483"/>
    </row>
    <row r="6" spans="2:15" ht="11.25" customHeight="1" thickBot="1">
      <c r="B6" s="484" t="s">
        <v>303</v>
      </c>
      <c r="C6" s="485"/>
      <c r="D6" s="485"/>
      <c r="E6" s="485"/>
      <c r="F6" s="485"/>
      <c r="G6" s="485"/>
      <c r="H6" s="485"/>
      <c r="I6" s="485"/>
      <c r="J6" s="485"/>
      <c r="K6" s="485"/>
      <c r="L6" s="485"/>
      <c r="M6" s="485"/>
      <c r="N6" s="485"/>
      <c r="O6" s="486"/>
    </row>
    <row r="7" spans="2:15" ht="3.75" customHeight="1">
      <c r="B7" s="487"/>
      <c r="C7" s="488"/>
      <c r="D7" s="488"/>
      <c r="E7" s="488"/>
      <c r="F7" s="488"/>
      <c r="G7" s="488"/>
      <c r="H7" s="488"/>
      <c r="I7" s="488"/>
      <c r="J7" s="488"/>
      <c r="K7" s="488"/>
      <c r="L7" s="488"/>
      <c r="M7" s="488"/>
      <c r="N7" s="488"/>
      <c r="O7" s="488"/>
    </row>
    <row r="8" spans="2:15" ht="19.5" customHeight="1">
      <c r="B8" s="478" t="s">
        <v>1272</v>
      </c>
    </row>
    <row r="9" spans="2:15" ht="18.75" customHeight="1">
      <c r="C9" s="489"/>
      <c r="D9" s="663" t="s">
        <v>304</v>
      </c>
      <c r="E9" s="663"/>
      <c r="F9" s="663"/>
      <c r="G9" s="490"/>
      <c r="H9" s="664" t="s">
        <v>305</v>
      </c>
      <c r="I9" s="665"/>
      <c r="J9" s="665"/>
      <c r="K9" s="665"/>
      <c r="L9" s="665"/>
      <c r="M9" s="665"/>
      <c r="N9" s="665"/>
      <c r="O9" s="666"/>
    </row>
    <row r="10" spans="2:15">
      <c r="C10" s="670" t="s">
        <v>306</v>
      </c>
      <c r="D10" s="670"/>
      <c r="E10" s="671"/>
      <c r="F10" s="672" t="s">
        <v>385</v>
      </c>
      <c r="G10" s="673"/>
      <c r="H10" s="667"/>
      <c r="I10" s="668"/>
      <c r="J10" s="668"/>
      <c r="K10" s="668"/>
      <c r="L10" s="668"/>
      <c r="M10" s="668"/>
      <c r="N10" s="668"/>
      <c r="O10" s="669"/>
    </row>
    <row r="11" spans="2:15">
      <c r="B11" s="489"/>
      <c r="C11" s="654"/>
      <c r="D11" s="655"/>
      <c r="E11" s="655"/>
      <c r="F11" s="659"/>
      <c r="G11" s="660"/>
      <c r="H11" s="491"/>
      <c r="I11" s="491"/>
      <c r="J11" s="491"/>
      <c r="K11" s="491"/>
      <c r="L11" s="491"/>
      <c r="M11" s="491"/>
      <c r="N11" s="491"/>
      <c r="O11" s="492"/>
    </row>
    <row r="12" spans="2:15" ht="13.5" customHeight="1">
      <c r="B12" s="658" t="s">
        <v>307</v>
      </c>
      <c r="C12" s="645"/>
      <c r="D12" s="646"/>
      <c r="E12" s="646"/>
      <c r="F12" s="647" t="s">
        <v>1273</v>
      </c>
      <c r="G12" s="648"/>
      <c r="O12" s="493"/>
    </row>
    <row r="13" spans="2:15">
      <c r="B13" s="658"/>
      <c r="C13" s="645"/>
      <c r="D13" s="646"/>
      <c r="E13" s="646"/>
      <c r="F13" s="647"/>
      <c r="G13" s="648"/>
      <c r="O13" s="493"/>
    </row>
    <row r="14" spans="2:15">
      <c r="B14" s="658"/>
      <c r="C14" s="645"/>
      <c r="D14" s="646"/>
      <c r="E14" s="646"/>
      <c r="F14" s="647"/>
      <c r="G14" s="648"/>
      <c r="O14" s="493"/>
    </row>
    <row r="15" spans="2:15">
      <c r="B15" s="658"/>
      <c r="C15" s="645"/>
      <c r="D15" s="646"/>
      <c r="E15" s="646"/>
      <c r="F15" s="647"/>
      <c r="G15" s="648"/>
      <c r="O15" s="493"/>
    </row>
    <row r="16" spans="2:15">
      <c r="B16" s="658"/>
      <c r="C16" s="645"/>
      <c r="D16" s="646"/>
      <c r="E16" s="646"/>
      <c r="F16" s="647"/>
      <c r="G16" s="648"/>
      <c r="O16" s="493"/>
    </row>
    <row r="17" spans="2:15">
      <c r="B17" s="658"/>
      <c r="C17" s="645"/>
      <c r="D17" s="646"/>
      <c r="E17" s="646"/>
      <c r="F17" s="647"/>
      <c r="G17" s="648"/>
      <c r="O17" s="493"/>
    </row>
    <row r="18" spans="2:15">
      <c r="B18" s="658"/>
      <c r="C18" s="645"/>
      <c r="D18" s="646"/>
      <c r="E18" s="646"/>
      <c r="F18" s="647"/>
      <c r="G18" s="648"/>
      <c r="O18" s="493"/>
    </row>
    <row r="19" spans="2:15">
      <c r="B19" s="658"/>
      <c r="C19" s="645"/>
      <c r="D19" s="646"/>
      <c r="E19" s="646"/>
      <c r="F19" s="647"/>
      <c r="G19" s="648"/>
      <c r="O19" s="493"/>
    </row>
    <row r="20" spans="2:15">
      <c r="B20" s="658"/>
      <c r="C20" s="645"/>
      <c r="D20" s="646"/>
      <c r="E20" s="646"/>
      <c r="F20" s="647"/>
      <c r="G20" s="648"/>
      <c r="O20" s="493"/>
    </row>
    <row r="21" spans="2:15">
      <c r="B21" s="494"/>
      <c r="C21" s="645"/>
      <c r="D21" s="646"/>
      <c r="E21" s="646"/>
      <c r="F21" s="647"/>
      <c r="G21" s="648"/>
      <c r="O21" s="493"/>
    </row>
    <row r="22" spans="2:15">
      <c r="B22" s="494"/>
      <c r="C22" s="645"/>
      <c r="D22" s="646"/>
      <c r="E22" s="646"/>
      <c r="F22" s="647"/>
      <c r="G22" s="648"/>
      <c r="O22" s="493"/>
    </row>
    <row r="23" spans="2:15">
      <c r="B23" s="494"/>
      <c r="C23" s="645"/>
      <c r="D23" s="646"/>
      <c r="E23" s="646"/>
      <c r="F23" s="647"/>
      <c r="G23" s="648"/>
      <c r="O23" s="493"/>
    </row>
    <row r="24" spans="2:15">
      <c r="B24" s="494"/>
      <c r="C24" s="645"/>
      <c r="D24" s="646"/>
      <c r="E24" s="646"/>
      <c r="F24" s="647"/>
      <c r="G24" s="648"/>
      <c r="O24" s="493"/>
    </row>
    <row r="25" spans="2:15">
      <c r="B25" s="495"/>
      <c r="C25" s="649"/>
      <c r="D25" s="650"/>
      <c r="E25" s="650"/>
      <c r="F25" s="651"/>
      <c r="G25" s="652"/>
      <c r="H25" s="496"/>
      <c r="I25" s="496"/>
      <c r="J25" s="496"/>
      <c r="K25" s="496"/>
      <c r="L25" s="496"/>
      <c r="M25" s="496"/>
      <c r="N25" s="496"/>
      <c r="O25" s="497"/>
    </row>
    <row r="26" spans="2:15">
      <c r="B26" s="489"/>
      <c r="C26" s="654"/>
      <c r="D26" s="655"/>
      <c r="E26" s="655"/>
      <c r="F26" s="656"/>
      <c r="G26" s="657"/>
      <c r="O26" s="493"/>
    </row>
    <row r="27" spans="2:15">
      <c r="B27" s="653" t="s">
        <v>308</v>
      </c>
      <c r="C27" s="645"/>
      <c r="D27" s="646"/>
      <c r="E27" s="646"/>
      <c r="F27" s="647"/>
      <c r="G27" s="648"/>
      <c r="O27" s="493"/>
    </row>
    <row r="28" spans="2:15">
      <c r="B28" s="653"/>
      <c r="C28" s="645"/>
      <c r="D28" s="646"/>
      <c r="E28" s="646"/>
      <c r="F28" s="647"/>
      <c r="G28" s="648"/>
      <c r="O28" s="493"/>
    </row>
    <row r="29" spans="2:15">
      <c r="B29" s="653"/>
      <c r="C29" s="645"/>
      <c r="D29" s="646"/>
      <c r="E29" s="646"/>
      <c r="F29" s="647"/>
      <c r="G29" s="648"/>
      <c r="O29" s="493"/>
    </row>
    <row r="30" spans="2:15">
      <c r="B30" s="653"/>
      <c r="C30" s="645"/>
      <c r="D30" s="646"/>
      <c r="E30" s="646"/>
      <c r="F30" s="647"/>
      <c r="G30" s="648"/>
      <c r="O30" s="493"/>
    </row>
    <row r="31" spans="2:15">
      <c r="B31" s="653"/>
      <c r="C31" s="645"/>
      <c r="D31" s="646"/>
      <c r="E31" s="646"/>
      <c r="F31" s="647"/>
      <c r="G31" s="648"/>
      <c r="O31" s="493"/>
    </row>
    <row r="32" spans="2:15">
      <c r="B32" s="653"/>
      <c r="C32" s="645"/>
      <c r="D32" s="646"/>
      <c r="E32" s="646"/>
      <c r="F32" s="647"/>
      <c r="G32" s="648"/>
      <c r="O32" s="493"/>
    </row>
    <row r="33" spans="2:21">
      <c r="B33" s="653"/>
      <c r="C33" s="645"/>
      <c r="D33" s="646"/>
      <c r="E33" s="646"/>
      <c r="F33" s="647"/>
      <c r="G33" s="648"/>
      <c r="O33" s="493"/>
    </row>
    <row r="34" spans="2:21">
      <c r="B34" s="653"/>
      <c r="C34" s="645"/>
      <c r="D34" s="646"/>
      <c r="E34" s="646"/>
      <c r="F34" s="647"/>
      <c r="G34" s="648"/>
      <c r="O34" s="493"/>
    </row>
    <row r="35" spans="2:21">
      <c r="B35" s="653"/>
      <c r="C35" s="645"/>
      <c r="D35" s="646"/>
      <c r="E35" s="646"/>
      <c r="F35" s="647"/>
      <c r="G35" s="648"/>
      <c r="O35" s="493"/>
    </row>
    <row r="36" spans="2:21">
      <c r="B36" s="498"/>
      <c r="C36" s="645"/>
      <c r="D36" s="646"/>
      <c r="E36" s="646"/>
      <c r="F36" s="647"/>
      <c r="G36" s="648"/>
      <c r="O36" s="493"/>
    </row>
    <row r="37" spans="2:21">
      <c r="B37" s="498"/>
      <c r="C37" s="645"/>
      <c r="D37" s="646"/>
      <c r="E37" s="646"/>
      <c r="F37" s="647"/>
      <c r="G37" s="648"/>
      <c r="O37" s="493"/>
    </row>
    <row r="38" spans="2:21">
      <c r="B38" s="498"/>
      <c r="C38" s="645"/>
      <c r="D38" s="646"/>
      <c r="E38" s="646"/>
      <c r="F38" s="647"/>
      <c r="G38" s="648"/>
      <c r="O38" s="493"/>
    </row>
    <row r="39" spans="2:21">
      <c r="B39" s="495"/>
      <c r="C39" s="649"/>
      <c r="D39" s="650"/>
      <c r="E39" s="650"/>
      <c r="F39" s="651"/>
      <c r="G39" s="652"/>
      <c r="H39" s="496"/>
      <c r="I39" s="496"/>
      <c r="J39" s="496"/>
      <c r="K39" s="496"/>
      <c r="L39" s="496"/>
      <c r="M39" s="496"/>
      <c r="N39" s="496"/>
      <c r="O39" s="497"/>
    </row>
    <row r="44" spans="2:21">
      <c r="H44" s="572" t="s">
        <v>1603</v>
      </c>
    </row>
    <row r="46" spans="2:21" ht="13" customHeight="1">
      <c r="C46" s="477" t="s">
        <v>306</v>
      </c>
      <c r="H46" s="644" t="s">
        <v>1604</v>
      </c>
      <c r="I46" s="644"/>
      <c r="J46" s="644"/>
      <c r="K46" s="644"/>
      <c r="L46" s="644"/>
      <c r="M46" s="644"/>
      <c r="N46" s="644"/>
      <c r="O46" s="644"/>
      <c r="P46" s="644"/>
      <c r="Q46" s="644"/>
      <c r="R46" s="644"/>
      <c r="S46" s="644"/>
      <c r="T46" s="644"/>
      <c r="U46" s="644"/>
    </row>
    <row r="47" spans="2:21">
      <c r="H47" s="644"/>
      <c r="I47" s="644"/>
      <c r="J47" s="644"/>
      <c r="K47" s="644"/>
      <c r="L47" s="644"/>
      <c r="M47" s="644"/>
      <c r="N47" s="644"/>
      <c r="O47" s="644"/>
      <c r="P47" s="644"/>
      <c r="Q47" s="644"/>
      <c r="R47" s="644"/>
      <c r="S47" s="644"/>
      <c r="T47" s="644"/>
      <c r="U47" s="644"/>
    </row>
    <row r="48" spans="2:21">
      <c r="C48" s="477" t="s">
        <v>309</v>
      </c>
      <c r="H48" s="644"/>
      <c r="I48" s="644"/>
      <c r="J48" s="644"/>
      <c r="K48" s="644"/>
      <c r="L48" s="644"/>
      <c r="M48" s="644"/>
      <c r="N48" s="644"/>
      <c r="O48" s="644"/>
      <c r="P48" s="644"/>
      <c r="Q48" s="644"/>
      <c r="R48" s="644"/>
      <c r="S48" s="644"/>
      <c r="T48" s="644"/>
      <c r="U48" s="644"/>
    </row>
    <row r="49" spans="3:21">
      <c r="C49" s="477" t="s">
        <v>310</v>
      </c>
      <c r="H49" s="644"/>
      <c r="I49" s="644"/>
      <c r="J49" s="644"/>
      <c r="K49" s="644"/>
      <c r="L49" s="644"/>
      <c r="M49" s="644"/>
      <c r="N49" s="644"/>
      <c r="O49" s="644"/>
      <c r="P49" s="644"/>
      <c r="Q49" s="644"/>
      <c r="R49" s="644"/>
      <c r="S49" s="644"/>
      <c r="T49" s="644"/>
      <c r="U49" s="644"/>
    </row>
    <row r="50" spans="3:21">
      <c r="C50" s="477" t="s">
        <v>311</v>
      </c>
      <c r="H50" s="644"/>
      <c r="I50" s="644"/>
      <c r="J50" s="644"/>
      <c r="K50" s="644"/>
      <c r="L50" s="644"/>
      <c r="M50" s="644"/>
      <c r="N50" s="644"/>
      <c r="O50" s="644"/>
      <c r="P50" s="644"/>
      <c r="Q50" s="644"/>
      <c r="R50" s="644"/>
      <c r="S50" s="644"/>
      <c r="T50" s="644"/>
      <c r="U50" s="644"/>
    </row>
    <row r="51" spans="3:21">
      <c r="C51" s="477" t="s">
        <v>312</v>
      </c>
      <c r="H51" s="644"/>
      <c r="I51" s="644"/>
      <c r="J51" s="644"/>
      <c r="K51" s="644"/>
      <c r="L51" s="644"/>
      <c r="M51" s="644"/>
      <c r="N51" s="644"/>
      <c r="O51" s="644"/>
      <c r="P51" s="644"/>
      <c r="Q51" s="644"/>
      <c r="R51" s="644"/>
      <c r="S51" s="644"/>
      <c r="T51" s="644"/>
      <c r="U51" s="644"/>
    </row>
    <row r="52" spans="3:21">
      <c r="C52" s="477" t="s">
        <v>313</v>
      </c>
      <c r="H52" s="644"/>
      <c r="I52" s="644"/>
      <c r="J52" s="644"/>
      <c r="K52" s="644"/>
      <c r="L52" s="644"/>
      <c r="M52" s="644"/>
      <c r="N52" s="644"/>
      <c r="O52" s="644"/>
      <c r="P52" s="644"/>
      <c r="Q52" s="644"/>
      <c r="R52" s="644"/>
      <c r="S52" s="644"/>
      <c r="T52" s="644"/>
      <c r="U52" s="644"/>
    </row>
    <row r="53" spans="3:21">
      <c r="C53" s="477" t="s">
        <v>314</v>
      </c>
      <c r="H53" s="644"/>
      <c r="I53" s="644"/>
      <c r="J53" s="644"/>
      <c r="K53" s="644"/>
      <c r="L53" s="644"/>
      <c r="M53" s="644"/>
      <c r="N53" s="644"/>
      <c r="O53" s="644"/>
      <c r="P53" s="644"/>
      <c r="Q53" s="644"/>
      <c r="R53" s="644"/>
      <c r="S53" s="644"/>
      <c r="T53" s="644"/>
      <c r="U53" s="644"/>
    </row>
    <row r="54" spans="3:21">
      <c r="C54" s="477" t="s">
        <v>1134</v>
      </c>
      <c r="H54" s="644"/>
      <c r="I54" s="644"/>
      <c r="J54" s="644"/>
      <c r="K54" s="644"/>
      <c r="L54" s="644"/>
      <c r="M54" s="644"/>
      <c r="N54" s="644"/>
      <c r="O54" s="644"/>
      <c r="P54" s="644"/>
      <c r="Q54" s="644"/>
      <c r="R54" s="644"/>
      <c r="S54" s="644"/>
      <c r="T54" s="644"/>
      <c r="U54" s="644"/>
    </row>
    <row r="55" spans="3:21">
      <c r="C55" s="477" t="s">
        <v>1135</v>
      </c>
      <c r="H55" s="644"/>
      <c r="I55" s="644"/>
      <c r="J55" s="644"/>
      <c r="K55" s="644"/>
      <c r="L55" s="644"/>
      <c r="M55" s="644"/>
      <c r="N55" s="644"/>
      <c r="O55" s="644"/>
      <c r="P55" s="644"/>
      <c r="Q55" s="644"/>
      <c r="R55" s="644"/>
      <c r="S55" s="644"/>
      <c r="T55" s="644"/>
      <c r="U55" s="644"/>
    </row>
    <row r="56" spans="3:21">
      <c r="C56" s="477" t="s">
        <v>1136</v>
      </c>
      <c r="H56" s="644"/>
      <c r="I56" s="644"/>
      <c r="J56" s="644"/>
      <c r="K56" s="644"/>
      <c r="L56" s="644"/>
      <c r="M56" s="644"/>
      <c r="N56" s="644"/>
      <c r="O56" s="644"/>
      <c r="P56" s="644"/>
      <c r="Q56" s="644"/>
      <c r="R56" s="644"/>
      <c r="S56" s="644"/>
      <c r="T56" s="644"/>
      <c r="U56" s="644"/>
    </row>
    <row r="57" spans="3:21">
      <c r="C57" s="477" t="s">
        <v>1137</v>
      </c>
      <c r="H57" s="644"/>
      <c r="I57" s="644"/>
      <c r="J57" s="644"/>
      <c r="K57" s="644"/>
      <c r="L57" s="644"/>
      <c r="M57" s="644"/>
      <c r="N57" s="644"/>
      <c r="O57" s="644"/>
      <c r="P57" s="644"/>
      <c r="Q57" s="644"/>
      <c r="R57" s="644"/>
      <c r="S57" s="644"/>
      <c r="T57" s="644"/>
      <c r="U57" s="644"/>
    </row>
    <row r="58" spans="3:21">
      <c r="C58" s="477" t="s">
        <v>1138</v>
      </c>
      <c r="H58" s="644"/>
      <c r="I58" s="644"/>
      <c r="J58" s="644"/>
      <c r="K58" s="644"/>
      <c r="L58" s="644"/>
      <c r="M58" s="644"/>
      <c r="N58" s="644"/>
      <c r="O58" s="644"/>
      <c r="P58" s="644"/>
      <c r="Q58" s="644"/>
      <c r="R58" s="644"/>
      <c r="S58" s="644"/>
      <c r="T58" s="644"/>
      <c r="U58" s="644"/>
    </row>
    <row r="59" spans="3:21">
      <c r="C59" s="477" t="s">
        <v>1139</v>
      </c>
      <c r="H59" s="644"/>
      <c r="I59" s="644"/>
      <c r="J59" s="644"/>
      <c r="K59" s="644"/>
      <c r="L59" s="644"/>
      <c r="M59" s="644"/>
      <c r="N59" s="644"/>
      <c r="O59" s="644"/>
      <c r="P59" s="644"/>
      <c r="Q59" s="644"/>
      <c r="R59" s="644"/>
      <c r="S59" s="644"/>
      <c r="T59" s="644"/>
      <c r="U59" s="644"/>
    </row>
    <row r="60" spans="3:21">
      <c r="C60" s="477" t="s">
        <v>1140</v>
      </c>
      <c r="H60" s="644"/>
      <c r="I60" s="644"/>
      <c r="J60" s="644"/>
      <c r="K60" s="644"/>
      <c r="L60" s="644"/>
      <c r="M60" s="644"/>
      <c r="N60" s="644"/>
      <c r="O60" s="644"/>
      <c r="P60" s="644"/>
      <c r="Q60" s="644"/>
      <c r="R60" s="644"/>
      <c r="S60" s="644"/>
      <c r="T60" s="644"/>
      <c r="U60" s="644"/>
    </row>
    <row r="61" spans="3:21">
      <c r="C61" s="477" t="s">
        <v>1141</v>
      </c>
      <c r="H61" s="644"/>
      <c r="I61" s="644"/>
      <c r="J61" s="644"/>
      <c r="K61" s="644"/>
      <c r="L61" s="644"/>
      <c r="M61" s="644"/>
      <c r="N61" s="644"/>
      <c r="O61" s="644"/>
      <c r="P61" s="644"/>
      <c r="Q61" s="644"/>
      <c r="R61" s="644"/>
      <c r="S61" s="644"/>
      <c r="T61" s="644"/>
      <c r="U61" s="644"/>
    </row>
    <row r="62" spans="3:21">
      <c r="C62" s="477" t="s">
        <v>1142</v>
      </c>
      <c r="H62" s="644"/>
      <c r="I62" s="644"/>
      <c r="J62" s="644"/>
      <c r="K62" s="644"/>
      <c r="L62" s="644"/>
      <c r="M62" s="644"/>
      <c r="N62" s="644"/>
      <c r="O62" s="644"/>
      <c r="P62" s="644"/>
      <c r="Q62" s="644"/>
      <c r="R62" s="644"/>
      <c r="S62" s="644"/>
      <c r="T62" s="644"/>
      <c r="U62" s="644"/>
    </row>
    <row r="63" spans="3:21">
      <c r="C63" s="477" t="s">
        <v>1599</v>
      </c>
      <c r="H63" s="644"/>
      <c r="I63" s="644"/>
      <c r="J63" s="644"/>
      <c r="K63" s="644"/>
      <c r="L63" s="644"/>
      <c r="M63" s="644"/>
      <c r="N63" s="644"/>
      <c r="O63" s="644"/>
      <c r="P63" s="644"/>
      <c r="Q63" s="644"/>
      <c r="R63" s="644"/>
      <c r="S63" s="644"/>
      <c r="T63" s="644"/>
      <c r="U63" s="644"/>
    </row>
    <row r="64" spans="3:21">
      <c r="C64" s="477" t="s">
        <v>1600</v>
      </c>
      <c r="H64" s="644"/>
      <c r="I64" s="644"/>
      <c r="J64" s="644"/>
      <c r="K64" s="644"/>
      <c r="L64" s="644"/>
      <c r="M64" s="644"/>
      <c r="N64" s="644"/>
      <c r="O64" s="644"/>
      <c r="P64" s="644"/>
      <c r="Q64" s="644"/>
      <c r="R64" s="644"/>
      <c r="S64" s="644"/>
      <c r="T64" s="644"/>
      <c r="U64" s="644"/>
    </row>
    <row r="65" spans="3:21">
      <c r="C65" s="477" t="s">
        <v>1601</v>
      </c>
      <c r="H65" s="644"/>
      <c r="I65" s="644"/>
      <c r="J65" s="644"/>
      <c r="K65" s="644"/>
      <c r="L65" s="644"/>
      <c r="M65" s="644"/>
      <c r="N65" s="644"/>
      <c r="O65" s="644"/>
      <c r="P65" s="644"/>
      <c r="Q65" s="644"/>
      <c r="R65" s="644"/>
      <c r="S65" s="644"/>
      <c r="T65" s="644"/>
      <c r="U65" s="644"/>
    </row>
    <row r="66" spans="3:21">
      <c r="C66" s="477" t="s">
        <v>1602</v>
      </c>
      <c r="H66" s="644"/>
      <c r="I66" s="644"/>
      <c r="J66" s="644"/>
      <c r="K66" s="644"/>
      <c r="L66" s="644"/>
      <c r="M66" s="644"/>
      <c r="N66" s="644"/>
      <c r="O66" s="644"/>
      <c r="P66" s="644"/>
      <c r="Q66" s="644"/>
      <c r="R66" s="644"/>
      <c r="S66" s="644"/>
      <c r="T66" s="644"/>
      <c r="U66" s="644"/>
    </row>
    <row r="67" spans="3:21">
      <c r="H67" s="644"/>
      <c r="I67" s="644"/>
      <c r="J67" s="644"/>
      <c r="K67" s="644"/>
      <c r="L67" s="644"/>
      <c r="M67" s="644"/>
      <c r="N67" s="644"/>
      <c r="O67" s="644"/>
      <c r="P67" s="644"/>
      <c r="Q67" s="644"/>
      <c r="R67" s="644"/>
      <c r="S67" s="644"/>
      <c r="T67" s="644"/>
      <c r="U67" s="644"/>
    </row>
    <row r="68" spans="3:21">
      <c r="H68" s="644"/>
      <c r="I68" s="644"/>
      <c r="J68" s="644"/>
      <c r="K68" s="644"/>
      <c r="L68" s="644"/>
      <c r="M68" s="644"/>
      <c r="N68" s="644"/>
      <c r="O68" s="644"/>
      <c r="P68" s="644"/>
      <c r="Q68" s="644"/>
      <c r="R68" s="644"/>
      <c r="S68" s="644"/>
      <c r="T68" s="644"/>
      <c r="U68" s="644"/>
    </row>
    <row r="69" spans="3:21">
      <c r="H69" s="644"/>
      <c r="I69" s="644"/>
      <c r="J69" s="644"/>
      <c r="K69" s="644"/>
      <c r="L69" s="644"/>
      <c r="M69" s="644"/>
      <c r="N69" s="644"/>
      <c r="O69" s="644"/>
      <c r="P69" s="644"/>
      <c r="Q69" s="644"/>
      <c r="R69" s="644"/>
      <c r="S69" s="644"/>
      <c r="T69" s="644"/>
      <c r="U69" s="644"/>
    </row>
  </sheetData>
  <mergeCells count="66">
    <mergeCell ref="C11:E11"/>
    <mergeCell ref="F11:G11"/>
    <mergeCell ref="B3:F3"/>
    <mergeCell ref="D9:F9"/>
    <mergeCell ref="H9:O10"/>
    <mergeCell ref="C10:E10"/>
    <mergeCell ref="F10:G10"/>
    <mergeCell ref="B12:B20"/>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20:E20"/>
    <mergeCell ref="F20:G20"/>
    <mergeCell ref="C21:E21"/>
    <mergeCell ref="F21:G21"/>
    <mergeCell ref="C19:E19"/>
    <mergeCell ref="F19:G19"/>
    <mergeCell ref="C22:E22"/>
    <mergeCell ref="F22:G22"/>
    <mergeCell ref="C23:E23"/>
    <mergeCell ref="F23:G23"/>
    <mergeCell ref="C24:E24"/>
    <mergeCell ref="F24:G24"/>
    <mergeCell ref="C25:E25"/>
    <mergeCell ref="F25:G25"/>
    <mergeCell ref="C33:E33"/>
    <mergeCell ref="F33:G33"/>
    <mergeCell ref="C26:E26"/>
    <mergeCell ref="F26:G26"/>
    <mergeCell ref="B27:B35"/>
    <mergeCell ref="C27:E27"/>
    <mergeCell ref="F27:G27"/>
    <mergeCell ref="C28:E28"/>
    <mergeCell ref="F28:G28"/>
    <mergeCell ref="C29:E29"/>
    <mergeCell ref="F29:G29"/>
    <mergeCell ref="C30:E30"/>
    <mergeCell ref="F30:G30"/>
    <mergeCell ref="C31:E31"/>
    <mergeCell ref="F31:G31"/>
    <mergeCell ref="C32:E32"/>
    <mergeCell ref="F32:G32"/>
    <mergeCell ref="C34:E34"/>
    <mergeCell ref="F34:G34"/>
    <mergeCell ref="C35:E35"/>
    <mergeCell ref="F35:G35"/>
    <mergeCell ref="C36:E36"/>
    <mergeCell ref="F36:G36"/>
    <mergeCell ref="C37:E37"/>
    <mergeCell ref="F37:G37"/>
    <mergeCell ref="H46:U69"/>
    <mergeCell ref="C38:E38"/>
    <mergeCell ref="F38:G38"/>
    <mergeCell ref="C39:E39"/>
    <mergeCell ref="F39:G39"/>
  </mergeCells>
  <phoneticPr fontId="1"/>
  <dataValidations count="1">
    <dataValidation type="list" allowBlank="1" showInputMessage="1" showErrorMessage="1" sqref="C11:E39" xr:uid="{70C7F5E2-4E39-40FF-B060-FBC902F59D9B}">
      <formula1>$C$48:$C$68</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2DF9-EC73-4991-8F38-27853365CD76}">
  <dimension ref="B1:AR30"/>
  <sheetViews>
    <sheetView view="pageBreakPreview" zoomScaleNormal="100" zoomScaleSheetLayoutView="100" workbookViewId="0">
      <pane ySplit="4" topLeftCell="A5" activePane="bottomLeft" state="frozen"/>
      <selection activeCell="L9" sqref="L9:Q9"/>
      <selection pane="bottomLeft" activeCell="J21" sqref="J21"/>
    </sheetView>
  </sheetViews>
  <sheetFormatPr defaultColWidth="9" defaultRowHeight="18"/>
  <cols>
    <col min="1" max="1" width="0.5" style="447" customWidth="1"/>
    <col min="2" max="2" width="6.58203125" style="447" customWidth="1"/>
    <col min="3" max="13" width="5.58203125" style="447" customWidth="1"/>
    <col min="14" max="15" width="7.08203125" style="447" customWidth="1"/>
    <col min="16" max="17" width="6.25" style="447" customWidth="1"/>
    <col min="18" max="30" width="5.58203125" style="447" customWidth="1"/>
    <col min="31" max="31" width="3.33203125" style="447" customWidth="1"/>
    <col min="32" max="32" width="9" style="446"/>
    <col min="33" max="35" width="9" style="447"/>
    <col min="36" max="39" width="7.25" style="447" customWidth="1"/>
    <col min="40" max="16384" width="9" style="447"/>
  </cols>
  <sheetData>
    <row r="1" spans="2:44" ht="5.25" customHeight="1"/>
    <row r="2" spans="2:44" ht="18.75" customHeight="1">
      <c r="B2" s="677" t="s">
        <v>1255</v>
      </c>
      <c r="C2" s="682" t="s">
        <v>1256</v>
      </c>
      <c r="D2" s="701"/>
      <c r="E2" s="701"/>
      <c r="F2" s="701"/>
      <c r="G2" s="674"/>
      <c r="H2" s="702" t="s">
        <v>1257</v>
      </c>
      <c r="I2" s="703"/>
      <c r="J2" s="682" t="s">
        <v>1209</v>
      </c>
      <c r="K2" s="701"/>
      <c r="L2" s="674"/>
      <c r="M2" s="704" t="s">
        <v>1210</v>
      </c>
      <c r="N2" s="449"/>
      <c r="O2" s="450"/>
      <c r="P2" s="683" t="s">
        <v>1258</v>
      </c>
      <c r="Q2" s="686" t="s">
        <v>1628</v>
      </c>
      <c r="R2" s="706" t="s">
        <v>1211</v>
      </c>
      <c r="S2" s="706"/>
      <c r="T2" s="706"/>
      <c r="U2" s="706"/>
      <c r="V2" s="706"/>
      <c r="W2" s="706"/>
      <c r="X2" s="702"/>
      <c r="Y2" s="702"/>
      <c r="Z2" s="702"/>
      <c r="AA2" s="702"/>
      <c r="AB2" s="451"/>
      <c r="AC2" s="674" t="s">
        <v>1212</v>
      </c>
      <c r="AD2" s="677" t="s">
        <v>1213</v>
      </c>
      <c r="AF2" s="446" t="s">
        <v>1214</v>
      </c>
    </row>
    <row r="3" spans="2:44" ht="24" customHeight="1">
      <c r="B3" s="678"/>
      <c r="C3" s="677" t="s">
        <v>1215</v>
      </c>
      <c r="D3" s="684" t="s">
        <v>1259</v>
      </c>
      <c r="E3" s="677" t="s">
        <v>1217</v>
      </c>
      <c r="F3" s="689" t="s">
        <v>1755</v>
      </c>
      <c r="G3" s="678" t="s">
        <v>1220</v>
      </c>
      <c r="H3" s="677" t="s">
        <v>1260</v>
      </c>
      <c r="I3" s="674" t="s">
        <v>1261</v>
      </c>
      <c r="J3" s="677" t="s">
        <v>1218</v>
      </c>
      <c r="K3" s="677" t="s">
        <v>1219</v>
      </c>
      <c r="L3" s="678" t="s">
        <v>1220</v>
      </c>
      <c r="M3" s="705"/>
      <c r="N3" s="684" t="s">
        <v>1262</v>
      </c>
      <c r="O3" s="684" t="s">
        <v>1263</v>
      </c>
      <c r="P3" s="678"/>
      <c r="Q3" s="687"/>
      <c r="R3" s="677" t="s">
        <v>1221</v>
      </c>
      <c r="S3" s="677" t="s">
        <v>1222</v>
      </c>
      <c r="T3" s="677" t="s">
        <v>1223</v>
      </c>
      <c r="U3" s="677" t="s">
        <v>1224</v>
      </c>
      <c r="V3" s="677" t="s">
        <v>1225</v>
      </c>
      <c r="W3" s="680" t="s">
        <v>1264</v>
      </c>
      <c r="X3" s="680" t="s">
        <v>1265</v>
      </c>
      <c r="Y3" s="680" t="s">
        <v>1266</v>
      </c>
      <c r="Z3" s="452"/>
      <c r="AA3" s="682" t="s">
        <v>1226</v>
      </c>
      <c r="AB3" s="452"/>
      <c r="AC3" s="675"/>
      <c r="AD3" s="678"/>
    </row>
    <row r="4" spans="2:44" ht="24" customHeight="1">
      <c r="B4" s="681"/>
      <c r="C4" s="681"/>
      <c r="D4" s="681"/>
      <c r="E4" s="681"/>
      <c r="F4" s="690"/>
      <c r="G4" s="678"/>
      <c r="H4" s="678"/>
      <c r="I4" s="675"/>
      <c r="J4" s="681"/>
      <c r="K4" s="681"/>
      <c r="L4" s="678"/>
      <c r="M4" s="705"/>
      <c r="N4" s="685"/>
      <c r="O4" s="685"/>
      <c r="P4" s="678"/>
      <c r="Q4" s="688"/>
      <c r="R4" s="681"/>
      <c r="S4" s="681"/>
      <c r="T4" s="681"/>
      <c r="U4" s="681"/>
      <c r="V4" s="681"/>
      <c r="W4" s="681"/>
      <c r="X4" s="681"/>
      <c r="Y4" s="681"/>
      <c r="Z4" s="453" t="s">
        <v>168</v>
      </c>
      <c r="AA4" s="681"/>
      <c r="AB4" s="453" t="s">
        <v>1267</v>
      </c>
      <c r="AC4" s="675"/>
      <c r="AD4" s="678"/>
      <c r="AG4" s="447" t="s">
        <v>1268</v>
      </c>
      <c r="AH4" s="447" t="s">
        <v>1269</v>
      </c>
      <c r="AJ4" s="516"/>
      <c r="AK4" s="517"/>
      <c r="AL4" s="517"/>
      <c r="AM4" s="697" t="s">
        <v>1320</v>
      </c>
      <c r="AO4" s="447" t="s">
        <v>1321</v>
      </c>
      <c r="AP4" s="447" t="s">
        <v>1328</v>
      </c>
    </row>
    <row r="5" spans="2:44" ht="13.5" customHeight="1">
      <c r="B5" s="691" t="s">
        <v>1322</v>
      </c>
      <c r="C5" s="692"/>
      <c r="D5" s="692"/>
      <c r="E5" s="692"/>
      <c r="F5" s="692"/>
      <c r="G5" s="692"/>
      <c r="H5" s="692"/>
      <c r="I5" s="692"/>
      <c r="J5" s="692"/>
      <c r="K5" s="692"/>
      <c r="L5" s="692"/>
      <c r="M5" s="692"/>
      <c r="N5" s="692"/>
      <c r="O5" s="692"/>
      <c r="P5" s="692"/>
      <c r="Q5" s="693"/>
      <c r="R5" s="515">
        <f>⑤基本加算１!J6</f>
        <v>215833.33333333401</v>
      </c>
      <c r="S5" s="514">
        <f>⑥基本加算２!I6</f>
        <v>327916.66666666698</v>
      </c>
      <c r="T5" s="514">
        <f>S5</f>
        <v>327916.66666666698</v>
      </c>
      <c r="U5" s="514">
        <f>⑧一般加算１!M6</f>
        <v>221916.66666666701</v>
      </c>
      <c r="V5" s="514">
        <f>U5</f>
        <v>221916.66666666701</v>
      </c>
      <c r="W5" s="514">
        <f>⑩特定加算１!I6</f>
        <v>271333.33333333401</v>
      </c>
      <c r="X5" s="514">
        <f>W5</f>
        <v>271333.33333333401</v>
      </c>
      <c r="Y5" s="514">
        <f>W5</f>
        <v>271333.33333333401</v>
      </c>
      <c r="Z5" s="514" t="s">
        <v>273</v>
      </c>
      <c r="AA5" s="514">
        <f>Y5</f>
        <v>271333.33333333401</v>
      </c>
      <c r="AB5" s="514" t="s">
        <v>273</v>
      </c>
      <c r="AC5" s="675"/>
      <c r="AD5" s="678"/>
      <c r="AJ5" s="700" t="s">
        <v>1323</v>
      </c>
      <c r="AK5" s="700" t="s">
        <v>1324</v>
      </c>
      <c r="AL5" s="700" t="s">
        <v>1325</v>
      </c>
      <c r="AM5" s="698"/>
    </row>
    <row r="6" spans="2:44" ht="13.5" customHeight="1" thickBot="1">
      <c r="B6" s="694" t="s">
        <v>1326</v>
      </c>
      <c r="C6" s="695"/>
      <c r="D6" s="695"/>
      <c r="E6" s="695"/>
      <c r="F6" s="695"/>
      <c r="G6" s="695"/>
      <c r="H6" s="695"/>
      <c r="I6" s="695"/>
      <c r="J6" s="695"/>
      <c r="K6" s="695"/>
      <c r="L6" s="695"/>
      <c r="M6" s="695"/>
      <c r="N6" s="695"/>
      <c r="O6" s="695"/>
      <c r="P6" s="695"/>
      <c r="Q6" s="696"/>
      <c r="R6" s="515">
        <f>R5-(個別データ!$GO$3-10000)</f>
        <v>145883.33333333401</v>
      </c>
      <c r="S6" s="514" t="s">
        <v>273</v>
      </c>
      <c r="T6" s="514" t="s">
        <v>273</v>
      </c>
      <c r="U6" s="515">
        <f>U5-(個別データ!$GO$3-10000)</f>
        <v>151966.66666666701</v>
      </c>
      <c r="V6" s="515">
        <f>V5-(個別データ!$GO$3-10000)</f>
        <v>151966.66666666701</v>
      </c>
      <c r="W6" s="514" t="s">
        <v>273</v>
      </c>
      <c r="X6" s="514" t="s">
        <v>273</v>
      </c>
      <c r="Y6" s="514" t="s">
        <v>273</v>
      </c>
      <c r="Z6" s="514" t="s">
        <v>273</v>
      </c>
      <c r="AA6" s="514" t="s">
        <v>273</v>
      </c>
      <c r="AB6" s="514" t="s">
        <v>273</v>
      </c>
      <c r="AC6" s="676"/>
      <c r="AD6" s="679"/>
      <c r="AJ6" s="699"/>
      <c r="AK6" s="699"/>
      <c r="AL6" s="699"/>
      <c r="AM6" s="699"/>
      <c r="AR6" s="447" t="s">
        <v>1346</v>
      </c>
    </row>
    <row r="7" spans="2:44" ht="15.75" customHeight="1" thickTop="1">
      <c r="B7" s="454" t="s">
        <v>1227</v>
      </c>
      <c r="C7" s="454" t="e">
        <f>'④-1月別配置内訳書(2)-(2)-(A)'!AB9</f>
        <v>#DIV/0!</v>
      </c>
      <c r="D7" s="454" t="e">
        <f>'④-1月別配置内訳書(2)-(2)-(A)'!AD9</f>
        <v>#N/A</v>
      </c>
      <c r="E7" s="454" t="e">
        <f>'④-1月別配置内訳書(2)-(2)-(A)'!AE9</f>
        <v>#DIV/0!</v>
      </c>
      <c r="F7" s="628" t="e">
        <f>SUM(C7:E7)</f>
        <v>#DIV/0!</v>
      </c>
      <c r="G7" s="631" t="e">
        <f>'④-1月別配置内訳書(2)-(2)-(A)'!AI9</f>
        <v>#DIV/0!</v>
      </c>
      <c r="H7" s="617" t="e">
        <f>'④-2月別配置内訳書(2)-(2)-(B)'!AF9-'④-2月別配置内訳書(2)-(2)-(B)'!AG9</f>
        <v>#DIV/0!</v>
      </c>
      <c r="I7" s="618" t="e">
        <f>'④-3月別配置内訳書(2)-(2)-(C)・(D)'!V9-'④-3月別配置内訳書(2)-(2)-(C)・(D)'!W9</f>
        <v>#DIV/0!</v>
      </c>
      <c r="J7" s="458" t="e">
        <f>'④-3月別配置内訳書(2)-(2)-(C)・(D)'!Z9</f>
        <v>#N/A</v>
      </c>
      <c r="K7" s="632" t="e">
        <f>'④-3月別配置内訳書(2)-(2)-(C)・(D)'!AT9</f>
        <v>#DIV/0!</v>
      </c>
      <c r="L7" s="619" t="e">
        <f>IF(K7-J7&lt;0,0,K7-J7)</f>
        <v>#DIV/0!</v>
      </c>
      <c r="M7" s="618" t="e">
        <f>'④-４月別配置内訳書(2)-(2)-(E)'!V9</f>
        <v>#DIV/0!</v>
      </c>
      <c r="N7" s="460" t="e">
        <f>SUM(L7:M7,C7:E7,H7:I7)</f>
        <v>#DIV/0!</v>
      </c>
      <c r="O7" s="461">
        <f>AG7</f>
        <v>4</v>
      </c>
      <c r="P7" s="615" t="e">
        <f>MIN(N7:O7)</f>
        <v>#DIV/0!</v>
      </c>
      <c r="Q7" s="616" t="e">
        <f>N7-L7-AC7</f>
        <v>#DIV/0!</v>
      </c>
      <c r="R7" s="463"/>
      <c r="S7" s="463"/>
      <c r="T7" s="463"/>
      <c r="U7" s="464"/>
      <c r="V7" s="463"/>
      <c r="W7" s="464"/>
      <c r="X7" s="464"/>
      <c r="Y7" s="464"/>
      <c r="Z7" s="465">
        <f>①基本情報!F29</f>
        <v>0</v>
      </c>
      <c r="AA7" s="464"/>
      <c r="AB7" s="465">
        <f>SUM('③児童数及び職員定数 (2)-(1)'!C10:D10)</f>
        <v>0</v>
      </c>
      <c r="AC7" s="461">
        <f>COUNTA(R7:Y7,AA7)</f>
        <v>0</v>
      </c>
      <c r="AD7" s="462" t="e">
        <f>IF(ROUNDDOWN(P7,0)=AC7,"○","✕")</f>
        <v>#DIV/0!</v>
      </c>
      <c r="AE7" s="447" t="str">
        <f t="shared" ref="AE7:AE18" si="0">IF(AR7=5,"✕","○")</f>
        <v>○</v>
      </c>
      <c r="AG7" s="447">
        <f>IF(AH7="〇",4+Z7+1,4+Z7)</f>
        <v>4</v>
      </c>
      <c r="AH7" s="447" t="str">
        <f>IF(AB7&gt;=36,"〇","✕")</f>
        <v>✕</v>
      </c>
      <c r="AJ7" s="518" t="str">
        <f>IF(Z7=0,"","〇")</f>
        <v/>
      </c>
      <c r="AK7" s="518" t="str">
        <f>IF(R7="","","〇")</f>
        <v/>
      </c>
      <c r="AL7" s="518" t="str">
        <f>IF(AND(S7="",T7="",U7="",V7="",W7=""),"〇","")</f>
        <v>〇</v>
      </c>
      <c r="AM7" s="518" t="str">
        <f>IF(AND(AJ7="〇",AK7="〇",AL7="〇"),"〇","")</f>
        <v/>
      </c>
      <c r="AO7" s="447" t="str">
        <f>IF(R7="","〇","")</f>
        <v>〇</v>
      </c>
      <c r="AP7" s="447" t="e">
        <f>SUM(C7:E7)</f>
        <v>#DIV/0!</v>
      </c>
      <c r="AQ7" s="447" t="e">
        <f>IF(AP7&lt;0,"✕","〇")</f>
        <v>#DIV/0!</v>
      </c>
      <c r="AR7" s="447">
        <f t="shared" ref="AR7:AR18" si="1">COUNTA(R7:V7)</f>
        <v>0</v>
      </c>
    </row>
    <row r="8" spans="2:44" ht="15.75" customHeight="1">
      <c r="B8" s="454" t="s">
        <v>1228</v>
      </c>
      <c r="C8" s="454" t="e">
        <f>'④-1月別配置内訳書(2)-(2)-(A)'!AB10</f>
        <v>#DIV/0!</v>
      </c>
      <c r="D8" s="454" t="e">
        <f>'④-1月別配置内訳書(2)-(2)-(A)'!AD10</f>
        <v>#N/A</v>
      </c>
      <c r="E8" s="454" t="e">
        <f>'④-1月別配置内訳書(2)-(2)-(A)'!AE10</f>
        <v>#DIV/0!</v>
      </c>
      <c r="F8" s="467" t="e">
        <f t="shared" ref="F8:F18" si="2">SUM(C8:E8)</f>
        <v>#DIV/0!</v>
      </c>
      <c r="G8" s="620" t="e">
        <f>'④-1月別配置内訳書(2)-(2)-(A)'!AI10</f>
        <v>#DIV/0!</v>
      </c>
      <c r="H8" s="467" t="e">
        <f>'④-2月別配置内訳書(2)-(2)-(B)'!AF10-'④-2月別配置内訳書(2)-(2)-(B)'!AG10</f>
        <v>#DIV/0!</v>
      </c>
      <c r="I8" s="468" t="e">
        <f>'④-3月別配置内訳書(2)-(2)-(C)・(D)'!V10-'④-3月別配置内訳書(2)-(2)-(C)・(D)'!W10</f>
        <v>#DIV/0!</v>
      </c>
      <c r="J8" s="458" t="e">
        <f>'④-3月別配置内訳書(2)-(2)-(C)・(D)'!Z10</f>
        <v>#N/A</v>
      </c>
      <c r="K8" s="633" t="e">
        <f>'④-3月別配置内訳書(2)-(2)-(C)・(D)'!AT10</f>
        <v>#DIV/0!</v>
      </c>
      <c r="L8" s="623" t="e">
        <f t="shared" ref="L8:L18" si="3">IF(K8-J8&lt;0,0,K8-J8)</f>
        <v>#DIV/0!</v>
      </c>
      <c r="M8" s="468" t="e">
        <f>'④-４月別配置内訳書(2)-(2)-(E)'!V10</f>
        <v>#DIV/0!</v>
      </c>
      <c r="N8" s="458" t="e">
        <f>SUM(L8:M8,C8:E8,H8:I8)</f>
        <v>#DIV/0!</v>
      </c>
      <c r="O8" s="624" t="e">
        <f t="shared" ref="O8:O18" si="4">AG8</f>
        <v>#N/A</v>
      </c>
      <c r="P8" s="625" t="e">
        <f t="shared" ref="P8:P18" si="5">MIN(N8:O8)</f>
        <v>#DIV/0!</v>
      </c>
      <c r="Q8" s="623" t="e">
        <f t="shared" ref="Q8:Q18" si="6">N8-L8-AC8</f>
        <v>#DIV/0!</v>
      </c>
      <c r="R8" s="463" t="str">
        <f>IF(R7="","",R7)</f>
        <v/>
      </c>
      <c r="S8" s="463" t="str">
        <f t="shared" ref="S8:AA8" si="7">IF(S7="","",S7)</f>
        <v/>
      </c>
      <c r="T8" s="463" t="str">
        <f t="shared" si="7"/>
        <v/>
      </c>
      <c r="U8" s="463" t="str">
        <f t="shared" si="7"/>
        <v/>
      </c>
      <c r="V8" s="463" t="str">
        <f t="shared" si="7"/>
        <v/>
      </c>
      <c r="W8" s="463" t="str">
        <f t="shared" si="7"/>
        <v/>
      </c>
      <c r="X8" s="463" t="str">
        <f t="shared" si="7"/>
        <v/>
      </c>
      <c r="Y8" s="463" t="str">
        <f t="shared" si="7"/>
        <v/>
      </c>
      <c r="Z8" s="465" t="e">
        <f>①基本情報!G29</f>
        <v>#N/A</v>
      </c>
      <c r="AA8" s="463" t="str">
        <f t="shared" si="7"/>
        <v/>
      </c>
      <c r="AB8" s="465">
        <f>SUM('③児童数及び職員定数 (2)-(1)'!C11:D11)</f>
        <v>0</v>
      </c>
      <c r="AC8" s="461">
        <f t="shared" ref="AC8:AC18" si="8">COUNTA(R8:Y8,AA8)</f>
        <v>9</v>
      </c>
      <c r="AD8" s="470" t="e">
        <f t="shared" ref="AD8:AD18" si="9">IF(ROUNDDOWN(P8,0)=AC8,"○","✕")</f>
        <v>#DIV/0!</v>
      </c>
      <c r="AE8" s="447" t="str">
        <f t="shared" si="0"/>
        <v>✕</v>
      </c>
      <c r="AG8" s="447" t="e">
        <f t="shared" ref="AG8:AG18" si="10">IF(AH8="〇",4+Z8+1,4+Z8)</f>
        <v>#N/A</v>
      </c>
      <c r="AH8" s="447" t="str">
        <f t="shared" ref="AH8:AH18" si="11">IF(AB8&gt;=36,"〇","✕")</f>
        <v>✕</v>
      </c>
      <c r="AJ8" s="518" t="e">
        <f t="shared" ref="AJ8:AJ18" si="12">IF(Z8=0,"","〇")</f>
        <v>#N/A</v>
      </c>
      <c r="AK8" s="518" t="str">
        <f>IF(R8="","","〇")</f>
        <v/>
      </c>
      <c r="AL8" s="518" t="str">
        <f t="shared" ref="AL8:AL18" si="13">IF(AND(S8="",T8="",U8="",V8="",W8=""),"〇","")</f>
        <v>〇</v>
      </c>
      <c r="AM8" s="518" t="e">
        <f>IF(AND(AJ8="〇",AK8="〇",AL8="〇"),"〇","")</f>
        <v>#N/A</v>
      </c>
      <c r="AO8" s="447" t="str">
        <f t="shared" ref="AO8:AO18" si="14">IF(R8="","〇","")</f>
        <v>〇</v>
      </c>
      <c r="AP8" s="447" t="e">
        <f t="shared" ref="AP8:AP18" si="15">SUM(C8:E8)</f>
        <v>#DIV/0!</v>
      </c>
      <c r="AQ8" s="447" t="e">
        <f t="shared" ref="AQ8:AQ18" si="16">IF(AP8&lt;0,"✕","〇")</f>
        <v>#DIV/0!</v>
      </c>
      <c r="AR8" s="447">
        <f t="shared" si="1"/>
        <v>5</v>
      </c>
    </row>
    <row r="9" spans="2:44" ht="15.75" customHeight="1">
      <c r="B9" s="454" t="s">
        <v>1229</v>
      </c>
      <c r="C9" s="454" t="e">
        <f>'④-1月別配置内訳書(2)-(2)-(A)'!AB11</f>
        <v>#DIV/0!</v>
      </c>
      <c r="D9" s="454" t="e">
        <f>'④-1月別配置内訳書(2)-(2)-(A)'!AD11</f>
        <v>#N/A</v>
      </c>
      <c r="E9" s="454" t="e">
        <f>'④-1月別配置内訳書(2)-(2)-(A)'!AE11</f>
        <v>#DIV/0!</v>
      </c>
      <c r="F9" s="467" t="e">
        <f t="shared" si="2"/>
        <v>#DIV/0!</v>
      </c>
      <c r="G9" s="620" t="e">
        <f>'④-1月別配置内訳書(2)-(2)-(A)'!AI11</f>
        <v>#DIV/0!</v>
      </c>
      <c r="H9" s="467" t="e">
        <f>'④-2月別配置内訳書(2)-(2)-(B)'!AF11-'④-2月別配置内訳書(2)-(2)-(B)'!AG11</f>
        <v>#DIV/0!</v>
      </c>
      <c r="I9" s="468" t="e">
        <f>'④-3月別配置内訳書(2)-(2)-(C)・(D)'!V11-'④-3月別配置内訳書(2)-(2)-(C)・(D)'!W11</f>
        <v>#DIV/0!</v>
      </c>
      <c r="J9" s="458" t="e">
        <f>'④-3月別配置内訳書(2)-(2)-(C)・(D)'!Z11</f>
        <v>#N/A</v>
      </c>
      <c r="K9" s="633" t="e">
        <f>'④-3月別配置内訳書(2)-(2)-(C)・(D)'!AT11</f>
        <v>#DIV/0!</v>
      </c>
      <c r="L9" s="623" t="e">
        <f t="shared" si="3"/>
        <v>#DIV/0!</v>
      </c>
      <c r="M9" s="468" t="e">
        <f>'④-４月別配置内訳書(2)-(2)-(E)'!V11</f>
        <v>#DIV/0!</v>
      </c>
      <c r="N9" s="458" t="e">
        <f t="shared" ref="N9:N18" si="17">SUM(L9:M9,C9:E9,H9:I9)</f>
        <v>#DIV/0!</v>
      </c>
      <c r="O9" s="624" t="e">
        <f t="shared" si="4"/>
        <v>#N/A</v>
      </c>
      <c r="P9" s="625" t="e">
        <f t="shared" si="5"/>
        <v>#DIV/0!</v>
      </c>
      <c r="Q9" s="623" t="e">
        <f t="shared" si="6"/>
        <v>#DIV/0!</v>
      </c>
      <c r="R9" s="463" t="str">
        <f>R8</f>
        <v/>
      </c>
      <c r="S9" s="463" t="str">
        <f t="shared" ref="S9:Y9" si="18">S8</f>
        <v/>
      </c>
      <c r="T9" s="463" t="str">
        <f t="shared" si="18"/>
        <v/>
      </c>
      <c r="U9" s="463" t="str">
        <f t="shared" si="18"/>
        <v/>
      </c>
      <c r="V9" s="463" t="str">
        <f t="shared" si="18"/>
        <v/>
      </c>
      <c r="W9" s="463" t="str">
        <f t="shared" si="18"/>
        <v/>
      </c>
      <c r="X9" s="463" t="str">
        <f t="shared" si="18"/>
        <v/>
      </c>
      <c r="Y9" s="463" t="str">
        <f t="shared" si="18"/>
        <v/>
      </c>
      <c r="Z9" s="465" t="e">
        <f>①基本情報!H29</f>
        <v>#N/A</v>
      </c>
      <c r="AA9" s="463" t="str">
        <f t="shared" ref="AA9:AA18" si="19">AA8</f>
        <v/>
      </c>
      <c r="AB9" s="465">
        <f>SUM('③児童数及び職員定数 (2)-(1)'!C12:D12)</f>
        <v>0</v>
      </c>
      <c r="AC9" s="461">
        <f t="shared" si="8"/>
        <v>9</v>
      </c>
      <c r="AD9" s="470" t="e">
        <f t="shared" si="9"/>
        <v>#DIV/0!</v>
      </c>
      <c r="AE9" s="447" t="str">
        <f t="shared" si="0"/>
        <v>✕</v>
      </c>
      <c r="AG9" s="447" t="e">
        <f t="shared" si="10"/>
        <v>#N/A</v>
      </c>
      <c r="AH9" s="447" t="str">
        <f t="shared" si="11"/>
        <v>✕</v>
      </c>
      <c r="AJ9" s="518" t="e">
        <f t="shared" si="12"/>
        <v>#N/A</v>
      </c>
      <c r="AK9" s="518" t="str">
        <f t="shared" ref="AK9:AK18" si="20">IF(R9="","","〇")</f>
        <v/>
      </c>
      <c r="AL9" s="518" t="str">
        <f t="shared" si="13"/>
        <v>〇</v>
      </c>
      <c r="AM9" s="518" t="e">
        <f t="shared" ref="AM9:AM17" si="21">IF(AND(AJ9="〇",AK9="〇",AL9="〇"),"〇","")</f>
        <v>#N/A</v>
      </c>
      <c r="AO9" s="447" t="str">
        <f t="shared" si="14"/>
        <v>〇</v>
      </c>
      <c r="AP9" s="447" t="e">
        <f t="shared" si="15"/>
        <v>#DIV/0!</v>
      </c>
      <c r="AQ9" s="447" t="e">
        <f t="shared" si="16"/>
        <v>#DIV/0!</v>
      </c>
      <c r="AR9" s="447">
        <f t="shared" si="1"/>
        <v>5</v>
      </c>
    </row>
    <row r="10" spans="2:44" ht="15.75" customHeight="1">
      <c r="B10" s="454" t="s">
        <v>1230</v>
      </c>
      <c r="C10" s="454" t="e">
        <f>'④-1月別配置内訳書(2)-(2)-(A)'!AB12</f>
        <v>#DIV/0!</v>
      </c>
      <c r="D10" s="454" t="e">
        <f>'④-1月別配置内訳書(2)-(2)-(A)'!AD12</f>
        <v>#N/A</v>
      </c>
      <c r="E10" s="454" t="e">
        <f>'④-1月別配置内訳書(2)-(2)-(A)'!AE12</f>
        <v>#DIV/0!</v>
      </c>
      <c r="F10" s="467" t="e">
        <f t="shared" si="2"/>
        <v>#DIV/0!</v>
      </c>
      <c r="G10" s="620" t="e">
        <f>'④-1月別配置内訳書(2)-(2)-(A)'!AI12</f>
        <v>#DIV/0!</v>
      </c>
      <c r="H10" s="467" t="e">
        <f>'④-2月別配置内訳書(2)-(2)-(B)'!AF12-'④-2月別配置内訳書(2)-(2)-(B)'!AG12</f>
        <v>#DIV/0!</v>
      </c>
      <c r="I10" s="468" t="e">
        <f>'④-3月別配置内訳書(2)-(2)-(C)・(D)'!V12-'④-3月別配置内訳書(2)-(2)-(C)・(D)'!W12</f>
        <v>#DIV/0!</v>
      </c>
      <c r="J10" s="458" t="e">
        <f>'④-3月別配置内訳書(2)-(2)-(C)・(D)'!Z12</f>
        <v>#N/A</v>
      </c>
      <c r="K10" s="633" t="e">
        <f>'④-3月別配置内訳書(2)-(2)-(C)・(D)'!AT12</f>
        <v>#DIV/0!</v>
      </c>
      <c r="L10" s="623" t="e">
        <f t="shared" si="3"/>
        <v>#DIV/0!</v>
      </c>
      <c r="M10" s="468" t="e">
        <f>'④-４月別配置内訳書(2)-(2)-(E)'!V12</f>
        <v>#DIV/0!</v>
      </c>
      <c r="N10" s="458" t="e">
        <f t="shared" si="17"/>
        <v>#DIV/0!</v>
      </c>
      <c r="O10" s="624" t="e">
        <f t="shared" si="4"/>
        <v>#N/A</v>
      </c>
      <c r="P10" s="625" t="e">
        <f t="shared" si="5"/>
        <v>#DIV/0!</v>
      </c>
      <c r="Q10" s="623" t="e">
        <f t="shared" si="6"/>
        <v>#DIV/0!</v>
      </c>
      <c r="R10" s="463" t="str">
        <f t="shared" ref="R10:R18" si="22">R9</f>
        <v/>
      </c>
      <c r="S10" s="463" t="str">
        <f t="shared" ref="S10:S18" si="23">S9</f>
        <v/>
      </c>
      <c r="T10" s="463" t="str">
        <f t="shared" ref="T10:T18" si="24">T9</f>
        <v/>
      </c>
      <c r="U10" s="463" t="str">
        <f t="shared" ref="U10:U18" si="25">U9</f>
        <v/>
      </c>
      <c r="V10" s="463" t="str">
        <f t="shared" ref="V10:V18" si="26">V9</f>
        <v/>
      </c>
      <c r="W10" s="463" t="str">
        <f t="shared" ref="W10:W18" si="27">W9</f>
        <v/>
      </c>
      <c r="X10" s="463" t="str">
        <f t="shared" ref="X10:X18" si="28">X9</f>
        <v/>
      </c>
      <c r="Y10" s="463" t="str">
        <f t="shared" ref="Y10:Y18" si="29">Y9</f>
        <v/>
      </c>
      <c r="Z10" s="465" t="e">
        <f>①基本情報!I29</f>
        <v>#N/A</v>
      </c>
      <c r="AA10" s="463" t="str">
        <f t="shared" si="19"/>
        <v/>
      </c>
      <c r="AB10" s="465">
        <f>SUM('③児童数及び職員定数 (2)-(1)'!C13:D13)</f>
        <v>0</v>
      </c>
      <c r="AC10" s="461">
        <f t="shared" si="8"/>
        <v>9</v>
      </c>
      <c r="AD10" s="470" t="e">
        <f t="shared" si="9"/>
        <v>#DIV/0!</v>
      </c>
      <c r="AE10" s="447" t="str">
        <f t="shared" si="0"/>
        <v>✕</v>
      </c>
      <c r="AG10" s="447" t="e">
        <f t="shared" si="10"/>
        <v>#N/A</v>
      </c>
      <c r="AH10" s="447" t="str">
        <f t="shared" si="11"/>
        <v>✕</v>
      </c>
      <c r="AJ10" s="518" t="e">
        <f t="shared" si="12"/>
        <v>#N/A</v>
      </c>
      <c r="AK10" s="518" t="str">
        <f t="shared" si="20"/>
        <v/>
      </c>
      <c r="AL10" s="518" t="str">
        <f t="shared" si="13"/>
        <v>〇</v>
      </c>
      <c r="AM10" s="518" t="e">
        <f t="shared" si="21"/>
        <v>#N/A</v>
      </c>
      <c r="AO10" s="447" t="str">
        <f t="shared" si="14"/>
        <v>〇</v>
      </c>
      <c r="AP10" s="447" t="e">
        <f t="shared" si="15"/>
        <v>#DIV/0!</v>
      </c>
      <c r="AQ10" s="447" t="e">
        <f t="shared" si="16"/>
        <v>#DIV/0!</v>
      </c>
      <c r="AR10" s="447">
        <f t="shared" si="1"/>
        <v>5</v>
      </c>
    </row>
    <row r="11" spans="2:44" ht="15.75" customHeight="1">
      <c r="B11" s="454" t="s">
        <v>1231</v>
      </c>
      <c r="C11" s="454" t="e">
        <f>'④-1月別配置内訳書(2)-(2)-(A)'!AB13</f>
        <v>#DIV/0!</v>
      </c>
      <c r="D11" s="454" t="e">
        <f>'④-1月別配置内訳書(2)-(2)-(A)'!AD13</f>
        <v>#N/A</v>
      </c>
      <c r="E11" s="454" t="e">
        <f>'④-1月別配置内訳書(2)-(2)-(A)'!AE13</f>
        <v>#DIV/0!</v>
      </c>
      <c r="F11" s="467" t="e">
        <f t="shared" si="2"/>
        <v>#DIV/0!</v>
      </c>
      <c r="G11" s="620" t="e">
        <f>'④-1月別配置内訳書(2)-(2)-(A)'!AI13</f>
        <v>#DIV/0!</v>
      </c>
      <c r="H11" s="467" t="e">
        <f>'④-2月別配置内訳書(2)-(2)-(B)'!AF13-'④-2月別配置内訳書(2)-(2)-(B)'!AG13</f>
        <v>#DIV/0!</v>
      </c>
      <c r="I11" s="468" t="e">
        <f>'④-3月別配置内訳書(2)-(2)-(C)・(D)'!V13-'④-3月別配置内訳書(2)-(2)-(C)・(D)'!W13</f>
        <v>#DIV/0!</v>
      </c>
      <c r="J11" s="458" t="e">
        <f>'④-3月別配置内訳書(2)-(2)-(C)・(D)'!Z13</f>
        <v>#N/A</v>
      </c>
      <c r="K11" s="633" t="e">
        <f>'④-3月別配置内訳書(2)-(2)-(C)・(D)'!AT13</f>
        <v>#DIV/0!</v>
      </c>
      <c r="L11" s="623" t="e">
        <f t="shared" si="3"/>
        <v>#DIV/0!</v>
      </c>
      <c r="M11" s="468" t="e">
        <f>'④-４月別配置内訳書(2)-(2)-(E)'!V13</f>
        <v>#DIV/0!</v>
      </c>
      <c r="N11" s="458" t="e">
        <f t="shared" si="17"/>
        <v>#DIV/0!</v>
      </c>
      <c r="O11" s="624" t="e">
        <f t="shared" si="4"/>
        <v>#N/A</v>
      </c>
      <c r="P11" s="625" t="e">
        <f t="shared" si="5"/>
        <v>#DIV/0!</v>
      </c>
      <c r="Q11" s="623" t="e">
        <f t="shared" si="6"/>
        <v>#DIV/0!</v>
      </c>
      <c r="R11" s="463" t="str">
        <f t="shared" si="22"/>
        <v/>
      </c>
      <c r="S11" s="463" t="str">
        <f t="shared" si="23"/>
        <v/>
      </c>
      <c r="T11" s="463" t="str">
        <f t="shared" si="24"/>
        <v/>
      </c>
      <c r="U11" s="463" t="str">
        <f t="shared" si="25"/>
        <v/>
      </c>
      <c r="V11" s="463" t="str">
        <f t="shared" si="26"/>
        <v/>
      </c>
      <c r="W11" s="463" t="str">
        <f t="shared" si="27"/>
        <v/>
      </c>
      <c r="X11" s="463" t="str">
        <f t="shared" si="28"/>
        <v/>
      </c>
      <c r="Y11" s="463" t="str">
        <f t="shared" si="29"/>
        <v/>
      </c>
      <c r="Z11" s="465" t="e">
        <f>①基本情報!J29</f>
        <v>#N/A</v>
      </c>
      <c r="AA11" s="463" t="str">
        <f t="shared" si="19"/>
        <v/>
      </c>
      <c r="AB11" s="465">
        <f>SUM('③児童数及び職員定数 (2)-(1)'!C14:D14)</f>
        <v>0</v>
      </c>
      <c r="AC11" s="461">
        <f t="shared" si="8"/>
        <v>9</v>
      </c>
      <c r="AD11" s="470" t="e">
        <f t="shared" si="9"/>
        <v>#DIV/0!</v>
      </c>
      <c r="AE11" s="447" t="str">
        <f t="shared" si="0"/>
        <v>✕</v>
      </c>
      <c r="AG11" s="447" t="e">
        <f t="shared" si="10"/>
        <v>#N/A</v>
      </c>
      <c r="AH11" s="447" t="str">
        <f t="shared" si="11"/>
        <v>✕</v>
      </c>
      <c r="AJ11" s="518" t="e">
        <f t="shared" si="12"/>
        <v>#N/A</v>
      </c>
      <c r="AK11" s="518" t="str">
        <f t="shared" si="20"/>
        <v/>
      </c>
      <c r="AL11" s="518" t="str">
        <f t="shared" si="13"/>
        <v>〇</v>
      </c>
      <c r="AM11" s="518" t="e">
        <f t="shared" si="21"/>
        <v>#N/A</v>
      </c>
      <c r="AO11" s="447" t="str">
        <f t="shared" si="14"/>
        <v>〇</v>
      </c>
      <c r="AP11" s="447" t="e">
        <f t="shared" si="15"/>
        <v>#DIV/0!</v>
      </c>
      <c r="AQ11" s="447" t="e">
        <f t="shared" si="16"/>
        <v>#DIV/0!</v>
      </c>
      <c r="AR11" s="447">
        <f t="shared" si="1"/>
        <v>5</v>
      </c>
    </row>
    <row r="12" spans="2:44" ht="15.75" customHeight="1">
      <c r="B12" s="454" t="s">
        <v>1232</v>
      </c>
      <c r="C12" s="454" t="e">
        <f>'④-1月別配置内訳書(2)-(2)-(A)'!AB14</f>
        <v>#DIV/0!</v>
      </c>
      <c r="D12" s="454" t="e">
        <f>'④-1月別配置内訳書(2)-(2)-(A)'!AD14</f>
        <v>#N/A</v>
      </c>
      <c r="E12" s="454" t="e">
        <f>'④-1月別配置内訳書(2)-(2)-(A)'!AE14</f>
        <v>#DIV/0!</v>
      </c>
      <c r="F12" s="467" t="e">
        <f t="shared" si="2"/>
        <v>#DIV/0!</v>
      </c>
      <c r="G12" s="620" t="e">
        <f>'④-1月別配置内訳書(2)-(2)-(A)'!AI14</f>
        <v>#DIV/0!</v>
      </c>
      <c r="H12" s="467" t="e">
        <f>'④-2月別配置内訳書(2)-(2)-(B)'!AF14-'④-2月別配置内訳書(2)-(2)-(B)'!AG14</f>
        <v>#DIV/0!</v>
      </c>
      <c r="I12" s="468" t="e">
        <f>'④-3月別配置内訳書(2)-(2)-(C)・(D)'!V14-'④-3月別配置内訳書(2)-(2)-(C)・(D)'!W14</f>
        <v>#DIV/0!</v>
      </c>
      <c r="J12" s="458" t="e">
        <f>'④-3月別配置内訳書(2)-(2)-(C)・(D)'!Z14</f>
        <v>#N/A</v>
      </c>
      <c r="K12" s="633" t="e">
        <f>'④-3月別配置内訳書(2)-(2)-(C)・(D)'!AT14</f>
        <v>#DIV/0!</v>
      </c>
      <c r="L12" s="623" t="e">
        <f t="shared" si="3"/>
        <v>#DIV/0!</v>
      </c>
      <c r="M12" s="468" t="e">
        <f>'④-４月別配置内訳書(2)-(2)-(E)'!V14</f>
        <v>#DIV/0!</v>
      </c>
      <c r="N12" s="458" t="e">
        <f t="shared" si="17"/>
        <v>#DIV/0!</v>
      </c>
      <c r="O12" s="624" t="e">
        <f t="shared" si="4"/>
        <v>#N/A</v>
      </c>
      <c r="P12" s="625" t="e">
        <f t="shared" si="5"/>
        <v>#DIV/0!</v>
      </c>
      <c r="Q12" s="623" t="e">
        <f t="shared" si="6"/>
        <v>#DIV/0!</v>
      </c>
      <c r="R12" s="463" t="str">
        <f t="shared" si="22"/>
        <v/>
      </c>
      <c r="S12" s="463" t="str">
        <f t="shared" si="23"/>
        <v/>
      </c>
      <c r="T12" s="463" t="str">
        <f t="shared" si="24"/>
        <v/>
      </c>
      <c r="U12" s="463" t="str">
        <f t="shared" si="25"/>
        <v/>
      </c>
      <c r="V12" s="463" t="str">
        <f t="shared" si="26"/>
        <v/>
      </c>
      <c r="W12" s="463" t="str">
        <f t="shared" si="27"/>
        <v/>
      </c>
      <c r="X12" s="463" t="str">
        <f t="shared" si="28"/>
        <v/>
      </c>
      <c r="Y12" s="463" t="str">
        <f t="shared" si="29"/>
        <v/>
      </c>
      <c r="Z12" s="465" t="e">
        <f>①基本情報!K29</f>
        <v>#N/A</v>
      </c>
      <c r="AA12" s="463" t="str">
        <f t="shared" si="19"/>
        <v/>
      </c>
      <c r="AB12" s="465">
        <f>SUM('③児童数及び職員定数 (2)-(1)'!C15:D15)</f>
        <v>0</v>
      </c>
      <c r="AC12" s="461">
        <f t="shared" si="8"/>
        <v>9</v>
      </c>
      <c r="AD12" s="470" t="e">
        <f t="shared" si="9"/>
        <v>#DIV/0!</v>
      </c>
      <c r="AE12" s="447" t="str">
        <f t="shared" si="0"/>
        <v>✕</v>
      </c>
      <c r="AG12" s="447" t="e">
        <f t="shared" si="10"/>
        <v>#N/A</v>
      </c>
      <c r="AH12" s="447" t="str">
        <f t="shared" si="11"/>
        <v>✕</v>
      </c>
      <c r="AJ12" s="518" t="e">
        <f t="shared" si="12"/>
        <v>#N/A</v>
      </c>
      <c r="AK12" s="518" t="str">
        <f t="shared" si="20"/>
        <v/>
      </c>
      <c r="AL12" s="518" t="str">
        <f t="shared" si="13"/>
        <v>〇</v>
      </c>
      <c r="AM12" s="518" t="e">
        <f t="shared" si="21"/>
        <v>#N/A</v>
      </c>
      <c r="AO12" s="447" t="str">
        <f t="shared" si="14"/>
        <v>〇</v>
      </c>
      <c r="AP12" s="447" t="e">
        <f t="shared" si="15"/>
        <v>#DIV/0!</v>
      </c>
      <c r="AQ12" s="447" t="e">
        <f t="shared" si="16"/>
        <v>#DIV/0!</v>
      </c>
      <c r="AR12" s="447">
        <f t="shared" si="1"/>
        <v>5</v>
      </c>
    </row>
    <row r="13" spans="2:44" ht="15.75" customHeight="1">
      <c r="B13" s="454" t="s">
        <v>1233</v>
      </c>
      <c r="C13" s="454" t="e">
        <f>'④-1月別配置内訳書(2)-(2)-(A)'!AB15</f>
        <v>#DIV/0!</v>
      </c>
      <c r="D13" s="454" t="e">
        <f>'④-1月別配置内訳書(2)-(2)-(A)'!AD15</f>
        <v>#N/A</v>
      </c>
      <c r="E13" s="454" t="e">
        <f>'④-1月別配置内訳書(2)-(2)-(A)'!AE15</f>
        <v>#DIV/0!</v>
      </c>
      <c r="F13" s="467" t="e">
        <f t="shared" si="2"/>
        <v>#DIV/0!</v>
      </c>
      <c r="G13" s="620" t="e">
        <f>'④-1月別配置内訳書(2)-(2)-(A)'!AI15</f>
        <v>#DIV/0!</v>
      </c>
      <c r="H13" s="467" t="e">
        <f>'④-2月別配置内訳書(2)-(2)-(B)'!AF15-'④-2月別配置内訳書(2)-(2)-(B)'!AG15</f>
        <v>#DIV/0!</v>
      </c>
      <c r="I13" s="468" t="e">
        <f>'④-3月別配置内訳書(2)-(2)-(C)・(D)'!V15-'④-3月別配置内訳書(2)-(2)-(C)・(D)'!W15</f>
        <v>#DIV/0!</v>
      </c>
      <c r="J13" s="458" t="e">
        <f>'④-3月別配置内訳書(2)-(2)-(C)・(D)'!Z15</f>
        <v>#N/A</v>
      </c>
      <c r="K13" s="633" t="e">
        <f>'④-3月別配置内訳書(2)-(2)-(C)・(D)'!AT15</f>
        <v>#DIV/0!</v>
      </c>
      <c r="L13" s="623" t="e">
        <f t="shared" si="3"/>
        <v>#DIV/0!</v>
      </c>
      <c r="M13" s="468" t="e">
        <f>'④-４月別配置内訳書(2)-(2)-(E)'!V15</f>
        <v>#DIV/0!</v>
      </c>
      <c r="N13" s="458" t="e">
        <f t="shared" si="17"/>
        <v>#DIV/0!</v>
      </c>
      <c r="O13" s="624" t="e">
        <f t="shared" si="4"/>
        <v>#N/A</v>
      </c>
      <c r="P13" s="625" t="e">
        <f t="shared" si="5"/>
        <v>#DIV/0!</v>
      </c>
      <c r="Q13" s="623" t="e">
        <f t="shared" si="6"/>
        <v>#DIV/0!</v>
      </c>
      <c r="R13" s="463" t="str">
        <f t="shared" si="22"/>
        <v/>
      </c>
      <c r="S13" s="463" t="str">
        <f t="shared" si="23"/>
        <v/>
      </c>
      <c r="T13" s="463" t="str">
        <f t="shared" si="24"/>
        <v/>
      </c>
      <c r="U13" s="463" t="str">
        <f t="shared" si="25"/>
        <v/>
      </c>
      <c r="V13" s="463" t="str">
        <f t="shared" si="26"/>
        <v/>
      </c>
      <c r="W13" s="463" t="str">
        <f t="shared" si="27"/>
        <v/>
      </c>
      <c r="X13" s="463" t="str">
        <f t="shared" si="28"/>
        <v/>
      </c>
      <c r="Y13" s="463" t="str">
        <f t="shared" si="29"/>
        <v/>
      </c>
      <c r="Z13" s="465" t="e">
        <f>①基本情報!L29</f>
        <v>#N/A</v>
      </c>
      <c r="AA13" s="463" t="str">
        <f t="shared" si="19"/>
        <v/>
      </c>
      <c r="AB13" s="465">
        <f>SUM('③児童数及び職員定数 (2)-(1)'!C16:D16)</f>
        <v>0</v>
      </c>
      <c r="AC13" s="461">
        <f t="shared" si="8"/>
        <v>9</v>
      </c>
      <c r="AD13" s="470" t="e">
        <f t="shared" si="9"/>
        <v>#DIV/0!</v>
      </c>
      <c r="AE13" s="447" t="str">
        <f t="shared" si="0"/>
        <v>✕</v>
      </c>
      <c r="AG13" s="447" t="e">
        <f t="shared" si="10"/>
        <v>#N/A</v>
      </c>
      <c r="AH13" s="447" t="str">
        <f t="shared" si="11"/>
        <v>✕</v>
      </c>
      <c r="AJ13" s="518" t="e">
        <f t="shared" si="12"/>
        <v>#N/A</v>
      </c>
      <c r="AK13" s="518" t="str">
        <f t="shared" si="20"/>
        <v/>
      </c>
      <c r="AL13" s="518" t="str">
        <f t="shared" si="13"/>
        <v>〇</v>
      </c>
      <c r="AM13" s="518" t="e">
        <f t="shared" si="21"/>
        <v>#N/A</v>
      </c>
      <c r="AO13" s="447" t="str">
        <f t="shared" si="14"/>
        <v>〇</v>
      </c>
      <c r="AP13" s="447" t="e">
        <f t="shared" si="15"/>
        <v>#DIV/0!</v>
      </c>
      <c r="AQ13" s="447" t="e">
        <f t="shared" si="16"/>
        <v>#DIV/0!</v>
      </c>
      <c r="AR13" s="447">
        <f t="shared" si="1"/>
        <v>5</v>
      </c>
    </row>
    <row r="14" spans="2:44" ht="15.75" customHeight="1">
      <c r="B14" s="454" t="s">
        <v>1234</v>
      </c>
      <c r="C14" s="454" t="e">
        <f>'④-1月別配置内訳書(2)-(2)-(A)'!AB16</f>
        <v>#DIV/0!</v>
      </c>
      <c r="D14" s="454" t="e">
        <f>'④-1月別配置内訳書(2)-(2)-(A)'!AD16</f>
        <v>#N/A</v>
      </c>
      <c r="E14" s="454" t="e">
        <f>'④-1月別配置内訳書(2)-(2)-(A)'!AE16</f>
        <v>#DIV/0!</v>
      </c>
      <c r="F14" s="467" t="e">
        <f t="shared" si="2"/>
        <v>#DIV/0!</v>
      </c>
      <c r="G14" s="620" t="e">
        <f>'④-1月別配置内訳書(2)-(2)-(A)'!AI16</f>
        <v>#DIV/0!</v>
      </c>
      <c r="H14" s="467" t="e">
        <f>'④-2月別配置内訳書(2)-(2)-(B)'!AF16-'④-2月別配置内訳書(2)-(2)-(B)'!AG16</f>
        <v>#DIV/0!</v>
      </c>
      <c r="I14" s="468" t="e">
        <f>'④-3月別配置内訳書(2)-(2)-(C)・(D)'!V16-'④-3月別配置内訳書(2)-(2)-(C)・(D)'!W16</f>
        <v>#DIV/0!</v>
      </c>
      <c r="J14" s="458" t="e">
        <f>'④-3月別配置内訳書(2)-(2)-(C)・(D)'!Z16</f>
        <v>#N/A</v>
      </c>
      <c r="K14" s="633" t="e">
        <f>'④-3月別配置内訳書(2)-(2)-(C)・(D)'!AT16</f>
        <v>#DIV/0!</v>
      </c>
      <c r="L14" s="623" t="e">
        <f t="shared" si="3"/>
        <v>#DIV/0!</v>
      </c>
      <c r="M14" s="468" t="e">
        <f>'④-４月別配置内訳書(2)-(2)-(E)'!V16</f>
        <v>#DIV/0!</v>
      </c>
      <c r="N14" s="458" t="e">
        <f t="shared" si="17"/>
        <v>#DIV/0!</v>
      </c>
      <c r="O14" s="624" t="e">
        <f t="shared" si="4"/>
        <v>#N/A</v>
      </c>
      <c r="P14" s="625" t="e">
        <f t="shared" si="5"/>
        <v>#DIV/0!</v>
      </c>
      <c r="Q14" s="623" t="e">
        <f t="shared" si="6"/>
        <v>#DIV/0!</v>
      </c>
      <c r="R14" s="463" t="str">
        <f t="shared" si="22"/>
        <v/>
      </c>
      <c r="S14" s="463" t="str">
        <f t="shared" si="23"/>
        <v/>
      </c>
      <c r="T14" s="463" t="str">
        <f t="shared" si="24"/>
        <v/>
      </c>
      <c r="U14" s="463" t="str">
        <f t="shared" si="25"/>
        <v/>
      </c>
      <c r="V14" s="463" t="str">
        <f t="shared" si="26"/>
        <v/>
      </c>
      <c r="W14" s="463" t="str">
        <f t="shared" si="27"/>
        <v/>
      </c>
      <c r="X14" s="463" t="str">
        <f t="shared" si="28"/>
        <v/>
      </c>
      <c r="Y14" s="463" t="str">
        <f t="shared" si="29"/>
        <v/>
      </c>
      <c r="Z14" s="465" t="e">
        <f>①基本情報!M29</f>
        <v>#N/A</v>
      </c>
      <c r="AA14" s="463" t="str">
        <f t="shared" si="19"/>
        <v/>
      </c>
      <c r="AB14" s="465">
        <f>SUM('③児童数及び職員定数 (2)-(1)'!C17:D17)</f>
        <v>0</v>
      </c>
      <c r="AC14" s="461">
        <f t="shared" si="8"/>
        <v>9</v>
      </c>
      <c r="AD14" s="470" t="e">
        <f t="shared" si="9"/>
        <v>#DIV/0!</v>
      </c>
      <c r="AE14" s="447" t="str">
        <f t="shared" si="0"/>
        <v>✕</v>
      </c>
      <c r="AG14" s="447" t="e">
        <f t="shared" si="10"/>
        <v>#N/A</v>
      </c>
      <c r="AH14" s="447" t="str">
        <f t="shared" si="11"/>
        <v>✕</v>
      </c>
      <c r="AJ14" s="518" t="e">
        <f t="shared" si="12"/>
        <v>#N/A</v>
      </c>
      <c r="AK14" s="518" t="str">
        <f t="shared" si="20"/>
        <v/>
      </c>
      <c r="AL14" s="518" t="str">
        <f t="shared" si="13"/>
        <v>〇</v>
      </c>
      <c r="AM14" s="518" t="e">
        <f t="shared" si="21"/>
        <v>#N/A</v>
      </c>
      <c r="AO14" s="447" t="str">
        <f t="shared" si="14"/>
        <v>〇</v>
      </c>
      <c r="AP14" s="447" t="e">
        <f t="shared" si="15"/>
        <v>#DIV/0!</v>
      </c>
      <c r="AQ14" s="447" t="e">
        <f t="shared" si="16"/>
        <v>#DIV/0!</v>
      </c>
      <c r="AR14" s="447">
        <f t="shared" si="1"/>
        <v>5</v>
      </c>
    </row>
    <row r="15" spans="2:44" ht="15.75" customHeight="1">
      <c r="B15" s="454" t="s">
        <v>1235</v>
      </c>
      <c r="C15" s="454" t="e">
        <f>'④-1月別配置内訳書(2)-(2)-(A)'!AB17</f>
        <v>#DIV/0!</v>
      </c>
      <c r="D15" s="454" t="e">
        <f>'④-1月別配置内訳書(2)-(2)-(A)'!AD17</f>
        <v>#N/A</v>
      </c>
      <c r="E15" s="454" t="e">
        <f>'④-1月別配置内訳書(2)-(2)-(A)'!AE17</f>
        <v>#DIV/0!</v>
      </c>
      <c r="F15" s="467" t="e">
        <f t="shared" si="2"/>
        <v>#DIV/0!</v>
      </c>
      <c r="G15" s="620" t="e">
        <f>'④-1月別配置内訳書(2)-(2)-(A)'!AI17</f>
        <v>#DIV/0!</v>
      </c>
      <c r="H15" s="467" t="e">
        <f>'④-2月別配置内訳書(2)-(2)-(B)'!AF17-'④-2月別配置内訳書(2)-(2)-(B)'!AG17</f>
        <v>#DIV/0!</v>
      </c>
      <c r="I15" s="468" t="e">
        <f>'④-3月別配置内訳書(2)-(2)-(C)・(D)'!V17-'④-3月別配置内訳書(2)-(2)-(C)・(D)'!W17</f>
        <v>#DIV/0!</v>
      </c>
      <c r="J15" s="458" t="e">
        <f>'④-3月別配置内訳書(2)-(2)-(C)・(D)'!Z17</f>
        <v>#N/A</v>
      </c>
      <c r="K15" s="633" t="e">
        <f>'④-3月別配置内訳書(2)-(2)-(C)・(D)'!AT17</f>
        <v>#DIV/0!</v>
      </c>
      <c r="L15" s="623" t="e">
        <f t="shared" si="3"/>
        <v>#DIV/0!</v>
      </c>
      <c r="M15" s="468" t="e">
        <f>'④-４月別配置内訳書(2)-(2)-(E)'!V17</f>
        <v>#DIV/0!</v>
      </c>
      <c r="N15" s="458" t="e">
        <f t="shared" si="17"/>
        <v>#DIV/0!</v>
      </c>
      <c r="O15" s="624" t="e">
        <f t="shared" si="4"/>
        <v>#N/A</v>
      </c>
      <c r="P15" s="625" t="e">
        <f t="shared" si="5"/>
        <v>#DIV/0!</v>
      </c>
      <c r="Q15" s="623" t="e">
        <f t="shared" si="6"/>
        <v>#DIV/0!</v>
      </c>
      <c r="R15" s="463" t="str">
        <f t="shared" si="22"/>
        <v/>
      </c>
      <c r="S15" s="463" t="str">
        <f t="shared" si="23"/>
        <v/>
      </c>
      <c r="T15" s="463" t="str">
        <f t="shared" si="24"/>
        <v/>
      </c>
      <c r="U15" s="463" t="str">
        <f t="shared" si="25"/>
        <v/>
      </c>
      <c r="V15" s="463" t="str">
        <f t="shared" si="26"/>
        <v/>
      </c>
      <c r="W15" s="463" t="str">
        <f t="shared" si="27"/>
        <v/>
      </c>
      <c r="X15" s="463" t="str">
        <f t="shared" si="28"/>
        <v/>
      </c>
      <c r="Y15" s="463" t="str">
        <f t="shared" si="29"/>
        <v/>
      </c>
      <c r="Z15" s="465" t="e">
        <f>①基本情報!N29</f>
        <v>#N/A</v>
      </c>
      <c r="AA15" s="463" t="str">
        <f t="shared" si="19"/>
        <v/>
      </c>
      <c r="AB15" s="465">
        <f>SUM('③児童数及び職員定数 (2)-(1)'!C18:D18)</f>
        <v>0</v>
      </c>
      <c r="AC15" s="461">
        <f t="shared" si="8"/>
        <v>9</v>
      </c>
      <c r="AD15" s="470" t="e">
        <f t="shared" si="9"/>
        <v>#DIV/0!</v>
      </c>
      <c r="AE15" s="447" t="str">
        <f t="shared" si="0"/>
        <v>✕</v>
      </c>
      <c r="AG15" s="447" t="e">
        <f t="shared" si="10"/>
        <v>#N/A</v>
      </c>
      <c r="AH15" s="447" t="str">
        <f t="shared" si="11"/>
        <v>✕</v>
      </c>
      <c r="AJ15" s="518" t="e">
        <f t="shared" si="12"/>
        <v>#N/A</v>
      </c>
      <c r="AK15" s="518" t="str">
        <f t="shared" si="20"/>
        <v/>
      </c>
      <c r="AL15" s="518" t="str">
        <f t="shared" si="13"/>
        <v>〇</v>
      </c>
      <c r="AM15" s="518" t="e">
        <f t="shared" si="21"/>
        <v>#N/A</v>
      </c>
      <c r="AO15" s="447" t="str">
        <f t="shared" si="14"/>
        <v>〇</v>
      </c>
      <c r="AP15" s="447" t="e">
        <f t="shared" si="15"/>
        <v>#DIV/0!</v>
      </c>
      <c r="AQ15" s="447" t="e">
        <f t="shared" si="16"/>
        <v>#DIV/0!</v>
      </c>
      <c r="AR15" s="447">
        <f t="shared" si="1"/>
        <v>5</v>
      </c>
    </row>
    <row r="16" spans="2:44" ht="15.75" customHeight="1">
      <c r="B16" s="454" t="s">
        <v>1236</v>
      </c>
      <c r="C16" s="454" t="e">
        <f>'④-1月別配置内訳書(2)-(2)-(A)'!AB18</f>
        <v>#DIV/0!</v>
      </c>
      <c r="D16" s="454" t="e">
        <f>'④-1月別配置内訳書(2)-(2)-(A)'!AD18</f>
        <v>#N/A</v>
      </c>
      <c r="E16" s="454" t="e">
        <f>'④-1月別配置内訳書(2)-(2)-(A)'!AE18</f>
        <v>#DIV/0!</v>
      </c>
      <c r="F16" s="467" t="e">
        <f t="shared" si="2"/>
        <v>#DIV/0!</v>
      </c>
      <c r="G16" s="620" t="e">
        <f>'④-1月別配置内訳書(2)-(2)-(A)'!AI18</f>
        <v>#DIV/0!</v>
      </c>
      <c r="H16" s="467" t="e">
        <f>'④-2月別配置内訳書(2)-(2)-(B)'!AF18-'④-2月別配置内訳書(2)-(2)-(B)'!AG18</f>
        <v>#DIV/0!</v>
      </c>
      <c r="I16" s="468" t="e">
        <f>'④-3月別配置内訳書(2)-(2)-(C)・(D)'!V18-'④-3月別配置内訳書(2)-(2)-(C)・(D)'!W18</f>
        <v>#DIV/0!</v>
      </c>
      <c r="J16" s="458" t="e">
        <f>'④-3月別配置内訳書(2)-(2)-(C)・(D)'!Z18</f>
        <v>#N/A</v>
      </c>
      <c r="K16" s="633" t="e">
        <f>'④-3月別配置内訳書(2)-(2)-(C)・(D)'!AT18</f>
        <v>#DIV/0!</v>
      </c>
      <c r="L16" s="623" t="e">
        <f t="shared" si="3"/>
        <v>#DIV/0!</v>
      </c>
      <c r="M16" s="468" t="e">
        <f>'④-４月別配置内訳書(2)-(2)-(E)'!V18</f>
        <v>#DIV/0!</v>
      </c>
      <c r="N16" s="458" t="e">
        <f t="shared" si="17"/>
        <v>#DIV/0!</v>
      </c>
      <c r="O16" s="624" t="e">
        <f t="shared" si="4"/>
        <v>#N/A</v>
      </c>
      <c r="P16" s="625" t="e">
        <f t="shared" si="5"/>
        <v>#DIV/0!</v>
      </c>
      <c r="Q16" s="623" t="e">
        <f t="shared" si="6"/>
        <v>#DIV/0!</v>
      </c>
      <c r="R16" s="463" t="str">
        <f t="shared" si="22"/>
        <v/>
      </c>
      <c r="S16" s="463" t="str">
        <f t="shared" si="23"/>
        <v/>
      </c>
      <c r="T16" s="463" t="str">
        <f t="shared" si="24"/>
        <v/>
      </c>
      <c r="U16" s="463" t="str">
        <f t="shared" si="25"/>
        <v/>
      </c>
      <c r="V16" s="463" t="str">
        <f t="shared" si="26"/>
        <v/>
      </c>
      <c r="W16" s="463" t="str">
        <f t="shared" si="27"/>
        <v/>
      </c>
      <c r="X16" s="463" t="str">
        <f t="shared" si="28"/>
        <v/>
      </c>
      <c r="Y16" s="463" t="str">
        <f t="shared" si="29"/>
        <v/>
      </c>
      <c r="Z16" s="465" t="e">
        <f>①基本情報!O29</f>
        <v>#N/A</v>
      </c>
      <c r="AA16" s="463" t="str">
        <f t="shared" si="19"/>
        <v/>
      </c>
      <c r="AB16" s="465">
        <f>SUM('③児童数及び職員定数 (2)-(1)'!C19:D19)</f>
        <v>0</v>
      </c>
      <c r="AC16" s="461">
        <f t="shared" si="8"/>
        <v>9</v>
      </c>
      <c r="AD16" s="470" t="e">
        <f t="shared" si="9"/>
        <v>#DIV/0!</v>
      </c>
      <c r="AE16" s="447" t="str">
        <f t="shared" si="0"/>
        <v>✕</v>
      </c>
      <c r="AG16" s="447" t="e">
        <f t="shared" si="10"/>
        <v>#N/A</v>
      </c>
      <c r="AH16" s="447" t="str">
        <f t="shared" si="11"/>
        <v>✕</v>
      </c>
      <c r="AJ16" s="518" t="e">
        <f t="shared" si="12"/>
        <v>#N/A</v>
      </c>
      <c r="AK16" s="518" t="str">
        <f t="shared" si="20"/>
        <v/>
      </c>
      <c r="AL16" s="518" t="str">
        <f t="shared" si="13"/>
        <v>〇</v>
      </c>
      <c r="AM16" s="518" t="e">
        <f t="shared" si="21"/>
        <v>#N/A</v>
      </c>
      <c r="AO16" s="447" t="str">
        <f t="shared" si="14"/>
        <v>〇</v>
      </c>
      <c r="AP16" s="447" t="e">
        <f t="shared" si="15"/>
        <v>#DIV/0!</v>
      </c>
      <c r="AQ16" s="447" t="e">
        <f t="shared" si="16"/>
        <v>#DIV/0!</v>
      </c>
      <c r="AR16" s="447">
        <f t="shared" si="1"/>
        <v>5</v>
      </c>
    </row>
    <row r="17" spans="2:44" ht="15.75" customHeight="1">
      <c r="B17" s="454" t="s">
        <v>1237</v>
      </c>
      <c r="C17" s="454" t="e">
        <f>'④-1月別配置内訳書(2)-(2)-(A)'!AB19</f>
        <v>#DIV/0!</v>
      </c>
      <c r="D17" s="454" t="e">
        <f>'④-1月別配置内訳書(2)-(2)-(A)'!AD19</f>
        <v>#N/A</v>
      </c>
      <c r="E17" s="454" t="e">
        <f>'④-1月別配置内訳書(2)-(2)-(A)'!AE19</f>
        <v>#DIV/0!</v>
      </c>
      <c r="F17" s="467" t="e">
        <f t="shared" si="2"/>
        <v>#DIV/0!</v>
      </c>
      <c r="G17" s="620" t="e">
        <f>'④-1月別配置内訳書(2)-(2)-(A)'!AI19</f>
        <v>#DIV/0!</v>
      </c>
      <c r="H17" s="467" t="e">
        <f>'④-2月別配置内訳書(2)-(2)-(B)'!AF19-'④-2月別配置内訳書(2)-(2)-(B)'!AG19</f>
        <v>#DIV/0!</v>
      </c>
      <c r="I17" s="468" t="e">
        <f>'④-3月別配置内訳書(2)-(2)-(C)・(D)'!V19-'④-3月別配置内訳書(2)-(2)-(C)・(D)'!W19</f>
        <v>#DIV/0!</v>
      </c>
      <c r="J17" s="458" t="e">
        <f>'④-3月別配置内訳書(2)-(2)-(C)・(D)'!Z19</f>
        <v>#N/A</v>
      </c>
      <c r="K17" s="633" t="e">
        <f>'④-3月別配置内訳書(2)-(2)-(C)・(D)'!AT19</f>
        <v>#DIV/0!</v>
      </c>
      <c r="L17" s="623" t="e">
        <f t="shared" si="3"/>
        <v>#DIV/0!</v>
      </c>
      <c r="M17" s="468" t="e">
        <f>'④-４月別配置内訳書(2)-(2)-(E)'!V19</f>
        <v>#DIV/0!</v>
      </c>
      <c r="N17" s="458" t="e">
        <f t="shared" si="17"/>
        <v>#DIV/0!</v>
      </c>
      <c r="O17" s="624" t="e">
        <f t="shared" si="4"/>
        <v>#N/A</v>
      </c>
      <c r="P17" s="625" t="e">
        <f t="shared" si="5"/>
        <v>#DIV/0!</v>
      </c>
      <c r="Q17" s="623" t="e">
        <f t="shared" si="6"/>
        <v>#DIV/0!</v>
      </c>
      <c r="R17" s="463" t="str">
        <f t="shared" si="22"/>
        <v/>
      </c>
      <c r="S17" s="463" t="str">
        <f t="shared" si="23"/>
        <v/>
      </c>
      <c r="T17" s="463" t="str">
        <f t="shared" si="24"/>
        <v/>
      </c>
      <c r="U17" s="463" t="str">
        <f t="shared" si="25"/>
        <v/>
      </c>
      <c r="V17" s="463" t="str">
        <f t="shared" si="26"/>
        <v/>
      </c>
      <c r="W17" s="463" t="str">
        <f t="shared" si="27"/>
        <v/>
      </c>
      <c r="X17" s="463" t="str">
        <f t="shared" si="28"/>
        <v/>
      </c>
      <c r="Y17" s="463" t="str">
        <f t="shared" si="29"/>
        <v/>
      </c>
      <c r="Z17" s="465" t="e">
        <f>①基本情報!P29</f>
        <v>#N/A</v>
      </c>
      <c r="AA17" s="463" t="str">
        <f t="shared" si="19"/>
        <v/>
      </c>
      <c r="AB17" s="465">
        <f>SUM('③児童数及び職員定数 (2)-(1)'!C20:D20)</f>
        <v>0</v>
      </c>
      <c r="AC17" s="461">
        <f t="shared" si="8"/>
        <v>9</v>
      </c>
      <c r="AD17" s="470" t="e">
        <f t="shared" si="9"/>
        <v>#DIV/0!</v>
      </c>
      <c r="AE17" s="447" t="str">
        <f t="shared" si="0"/>
        <v>✕</v>
      </c>
      <c r="AG17" s="447" t="e">
        <f t="shared" si="10"/>
        <v>#N/A</v>
      </c>
      <c r="AH17" s="447" t="str">
        <f t="shared" si="11"/>
        <v>✕</v>
      </c>
      <c r="AJ17" s="518" t="e">
        <f t="shared" si="12"/>
        <v>#N/A</v>
      </c>
      <c r="AK17" s="518" t="str">
        <f t="shared" si="20"/>
        <v/>
      </c>
      <c r="AL17" s="518" t="str">
        <f t="shared" si="13"/>
        <v>〇</v>
      </c>
      <c r="AM17" s="518" t="e">
        <f t="shared" si="21"/>
        <v>#N/A</v>
      </c>
      <c r="AO17" s="447" t="str">
        <f t="shared" si="14"/>
        <v>〇</v>
      </c>
      <c r="AP17" s="447" t="e">
        <f t="shared" si="15"/>
        <v>#DIV/0!</v>
      </c>
      <c r="AQ17" s="447" t="e">
        <f t="shared" si="16"/>
        <v>#DIV/0!</v>
      </c>
      <c r="AR17" s="447">
        <f t="shared" si="1"/>
        <v>5</v>
      </c>
    </row>
    <row r="18" spans="2:44" ht="15.75" customHeight="1" thickBot="1">
      <c r="B18" s="454" t="s">
        <v>1238</v>
      </c>
      <c r="C18" s="454" t="e">
        <f>'④-1月別配置内訳書(2)-(2)-(A)'!AB20</f>
        <v>#DIV/0!</v>
      </c>
      <c r="D18" s="454" t="e">
        <f>'④-1月別配置内訳書(2)-(2)-(A)'!AD20</f>
        <v>#N/A</v>
      </c>
      <c r="E18" s="454" t="e">
        <f>'④-1月別配置内訳書(2)-(2)-(A)'!AE20</f>
        <v>#DIV/0!</v>
      </c>
      <c r="F18" s="621" t="e">
        <f t="shared" si="2"/>
        <v>#DIV/0!</v>
      </c>
      <c r="G18" s="622" t="e">
        <f>'④-1月別配置内訳書(2)-(2)-(A)'!AI20</f>
        <v>#DIV/0!</v>
      </c>
      <c r="H18" s="472" t="e">
        <f>'④-2月別配置内訳書(2)-(2)-(B)'!AF20-'④-2月別配置内訳書(2)-(2)-(B)'!AG20</f>
        <v>#DIV/0!</v>
      </c>
      <c r="I18" s="473" t="e">
        <f>'④-3月別配置内訳書(2)-(2)-(C)・(D)'!V20-'④-3月別配置内訳書(2)-(2)-(C)・(D)'!W20</f>
        <v>#DIV/0!</v>
      </c>
      <c r="J18" s="458" t="e">
        <f>'④-3月別配置内訳書(2)-(2)-(C)・(D)'!Z20</f>
        <v>#N/A</v>
      </c>
      <c r="K18" s="633" t="e">
        <f>'④-3月別配置内訳書(2)-(2)-(C)・(D)'!AT20</f>
        <v>#DIV/0!</v>
      </c>
      <c r="L18" s="626" t="e">
        <f t="shared" si="3"/>
        <v>#DIV/0!</v>
      </c>
      <c r="M18" s="473" t="e">
        <f>'④-４月別配置内訳書(2)-(2)-(E)'!V20</f>
        <v>#DIV/0!</v>
      </c>
      <c r="N18" s="458" t="e">
        <f t="shared" si="17"/>
        <v>#DIV/0!</v>
      </c>
      <c r="O18" s="624" t="e">
        <f t="shared" si="4"/>
        <v>#N/A</v>
      </c>
      <c r="P18" s="627" t="e">
        <f t="shared" si="5"/>
        <v>#DIV/0!</v>
      </c>
      <c r="Q18" s="623" t="e">
        <f t="shared" si="6"/>
        <v>#DIV/0!</v>
      </c>
      <c r="R18" s="463" t="str">
        <f t="shared" si="22"/>
        <v/>
      </c>
      <c r="S18" s="463" t="str">
        <f t="shared" si="23"/>
        <v/>
      </c>
      <c r="T18" s="463" t="str">
        <f t="shared" si="24"/>
        <v/>
      </c>
      <c r="U18" s="463" t="str">
        <f t="shared" si="25"/>
        <v/>
      </c>
      <c r="V18" s="463" t="str">
        <f t="shared" si="26"/>
        <v/>
      </c>
      <c r="W18" s="463" t="str">
        <f t="shared" si="27"/>
        <v/>
      </c>
      <c r="X18" s="463" t="str">
        <f t="shared" si="28"/>
        <v/>
      </c>
      <c r="Y18" s="463" t="str">
        <f t="shared" si="29"/>
        <v/>
      </c>
      <c r="Z18" s="465" t="e">
        <f>①基本情報!Q29</f>
        <v>#N/A</v>
      </c>
      <c r="AA18" s="463" t="str">
        <f t="shared" si="19"/>
        <v/>
      </c>
      <c r="AB18" s="465">
        <f>SUM('③児童数及び職員定数 (2)-(1)'!C21:D21)</f>
        <v>0</v>
      </c>
      <c r="AC18" s="461">
        <f t="shared" si="8"/>
        <v>9</v>
      </c>
      <c r="AD18" s="475" t="e">
        <f t="shared" si="9"/>
        <v>#DIV/0!</v>
      </c>
      <c r="AE18" s="447" t="str">
        <f t="shared" si="0"/>
        <v>✕</v>
      </c>
      <c r="AG18" s="447" t="e">
        <f t="shared" si="10"/>
        <v>#N/A</v>
      </c>
      <c r="AH18" s="447" t="str">
        <f t="shared" si="11"/>
        <v>✕</v>
      </c>
      <c r="AJ18" s="518" t="e">
        <f t="shared" si="12"/>
        <v>#N/A</v>
      </c>
      <c r="AK18" s="518" t="str">
        <f t="shared" si="20"/>
        <v/>
      </c>
      <c r="AL18" s="518" t="str">
        <f t="shared" si="13"/>
        <v>〇</v>
      </c>
      <c r="AM18" s="518" t="e">
        <f>IF(AND(AJ18="〇",AK18="〇",AL18="〇"),"〇","")</f>
        <v>#N/A</v>
      </c>
      <c r="AO18" s="447" t="str">
        <f t="shared" si="14"/>
        <v>〇</v>
      </c>
      <c r="AP18" s="447" t="e">
        <f t="shared" si="15"/>
        <v>#DIV/0!</v>
      </c>
      <c r="AQ18" s="447" t="e">
        <f t="shared" si="16"/>
        <v>#DIV/0!</v>
      </c>
      <c r="AR18" s="447">
        <f t="shared" si="1"/>
        <v>5</v>
      </c>
    </row>
    <row r="19" spans="2:44" ht="16.5" customHeight="1" thickTop="1">
      <c r="B19" s="519" t="s">
        <v>1329</v>
      </c>
      <c r="C19" s="519" t="e">
        <f>精算書!D23</f>
        <v>#N/A</v>
      </c>
      <c r="D19" s="519"/>
      <c r="E19" s="519"/>
      <c r="F19" s="519"/>
      <c r="G19" s="519"/>
      <c r="H19" s="519"/>
      <c r="I19" s="519"/>
      <c r="J19" s="519"/>
      <c r="K19" s="521"/>
      <c r="L19" s="519"/>
      <c r="M19" s="519"/>
      <c r="N19" s="519"/>
      <c r="O19" s="519"/>
      <c r="P19" s="519"/>
      <c r="Q19" s="519"/>
      <c r="R19" s="522">
        <f>ROUNDDOWN(R$5*R$29-R$30*(個別データ!$GO$3-10000),-3)</f>
        <v>0</v>
      </c>
      <c r="S19" s="522">
        <f>ROUNDDOWN(S$5*S$29-S$30*(個別データ!$GO$3-10000),-3)</f>
        <v>0</v>
      </c>
      <c r="T19" s="522">
        <f>ROUNDDOWN(T$5*T$29-T$30*(個別データ!$GO$3-10000),-3)</f>
        <v>0</v>
      </c>
      <c r="U19" s="522">
        <f>ROUNDDOWN(U$5*U$29-U$30*(個別データ!$GO$3-10000),-3)</f>
        <v>0</v>
      </c>
      <c r="V19" s="522">
        <f>ROUNDDOWN(V$5*V$29-V$30*(個別データ!$GO$3-10000),-3)</f>
        <v>0</v>
      </c>
      <c r="W19" s="522">
        <f>ROUNDDOWN(W$5*W$29-W$30*(個別データ!$GO$3-10000),-3)</f>
        <v>0</v>
      </c>
      <c r="X19" s="522">
        <f>ROUNDDOWN(X$5*X$29-X$30*(個別データ!$GO$3-10000),-3)</f>
        <v>0</v>
      </c>
      <c r="Y19" s="522">
        <f>ROUNDDOWN(Y$5*Y$29-Y$30*(個別データ!$GO$3-10000),-3)</f>
        <v>0</v>
      </c>
      <c r="Z19" s="522"/>
      <c r="AA19" s="522">
        <f>ROUNDDOWN(AA$5*AA$29-AA$30*(個別データ!$GO$3-10000),-3)</f>
        <v>0</v>
      </c>
      <c r="AB19" s="522"/>
      <c r="AC19" s="522"/>
      <c r="AD19" s="522"/>
      <c r="AJ19" s="523"/>
      <c r="AK19" s="523"/>
      <c r="AL19" s="523"/>
      <c r="AM19" s="523"/>
    </row>
    <row r="20" spans="2:44" ht="16.5" customHeight="1">
      <c r="B20" s="519" t="s">
        <v>1633</v>
      </c>
      <c r="C20" s="519" t="str">
        <f>IF('②-2勤務時間数入力'!AJ5&gt;0,"×","○")</f>
        <v>○</v>
      </c>
      <c r="D20" s="519"/>
      <c r="E20" s="519"/>
      <c r="F20" s="519"/>
      <c r="G20" s="519"/>
      <c r="H20" s="519"/>
      <c r="I20" s="519"/>
      <c r="J20" s="519"/>
      <c r="K20" s="521"/>
      <c r="L20" s="519"/>
      <c r="M20" s="519"/>
      <c r="N20" s="519"/>
      <c r="O20" s="519"/>
      <c r="P20" s="519"/>
      <c r="Q20" s="519"/>
      <c r="R20" s="522">
        <f>様式１!J22</f>
        <v>0</v>
      </c>
      <c r="S20" s="522">
        <f>様式１!J23</f>
        <v>0</v>
      </c>
      <c r="T20" s="522">
        <f>様式１!J24</f>
        <v>0</v>
      </c>
      <c r="U20" s="522">
        <f>様式１!J25</f>
        <v>0</v>
      </c>
      <c r="V20" s="522">
        <f>様式１!J26</f>
        <v>0</v>
      </c>
      <c r="W20" s="522">
        <f>様式１!J27</f>
        <v>0</v>
      </c>
      <c r="X20" s="522"/>
      <c r="Y20" s="522"/>
      <c r="Z20" s="522"/>
      <c r="AA20" s="522">
        <f>様式１!J28</f>
        <v>0</v>
      </c>
      <c r="AB20" s="522"/>
      <c r="AC20" s="522"/>
      <c r="AD20" s="522"/>
      <c r="AJ20" s="523"/>
      <c r="AK20" s="523"/>
      <c r="AL20" s="523"/>
      <c r="AM20" s="523"/>
    </row>
    <row r="21" spans="2:44" ht="15" customHeight="1">
      <c r="R21" s="447" t="str">
        <f>IF(R19=R20,"〇","✕")</f>
        <v>〇</v>
      </c>
      <c r="S21" s="447" t="str">
        <f t="shared" ref="S21:V21" si="30">IF(S19=S20,"〇","✕")</f>
        <v>〇</v>
      </c>
      <c r="T21" s="447" t="str">
        <f t="shared" si="30"/>
        <v>〇</v>
      </c>
      <c r="U21" s="447" t="str">
        <f t="shared" si="30"/>
        <v>〇</v>
      </c>
      <c r="V21" s="447" t="str">
        <f t="shared" si="30"/>
        <v>〇</v>
      </c>
      <c r="W21" s="447" t="str">
        <f>IF(SUM(W19:Y19)=W20,"〇","✕")</f>
        <v>〇</v>
      </c>
      <c r="AA21" s="447" t="str">
        <f t="shared" ref="AA21" si="31">IF(AA19=AA20,"〇","✕")</f>
        <v>〇</v>
      </c>
    </row>
    <row r="22" spans="2:44" ht="16.5" customHeight="1">
      <c r="AJ22" s="523"/>
      <c r="AK22" s="523"/>
      <c r="AL22" s="523"/>
      <c r="AM22" s="523"/>
    </row>
    <row r="23" spans="2:44" ht="16.5" customHeight="1">
      <c r="S23" s="447" t="s">
        <v>1215</v>
      </c>
      <c r="AJ23" s="523"/>
      <c r="AK23" s="523"/>
      <c r="AL23" s="523"/>
      <c r="AM23" s="523"/>
    </row>
    <row r="24" spans="2:44">
      <c r="S24" s="447" t="s">
        <v>1216</v>
      </c>
    </row>
    <row r="25" spans="2:44">
      <c r="S25" s="447" t="s">
        <v>1217</v>
      </c>
    </row>
    <row r="26" spans="2:44">
      <c r="S26" s="447" t="s">
        <v>1241</v>
      </c>
    </row>
    <row r="27" spans="2:44">
      <c r="S27" s="447" t="s">
        <v>1242</v>
      </c>
    </row>
    <row r="29" spans="2:44">
      <c r="P29" s="447" t="s">
        <v>1327</v>
      </c>
      <c r="R29" s="447">
        <f>COUNTA(R7:R18)-COUNTBLANK(R8:R18)</f>
        <v>0</v>
      </c>
      <c r="S29" s="447">
        <f t="shared" ref="S29:AB29" si="32">COUNTA(S7:S18)-COUNTBLANK(S8:S18)</f>
        <v>0</v>
      </c>
      <c r="T29" s="447">
        <f t="shared" si="32"/>
        <v>0</v>
      </c>
      <c r="U29" s="447">
        <f t="shared" si="32"/>
        <v>0</v>
      </c>
      <c r="V29" s="447">
        <f t="shared" si="32"/>
        <v>0</v>
      </c>
      <c r="W29" s="447">
        <f t="shared" si="32"/>
        <v>0</v>
      </c>
      <c r="X29" s="447">
        <f t="shared" si="32"/>
        <v>0</v>
      </c>
      <c r="Y29" s="447">
        <f t="shared" si="32"/>
        <v>0</v>
      </c>
      <c r="Z29" s="447">
        <f t="shared" si="32"/>
        <v>12</v>
      </c>
      <c r="AA29" s="447">
        <f t="shared" si="32"/>
        <v>0</v>
      </c>
      <c r="AB29" s="447">
        <f t="shared" si="32"/>
        <v>12</v>
      </c>
    </row>
    <row r="30" spans="2:44">
      <c r="P30" s="447" t="s">
        <v>832</v>
      </c>
      <c r="R30" s="447">
        <f>COUNTIF(R7:R18,"調理員等")</f>
        <v>0</v>
      </c>
      <c r="S30" s="447">
        <f>COUNTIF(S7:S18,"調理員等")</f>
        <v>0</v>
      </c>
      <c r="T30" s="447">
        <f t="shared" ref="T30:AB30" si="33">COUNTIF(T7:T18,"調理員等")</f>
        <v>0</v>
      </c>
      <c r="U30" s="447">
        <f t="shared" si="33"/>
        <v>0</v>
      </c>
      <c r="V30" s="447">
        <f t="shared" si="33"/>
        <v>0</v>
      </c>
      <c r="W30" s="447">
        <f t="shared" si="33"/>
        <v>0</v>
      </c>
      <c r="X30" s="447">
        <f t="shared" si="33"/>
        <v>0</v>
      </c>
      <c r="Y30" s="447">
        <f t="shared" si="33"/>
        <v>0</v>
      </c>
      <c r="Z30" s="447">
        <f t="shared" si="33"/>
        <v>0</v>
      </c>
      <c r="AA30" s="447">
        <f t="shared" si="33"/>
        <v>0</v>
      </c>
      <c r="AB30" s="447">
        <f t="shared" si="33"/>
        <v>0</v>
      </c>
    </row>
  </sheetData>
  <mergeCells count="37">
    <mergeCell ref="B5:Q5"/>
    <mergeCell ref="B6:Q6"/>
    <mergeCell ref="AM4:AM6"/>
    <mergeCell ref="AJ5:AJ6"/>
    <mergeCell ref="AK5:AK6"/>
    <mergeCell ref="AL5:AL6"/>
    <mergeCell ref="B2:B4"/>
    <mergeCell ref="C2:G2"/>
    <mergeCell ref="H2:I2"/>
    <mergeCell ref="J2:L2"/>
    <mergeCell ref="M2:M4"/>
    <mergeCell ref="K3:K4"/>
    <mergeCell ref="L3:L4"/>
    <mergeCell ref="R2:AA2"/>
    <mergeCell ref="C3:C4"/>
    <mergeCell ref="D3:D4"/>
    <mergeCell ref="E3:E4"/>
    <mergeCell ref="G3:G4"/>
    <mergeCell ref="H3:H4"/>
    <mergeCell ref="I3:I4"/>
    <mergeCell ref="J3:J4"/>
    <mergeCell ref="F3:F4"/>
    <mergeCell ref="P2:P4"/>
    <mergeCell ref="N3:N4"/>
    <mergeCell ref="O3:O4"/>
    <mergeCell ref="W3:W4"/>
    <mergeCell ref="R3:R4"/>
    <mergeCell ref="S3:S4"/>
    <mergeCell ref="T3:T4"/>
    <mergeCell ref="U3:U4"/>
    <mergeCell ref="V3:V4"/>
    <mergeCell ref="Q2:Q4"/>
    <mergeCell ref="AC2:AC6"/>
    <mergeCell ref="AD2:AD6"/>
    <mergeCell ref="X3:X4"/>
    <mergeCell ref="Y3:Y4"/>
    <mergeCell ref="AA3:AA4"/>
  </mergeCells>
  <phoneticPr fontId="1"/>
  <conditionalFormatting sqref="C19">
    <cfRule type="expression" dxfId="121" priority="19">
      <formula>$C$19&lt;0</formula>
    </cfRule>
  </conditionalFormatting>
  <conditionalFormatting sqref="C20">
    <cfRule type="cellIs" dxfId="120" priority="5" operator="equal">
      <formula>"×"</formula>
    </cfRule>
  </conditionalFormatting>
  <conditionalFormatting sqref="R7:R18 S8:Y18">
    <cfRule type="expression" dxfId="119" priority="9">
      <formula>AQ7="✕"</formula>
    </cfRule>
    <cfRule type="expression" dxfId="118" priority="10">
      <formula>AM7="〇"</formula>
    </cfRule>
  </conditionalFormatting>
  <conditionalFormatting sqref="R19:Y20">
    <cfRule type="expression" dxfId="117" priority="27">
      <formula>AM19="〇"</formula>
    </cfRule>
  </conditionalFormatting>
  <conditionalFormatting sqref="S7:T7 V7">
    <cfRule type="expression" dxfId="116" priority="8">
      <formula>AQ7="✕"</formula>
    </cfRule>
  </conditionalFormatting>
  <conditionalFormatting sqref="U7">
    <cfRule type="expression" dxfId="115" priority="7">
      <formula>AO7="〇"</formula>
    </cfRule>
  </conditionalFormatting>
  <conditionalFormatting sqref="W7">
    <cfRule type="expression" dxfId="114" priority="17">
      <formula>$Z7&gt;0</formula>
    </cfRule>
    <cfRule type="expression" dxfId="113" priority="20">
      <formula>AQ7="✕"</formula>
    </cfRule>
    <cfRule type="expression" dxfId="112" priority="25">
      <formula>AM7="〇"</formula>
    </cfRule>
  </conditionalFormatting>
  <conditionalFormatting sqref="X7">
    <cfRule type="expression" dxfId="111" priority="16">
      <formula>$Z7&gt;1</formula>
    </cfRule>
  </conditionalFormatting>
  <conditionalFormatting sqref="X7:Y7">
    <cfRule type="expression" dxfId="110" priority="21">
      <formula>AV7="✕"</formula>
    </cfRule>
  </conditionalFormatting>
  <conditionalFormatting sqref="Y7">
    <cfRule type="expression" dxfId="109" priority="15">
      <formula>$Z7&gt;2</formula>
    </cfRule>
  </conditionalFormatting>
  <conditionalFormatting sqref="AA7">
    <cfRule type="expression" dxfId="108" priority="11">
      <formula>$AB7&gt;35</formula>
    </cfRule>
    <cfRule type="expression" dxfId="107" priority="12">
      <formula>AY7="×"</formula>
    </cfRule>
  </conditionalFormatting>
  <conditionalFormatting sqref="AA8:AA18">
    <cfRule type="expression" dxfId="106" priority="1">
      <formula>AZ8="✕"</formula>
    </cfRule>
  </conditionalFormatting>
  <conditionalFormatting sqref="AA8:AA20">
    <cfRule type="expression" dxfId="105" priority="2">
      <formula>AV8="〇"</formula>
    </cfRule>
  </conditionalFormatting>
  <conditionalFormatting sqref="AE7:AE18">
    <cfRule type="containsText" dxfId="104" priority="18" operator="containsText" text="✕">
      <formula>NOT(ISERROR(SEARCH("✕",AE7)))</formula>
    </cfRule>
  </conditionalFormatting>
  <dataValidations disablePrompts="1" count="1">
    <dataValidation type="list" allowBlank="1" showInputMessage="1" showErrorMessage="1" sqref="R7:Y7 AA7" xr:uid="{BEDB680E-8EB0-4672-8FBC-F3097F5CF83A}">
      <formula1>$S$23:$S$27</formula1>
    </dataValidation>
  </dataValidations>
  <pageMargins left="0.7" right="0.7" top="0.75" bottom="0.75" header="0.3" footer="0.3"/>
  <pageSetup paperSize="9" scale="47"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2318-C1CC-4B26-ABC1-F4778C34C9EC}">
  <dimension ref="A1:K28"/>
  <sheetViews>
    <sheetView view="pageBreakPreview" zoomScaleNormal="85" zoomScaleSheetLayoutView="100" workbookViewId="0">
      <selection activeCell="E17" sqref="E17"/>
    </sheetView>
  </sheetViews>
  <sheetFormatPr defaultRowHeight="16.5"/>
  <cols>
    <col min="1" max="1" width="5.08203125" style="157" customWidth="1"/>
    <col min="2" max="3" width="9" style="157"/>
    <col min="4" max="4" width="5.08203125" style="157" customWidth="1"/>
    <col min="5" max="10" width="9" style="157"/>
    <col min="11" max="11" width="8.25" style="157" customWidth="1"/>
    <col min="12" max="256" width="9" style="157"/>
    <col min="257" max="257" width="5.08203125" style="157" customWidth="1"/>
    <col min="258" max="259" width="9" style="157"/>
    <col min="260" max="260" width="5.08203125" style="157" customWidth="1"/>
    <col min="261" max="266" width="9" style="157"/>
    <col min="267" max="267" width="8.25" style="157" customWidth="1"/>
    <col min="268" max="512" width="9" style="157"/>
    <col min="513" max="513" width="5.08203125" style="157" customWidth="1"/>
    <col min="514" max="515" width="9" style="157"/>
    <col min="516" max="516" width="5.08203125" style="157" customWidth="1"/>
    <col min="517" max="522" width="9" style="157"/>
    <col min="523" max="523" width="8.25" style="157" customWidth="1"/>
    <col min="524" max="768" width="9" style="157"/>
    <col min="769" max="769" width="5.08203125" style="157" customWidth="1"/>
    <col min="770" max="771" width="9" style="157"/>
    <col min="772" max="772" width="5.08203125" style="157" customWidth="1"/>
    <col min="773" max="778" width="9" style="157"/>
    <col min="779" max="779" width="8.25" style="157" customWidth="1"/>
    <col min="780" max="1024" width="9" style="157"/>
    <col min="1025" max="1025" width="5.08203125" style="157" customWidth="1"/>
    <col min="1026" max="1027" width="9" style="157"/>
    <col min="1028" max="1028" width="5.08203125" style="157" customWidth="1"/>
    <col min="1029" max="1034" width="9" style="157"/>
    <col min="1035" max="1035" width="8.25" style="157" customWidth="1"/>
    <col min="1036" max="1280" width="9" style="157"/>
    <col min="1281" max="1281" width="5.08203125" style="157" customWidth="1"/>
    <col min="1282" max="1283" width="9" style="157"/>
    <col min="1284" max="1284" width="5.08203125" style="157" customWidth="1"/>
    <col min="1285" max="1290" width="9" style="157"/>
    <col min="1291" max="1291" width="8.25" style="157" customWidth="1"/>
    <col min="1292" max="1536" width="9" style="157"/>
    <col min="1537" max="1537" width="5.08203125" style="157" customWidth="1"/>
    <col min="1538" max="1539" width="9" style="157"/>
    <col min="1540" max="1540" width="5.08203125" style="157" customWidth="1"/>
    <col min="1541" max="1546" width="9" style="157"/>
    <col min="1547" max="1547" width="8.25" style="157" customWidth="1"/>
    <col min="1548" max="1792" width="9" style="157"/>
    <col min="1793" max="1793" width="5.08203125" style="157" customWidth="1"/>
    <col min="1794" max="1795" width="9" style="157"/>
    <col min="1796" max="1796" width="5.08203125" style="157" customWidth="1"/>
    <col min="1797" max="1802" width="9" style="157"/>
    <col min="1803" max="1803" width="8.25" style="157" customWidth="1"/>
    <col min="1804" max="2048" width="9" style="157"/>
    <col min="2049" max="2049" width="5.08203125" style="157" customWidth="1"/>
    <col min="2050" max="2051" width="9" style="157"/>
    <col min="2052" max="2052" width="5.08203125" style="157" customWidth="1"/>
    <col min="2053" max="2058" width="9" style="157"/>
    <col min="2059" max="2059" width="8.25" style="157" customWidth="1"/>
    <col min="2060" max="2304" width="9" style="157"/>
    <col min="2305" max="2305" width="5.08203125" style="157" customWidth="1"/>
    <col min="2306" max="2307" width="9" style="157"/>
    <col min="2308" max="2308" width="5.08203125" style="157" customWidth="1"/>
    <col min="2309" max="2314" width="9" style="157"/>
    <col min="2315" max="2315" width="8.25" style="157" customWidth="1"/>
    <col min="2316" max="2560" width="9" style="157"/>
    <col min="2561" max="2561" width="5.08203125" style="157" customWidth="1"/>
    <col min="2562" max="2563" width="9" style="157"/>
    <col min="2564" max="2564" width="5.08203125" style="157" customWidth="1"/>
    <col min="2565" max="2570" width="9" style="157"/>
    <col min="2571" max="2571" width="8.25" style="157" customWidth="1"/>
    <col min="2572" max="2816" width="9" style="157"/>
    <col min="2817" max="2817" width="5.08203125" style="157" customWidth="1"/>
    <col min="2818" max="2819" width="9" style="157"/>
    <col min="2820" max="2820" width="5.08203125" style="157" customWidth="1"/>
    <col min="2821" max="2826" width="9" style="157"/>
    <col min="2827" max="2827" width="8.25" style="157" customWidth="1"/>
    <col min="2828" max="3072" width="9" style="157"/>
    <col min="3073" max="3073" width="5.08203125" style="157" customWidth="1"/>
    <col min="3074" max="3075" width="9" style="157"/>
    <col min="3076" max="3076" width="5.08203125" style="157" customWidth="1"/>
    <col min="3077" max="3082" width="9" style="157"/>
    <col min="3083" max="3083" width="8.25" style="157" customWidth="1"/>
    <col min="3084" max="3328" width="9" style="157"/>
    <col min="3329" max="3329" width="5.08203125" style="157" customWidth="1"/>
    <col min="3330" max="3331" width="9" style="157"/>
    <col min="3332" max="3332" width="5.08203125" style="157" customWidth="1"/>
    <col min="3333" max="3338" width="9" style="157"/>
    <col min="3339" max="3339" width="8.25" style="157" customWidth="1"/>
    <col min="3340" max="3584" width="9" style="157"/>
    <col min="3585" max="3585" width="5.08203125" style="157" customWidth="1"/>
    <col min="3586" max="3587" width="9" style="157"/>
    <col min="3588" max="3588" width="5.08203125" style="157" customWidth="1"/>
    <col min="3589" max="3594" width="9" style="157"/>
    <col min="3595" max="3595" width="8.25" style="157" customWidth="1"/>
    <col min="3596" max="3840" width="9" style="157"/>
    <col min="3841" max="3841" width="5.08203125" style="157" customWidth="1"/>
    <col min="3842" max="3843" width="9" style="157"/>
    <col min="3844" max="3844" width="5.08203125" style="157" customWidth="1"/>
    <col min="3845" max="3850" width="9" style="157"/>
    <col min="3851" max="3851" width="8.25" style="157" customWidth="1"/>
    <col min="3852" max="4096" width="9" style="157"/>
    <col min="4097" max="4097" width="5.08203125" style="157" customWidth="1"/>
    <col min="4098" max="4099" width="9" style="157"/>
    <col min="4100" max="4100" width="5.08203125" style="157" customWidth="1"/>
    <col min="4101" max="4106" width="9" style="157"/>
    <col min="4107" max="4107" width="8.25" style="157" customWidth="1"/>
    <col min="4108" max="4352" width="9" style="157"/>
    <col min="4353" max="4353" width="5.08203125" style="157" customWidth="1"/>
    <col min="4354" max="4355" width="9" style="157"/>
    <col min="4356" max="4356" width="5.08203125" style="157" customWidth="1"/>
    <col min="4357" max="4362" width="9" style="157"/>
    <col min="4363" max="4363" width="8.25" style="157" customWidth="1"/>
    <col min="4364" max="4608" width="9" style="157"/>
    <col min="4609" max="4609" width="5.08203125" style="157" customWidth="1"/>
    <col min="4610" max="4611" width="9" style="157"/>
    <col min="4612" max="4612" width="5.08203125" style="157" customWidth="1"/>
    <col min="4613" max="4618" width="9" style="157"/>
    <col min="4619" max="4619" width="8.25" style="157" customWidth="1"/>
    <col min="4620" max="4864" width="9" style="157"/>
    <col min="4865" max="4865" width="5.08203125" style="157" customWidth="1"/>
    <col min="4866" max="4867" width="9" style="157"/>
    <col min="4868" max="4868" width="5.08203125" style="157" customWidth="1"/>
    <col min="4869" max="4874" width="9" style="157"/>
    <col min="4875" max="4875" width="8.25" style="157" customWidth="1"/>
    <col min="4876" max="5120" width="9" style="157"/>
    <col min="5121" max="5121" width="5.08203125" style="157" customWidth="1"/>
    <col min="5122" max="5123" width="9" style="157"/>
    <col min="5124" max="5124" width="5.08203125" style="157" customWidth="1"/>
    <col min="5125" max="5130" width="9" style="157"/>
    <col min="5131" max="5131" width="8.25" style="157" customWidth="1"/>
    <col min="5132" max="5376" width="9" style="157"/>
    <col min="5377" max="5377" width="5.08203125" style="157" customWidth="1"/>
    <col min="5378" max="5379" width="9" style="157"/>
    <col min="5380" max="5380" width="5.08203125" style="157" customWidth="1"/>
    <col min="5381" max="5386" width="9" style="157"/>
    <col min="5387" max="5387" width="8.25" style="157" customWidth="1"/>
    <col min="5388" max="5632" width="9" style="157"/>
    <col min="5633" max="5633" width="5.08203125" style="157" customWidth="1"/>
    <col min="5634" max="5635" width="9" style="157"/>
    <col min="5636" max="5636" width="5.08203125" style="157" customWidth="1"/>
    <col min="5637" max="5642" width="9" style="157"/>
    <col min="5643" max="5643" width="8.25" style="157" customWidth="1"/>
    <col min="5644" max="5888" width="9" style="157"/>
    <col min="5889" max="5889" width="5.08203125" style="157" customWidth="1"/>
    <col min="5890" max="5891" width="9" style="157"/>
    <col min="5892" max="5892" width="5.08203125" style="157" customWidth="1"/>
    <col min="5893" max="5898" width="9" style="157"/>
    <col min="5899" max="5899" width="8.25" style="157" customWidth="1"/>
    <col min="5900" max="6144" width="9" style="157"/>
    <col min="6145" max="6145" width="5.08203125" style="157" customWidth="1"/>
    <col min="6146" max="6147" width="9" style="157"/>
    <col min="6148" max="6148" width="5.08203125" style="157" customWidth="1"/>
    <col min="6149" max="6154" width="9" style="157"/>
    <col min="6155" max="6155" width="8.25" style="157" customWidth="1"/>
    <col min="6156" max="6400" width="9" style="157"/>
    <col min="6401" max="6401" width="5.08203125" style="157" customWidth="1"/>
    <col min="6402" max="6403" width="9" style="157"/>
    <col min="6404" max="6404" width="5.08203125" style="157" customWidth="1"/>
    <col min="6405" max="6410" width="9" style="157"/>
    <col min="6411" max="6411" width="8.25" style="157" customWidth="1"/>
    <col min="6412" max="6656" width="9" style="157"/>
    <col min="6657" max="6657" width="5.08203125" style="157" customWidth="1"/>
    <col min="6658" max="6659" width="9" style="157"/>
    <col min="6660" max="6660" width="5.08203125" style="157" customWidth="1"/>
    <col min="6661" max="6666" width="9" style="157"/>
    <col min="6667" max="6667" width="8.25" style="157" customWidth="1"/>
    <col min="6668" max="6912" width="9" style="157"/>
    <col min="6913" max="6913" width="5.08203125" style="157" customWidth="1"/>
    <col min="6914" max="6915" width="9" style="157"/>
    <col min="6916" max="6916" width="5.08203125" style="157" customWidth="1"/>
    <col min="6917" max="6922" width="9" style="157"/>
    <col min="6923" max="6923" width="8.25" style="157" customWidth="1"/>
    <col min="6924" max="7168" width="9" style="157"/>
    <col min="7169" max="7169" width="5.08203125" style="157" customWidth="1"/>
    <col min="7170" max="7171" width="9" style="157"/>
    <col min="7172" max="7172" width="5.08203125" style="157" customWidth="1"/>
    <col min="7173" max="7178" width="9" style="157"/>
    <col min="7179" max="7179" width="8.25" style="157" customWidth="1"/>
    <col min="7180" max="7424" width="9" style="157"/>
    <col min="7425" max="7425" width="5.08203125" style="157" customWidth="1"/>
    <col min="7426" max="7427" width="9" style="157"/>
    <col min="7428" max="7428" width="5.08203125" style="157" customWidth="1"/>
    <col min="7429" max="7434" width="9" style="157"/>
    <col min="7435" max="7435" width="8.25" style="157" customWidth="1"/>
    <col min="7436" max="7680" width="9" style="157"/>
    <col min="7681" max="7681" width="5.08203125" style="157" customWidth="1"/>
    <col min="7682" max="7683" width="9" style="157"/>
    <col min="7684" max="7684" width="5.08203125" style="157" customWidth="1"/>
    <col min="7685" max="7690" width="9" style="157"/>
    <col min="7691" max="7691" width="8.25" style="157" customWidth="1"/>
    <col min="7692" max="7936" width="9" style="157"/>
    <col min="7937" max="7937" width="5.08203125" style="157" customWidth="1"/>
    <col min="7938" max="7939" width="9" style="157"/>
    <col min="7940" max="7940" width="5.08203125" style="157" customWidth="1"/>
    <col min="7941" max="7946" width="9" style="157"/>
    <col min="7947" max="7947" width="8.25" style="157" customWidth="1"/>
    <col min="7948" max="8192" width="9" style="157"/>
    <col min="8193" max="8193" width="5.08203125" style="157" customWidth="1"/>
    <col min="8194" max="8195" width="9" style="157"/>
    <col min="8196" max="8196" width="5.08203125" style="157" customWidth="1"/>
    <col min="8197" max="8202" width="9" style="157"/>
    <col min="8203" max="8203" width="8.25" style="157" customWidth="1"/>
    <col min="8204" max="8448" width="9" style="157"/>
    <col min="8449" max="8449" width="5.08203125" style="157" customWidth="1"/>
    <col min="8450" max="8451" width="9" style="157"/>
    <col min="8452" max="8452" width="5.08203125" style="157" customWidth="1"/>
    <col min="8453" max="8458" width="9" style="157"/>
    <col min="8459" max="8459" width="8.25" style="157" customWidth="1"/>
    <col min="8460" max="8704" width="9" style="157"/>
    <col min="8705" max="8705" width="5.08203125" style="157" customWidth="1"/>
    <col min="8706" max="8707" width="9" style="157"/>
    <col min="8708" max="8708" width="5.08203125" style="157" customWidth="1"/>
    <col min="8709" max="8714" width="9" style="157"/>
    <col min="8715" max="8715" width="8.25" style="157" customWidth="1"/>
    <col min="8716" max="8960" width="9" style="157"/>
    <col min="8961" max="8961" width="5.08203125" style="157" customWidth="1"/>
    <col min="8962" max="8963" width="9" style="157"/>
    <col min="8964" max="8964" width="5.08203125" style="157" customWidth="1"/>
    <col min="8965" max="8970" width="9" style="157"/>
    <col min="8971" max="8971" width="8.25" style="157" customWidth="1"/>
    <col min="8972" max="9216" width="9" style="157"/>
    <col min="9217" max="9217" width="5.08203125" style="157" customWidth="1"/>
    <col min="9218" max="9219" width="9" style="157"/>
    <col min="9220" max="9220" width="5.08203125" style="157" customWidth="1"/>
    <col min="9221" max="9226" width="9" style="157"/>
    <col min="9227" max="9227" width="8.25" style="157" customWidth="1"/>
    <col min="9228" max="9472" width="9" style="157"/>
    <col min="9473" max="9473" width="5.08203125" style="157" customWidth="1"/>
    <col min="9474" max="9475" width="9" style="157"/>
    <col min="9476" max="9476" width="5.08203125" style="157" customWidth="1"/>
    <col min="9477" max="9482" width="9" style="157"/>
    <col min="9483" max="9483" width="8.25" style="157" customWidth="1"/>
    <col min="9484" max="9728" width="9" style="157"/>
    <col min="9729" max="9729" width="5.08203125" style="157" customWidth="1"/>
    <col min="9730" max="9731" width="9" style="157"/>
    <col min="9732" max="9732" width="5.08203125" style="157" customWidth="1"/>
    <col min="9733" max="9738" width="9" style="157"/>
    <col min="9739" max="9739" width="8.25" style="157" customWidth="1"/>
    <col min="9740" max="9984" width="9" style="157"/>
    <col min="9985" max="9985" width="5.08203125" style="157" customWidth="1"/>
    <col min="9986" max="9987" width="9" style="157"/>
    <col min="9988" max="9988" width="5.08203125" style="157" customWidth="1"/>
    <col min="9989" max="9994" width="9" style="157"/>
    <col min="9995" max="9995" width="8.25" style="157" customWidth="1"/>
    <col min="9996" max="10240" width="9" style="157"/>
    <col min="10241" max="10241" width="5.08203125" style="157" customWidth="1"/>
    <col min="10242" max="10243" width="9" style="157"/>
    <col min="10244" max="10244" width="5.08203125" style="157" customWidth="1"/>
    <col min="10245" max="10250" width="9" style="157"/>
    <col min="10251" max="10251" width="8.25" style="157" customWidth="1"/>
    <col min="10252" max="10496" width="9" style="157"/>
    <col min="10497" max="10497" width="5.08203125" style="157" customWidth="1"/>
    <col min="10498" max="10499" width="9" style="157"/>
    <col min="10500" max="10500" width="5.08203125" style="157" customWidth="1"/>
    <col min="10501" max="10506" width="9" style="157"/>
    <col min="10507" max="10507" width="8.25" style="157" customWidth="1"/>
    <col min="10508" max="10752" width="9" style="157"/>
    <col min="10753" max="10753" width="5.08203125" style="157" customWidth="1"/>
    <col min="10754" max="10755" width="9" style="157"/>
    <col min="10756" max="10756" width="5.08203125" style="157" customWidth="1"/>
    <col min="10757" max="10762" width="9" style="157"/>
    <col min="10763" max="10763" width="8.25" style="157" customWidth="1"/>
    <col min="10764" max="11008" width="9" style="157"/>
    <col min="11009" max="11009" width="5.08203125" style="157" customWidth="1"/>
    <col min="11010" max="11011" width="9" style="157"/>
    <col min="11012" max="11012" width="5.08203125" style="157" customWidth="1"/>
    <col min="11013" max="11018" width="9" style="157"/>
    <col min="11019" max="11019" width="8.25" style="157" customWidth="1"/>
    <col min="11020" max="11264" width="9" style="157"/>
    <col min="11265" max="11265" width="5.08203125" style="157" customWidth="1"/>
    <col min="11266" max="11267" width="9" style="157"/>
    <col min="11268" max="11268" width="5.08203125" style="157" customWidth="1"/>
    <col min="11269" max="11274" width="9" style="157"/>
    <col min="11275" max="11275" width="8.25" style="157" customWidth="1"/>
    <col min="11276" max="11520" width="9" style="157"/>
    <col min="11521" max="11521" width="5.08203125" style="157" customWidth="1"/>
    <col min="11522" max="11523" width="9" style="157"/>
    <col min="11524" max="11524" width="5.08203125" style="157" customWidth="1"/>
    <col min="11525" max="11530" width="9" style="157"/>
    <col min="11531" max="11531" width="8.25" style="157" customWidth="1"/>
    <col min="11532" max="11776" width="9" style="157"/>
    <col min="11777" max="11777" width="5.08203125" style="157" customWidth="1"/>
    <col min="11778" max="11779" width="9" style="157"/>
    <col min="11780" max="11780" width="5.08203125" style="157" customWidth="1"/>
    <col min="11781" max="11786" width="9" style="157"/>
    <col min="11787" max="11787" width="8.25" style="157" customWidth="1"/>
    <col min="11788" max="12032" width="9" style="157"/>
    <col min="12033" max="12033" width="5.08203125" style="157" customWidth="1"/>
    <col min="12034" max="12035" width="9" style="157"/>
    <col min="12036" max="12036" width="5.08203125" style="157" customWidth="1"/>
    <col min="12037" max="12042" width="9" style="157"/>
    <col min="12043" max="12043" width="8.25" style="157" customWidth="1"/>
    <col min="12044" max="12288" width="9" style="157"/>
    <col min="12289" max="12289" width="5.08203125" style="157" customWidth="1"/>
    <col min="12290" max="12291" width="9" style="157"/>
    <col min="12292" max="12292" width="5.08203125" style="157" customWidth="1"/>
    <col min="12293" max="12298" width="9" style="157"/>
    <col min="12299" max="12299" width="8.25" style="157" customWidth="1"/>
    <col min="12300" max="12544" width="9" style="157"/>
    <col min="12545" max="12545" width="5.08203125" style="157" customWidth="1"/>
    <col min="12546" max="12547" width="9" style="157"/>
    <col min="12548" max="12548" width="5.08203125" style="157" customWidth="1"/>
    <col min="12549" max="12554" width="9" style="157"/>
    <col min="12555" max="12555" width="8.25" style="157" customWidth="1"/>
    <col min="12556" max="12800" width="9" style="157"/>
    <col min="12801" max="12801" width="5.08203125" style="157" customWidth="1"/>
    <col min="12802" max="12803" width="9" style="157"/>
    <col min="12804" max="12804" width="5.08203125" style="157" customWidth="1"/>
    <col min="12805" max="12810" width="9" style="157"/>
    <col min="12811" max="12811" width="8.25" style="157" customWidth="1"/>
    <col min="12812" max="13056" width="9" style="157"/>
    <col min="13057" max="13057" width="5.08203125" style="157" customWidth="1"/>
    <col min="13058" max="13059" width="9" style="157"/>
    <col min="13060" max="13060" width="5.08203125" style="157" customWidth="1"/>
    <col min="13061" max="13066" width="9" style="157"/>
    <col min="13067" max="13067" width="8.25" style="157" customWidth="1"/>
    <col min="13068" max="13312" width="9" style="157"/>
    <col min="13313" max="13313" width="5.08203125" style="157" customWidth="1"/>
    <col min="13314" max="13315" width="9" style="157"/>
    <col min="13316" max="13316" width="5.08203125" style="157" customWidth="1"/>
    <col min="13317" max="13322" width="9" style="157"/>
    <col min="13323" max="13323" width="8.25" style="157" customWidth="1"/>
    <col min="13324" max="13568" width="9" style="157"/>
    <col min="13569" max="13569" width="5.08203125" style="157" customWidth="1"/>
    <col min="13570" max="13571" width="9" style="157"/>
    <col min="13572" max="13572" width="5.08203125" style="157" customWidth="1"/>
    <col min="13573" max="13578" width="9" style="157"/>
    <col min="13579" max="13579" width="8.25" style="157" customWidth="1"/>
    <col min="13580" max="13824" width="9" style="157"/>
    <col min="13825" max="13825" width="5.08203125" style="157" customWidth="1"/>
    <col min="13826" max="13827" width="9" style="157"/>
    <col min="13828" max="13828" width="5.08203125" style="157" customWidth="1"/>
    <col min="13829" max="13834" width="9" style="157"/>
    <col min="13835" max="13835" width="8.25" style="157" customWidth="1"/>
    <col min="13836" max="14080" width="9" style="157"/>
    <col min="14081" max="14081" width="5.08203125" style="157" customWidth="1"/>
    <col min="14082" max="14083" width="9" style="157"/>
    <col min="14084" max="14084" width="5.08203125" style="157" customWidth="1"/>
    <col min="14085" max="14090" width="9" style="157"/>
    <col min="14091" max="14091" width="8.25" style="157" customWidth="1"/>
    <col min="14092" max="14336" width="9" style="157"/>
    <col min="14337" max="14337" width="5.08203125" style="157" customWidth="1"/>
    <col min="14338" max="14339" width="9" style="157"/>
    <col min="14340" max="14340" width="5.08203125" style="157" customWidth="1"/>
    <col min="14341" max="14346" width="9" style="157"/>
    <col min="14347" max="14347" width="8.25" style="157" customWidth="1"/>
    <col min="14348" max="14592" width="9" style="157"/>
    <col min="14593" max="14593" width="5.08203125" style="157" customWidth="1"/>
    <col min="14594" max="14595" width="9" style="157"/>
    <col min="14596" max="14596" width="5.08203125" style="157" customWidth="1"/>
    <col min="14597" max="14602" width="9" style="157"/>
    <col min="14603" max="14603" width="8.25" style="157" customWidth="1"/>
    <col min="14604" max="14848" width="9" style="157"/>
    <col min="14849" max="14849" width="5.08203125" style="157" customWidth="1"/>
    <col min="14850" max="14851" width="9" style="157"/>
    <col min="14852" max="14852" width="5.08203125" style="157" customWidth="1"/>
    <col min="14853" max="14858" width="9" style="157"/>
    <col min="14859" max="14859" width="8.25" style="157" customWidth="1"/>
    <col min="14860" max="15104" width="9" style="157"/>
    <col min="15105" max="15105" width="5.08203125" style="157" customWidth="1"/>
    <col min="15106" max="15107" width="9" style="157"/>
    <col min="15108" max="15108" width="5.08203125" style="157" customWidth="1"/>
    <col min="15109" max="15114" width="9" style="157"/>
    <col min="15115" max="15115" width="8.25" style="157" customWidth="1"/>
    <col min="15116" max="15360" width="9" style="157"/>
    <col min="15361" max="15361" width="5.08203125" style="157" customWidth="1"/>
    <col min="15362" max="15363" width="9" style="157"/>
    <col min="15364" max="15364" width="5.08203125" style="157" customWidth="1"/>
    <col min="15365" max="15370" width="9" style="157"/>
    <col min="15371" max="15371" width="8.25" style="157" customWidth="1"/>
    <col min="15372" max="15616" width="9" style="157"/>
    <col min="15617" max="15617" width="5.08203125" style="157" customWidth="1"/>
    <col min="15618" max="15619" width="9" style="157"/>
    <col min="15620" max="15620" width="5.08203125" style="157" customWidth="1"/>
    <col min="15621" max="15626" width="9" style="157"/>
    <col min="15627" max="15627" width="8.25" style="157" customWidth="1"/>
    <col min="15628" max="15872" width="9" style="157"/>
    <col min="15873" max="15873" width="5.08203125" style="157" customWidth="1"/>
    <col min="15874" max="15875" width="9" style="157"/>
    <col min="15876" max="15876" width="5.08203125" style="157" customWidth="1"/>
    <col min="15877" max="15882" width="9" style="157"/>
    <col min="15883" max="15883" width="8.25" style="157" customWidth="1"/>
    <col min="15884" max="16128" width="9" style="157"/>
    <col min="16129" max="16129" width="5.08203125" style="157" customWidth="1"/>
    <col min="16130" max="16131" width="9" style="157"/>
    <col min="16132" max="16132" width="5.08203125" style="157" customWidth="1"/>
    <col min="16133" max="16138" width="9" style="157"/>
    <col min="16139" max="16139" width="8.25" style="157" customWidth="1"/>
    <col min="16140" max="16384" width="9" style="157"/>
  </cols>
  <sheetData>
    <row r="1" spans="1:11" ht="39.75" customHeight="1">
      <c r="A1" s="709" t="s">
        <v>1249</v>
      </c>
      <c r="B1" s="709"/>
      <c r="C1" s="709"/>
      <c r="D1" s="709"/>
      <c r="E1" s="709"/>
      <c r="F1" s="709"/>
      <c r="G1" s="709"/>
      <c r="H1" s="709"/>
      <c r="I1" s="709"/>
      <c r="J1" s="709"/>
      <c r="K1" s="709"/>
    </row>
    <row r="2" spans="1:11" ht="20.149999999999999" customHeight="1">
      <c r="A2" s="158"/>
      <c r="B2" s="158"/>
      <c r="C2" s="158"/>
      <c r="D2" s="158"/>
      <c r="E2" s="158"/>
      <c r="F2" s="158"/>
      <c r="G2" s="158"/>
      <c r="H2" s="530"/>
      <c r="I2" s="710" t="s">
        <v>1611</v>
      </c>
      <c r="J2" s="710"/>
      <c r="K2" s="710"/>
    </row>
    <row r="3" spans="1:11" ht="33.75" customHeight="1">
      <c r="A3" s="711" t="s">
        <v>377</v>
      </c>
      <c r="B3" s="711"/>
      <c r="C3" s="711"/>
      <c r="D3" s="711"/>
      <c r="E3" s="711"/>
      <c r="F3" s="711"/>
      <c r="G3" s="158"/>
      <c r="H3" s="158"/>
      <c r="I3" s="158"/>
      <c r="J3" s="158"/>
      <c r="K3" s="158"/>
    </row>
    <row r="4" spans="1:11" ht="5.15" customHeight="1">
      <c r="A4" s="158"/>
      <c r="B4" s="158"/>
      <c r="C4" s="158"/>
      <c r="D4" s="158"/>
      <c r="E4" s="158"/>
      <c r="F4" s="158"/>
      <c r="G4" s="158"/>
      <c r="H4" s="158"/>
      <c r="I4" s="158"/>
      <c r="J4" s="158"/>
      <c r="K4" s="158"/>
    </row>
    <row r="5" spans="1:11" ht="20.149999999999999" customHeight="1">
      <c r="A5" s="499"/>
      <c r="B5" s="500"/>
      <c r="C5" s="158" t="s">
        <v>1274</v>
      </c>
      <c r="D5" s="158"/>
      <c r="E5" s="158"/>
      <c r="F5" s="158"/>
      <c r="G5" s="158"/>
      <c r="H5" s="158"/>
      <c r="I5" s="158"/>
      <c r="J5" s="158"/>
      <c r="K5" s="158"/>
    </row>
    <row r="6" spans="1:11" ht="5.15" customHeight="1">
      <c r="A6" s="158"/>
      <c r="B6" s="158"/>
      <c r="C6" s="158"/>
      <c r="D6" s="158"/>
      <c r="E6" s="158"/>
      <c r="F6" s="158"/>
      <c r="G6" s="158"/>
      <c r="H6" s="158"/>
      <c r="I6" s="158"/>
      <c r="J6" s="158"/>
      <c r="K6" s="158"/>
    </row>
    <row r="7" spans="1:11" ht="20.149999999999999" customHeight="1">
      <c r="A7" s="501"/>
      <c r="B7" s="502"/>
      <c r="C7" s="712" t="s">
        <v>1275</v>
      </c>
      <c r="D7" s="712"/>
      <c r="E7" s="712"/>
      <c r="F7" s="712"/>
      <c r="G7" s="712"/>
      <c r="H7" s="712"/>
      <c r="I7" s="712"/>
      <c r="J7" s="712"/>
      <c r="K7" s="712"/>
    </row>
    <row r="8" spans="1:11" ht="51.75" customHeight="1">
      <c r="A8" s="158"/>
      <c r="B8" s="158"/>
      <c r="C8" s="712"/>
      <c r="D8" s="712"/>
      <c r="E8" s="712"/>
      <c r="F8" s="712"/>
      <c r="G8" s="712"/>
      <c r="H8" s="712"/>
      <c r="I8" s="712"/>
      <c r="J8" s="712"/>
      <c r="K8" s="712"/>
    </row>
    <row r="9" spans="1:11" ht="5.15" customHeight="1">
      <c r="A9" s="158"/>
      <c r="B9" s="158"/>
      <c r="C9" s="158"/>
      <c r="D9" s="158"/>
      <c r="E9" s="158"/>
      <c r="F9" s="158"/>
      <c r="G9" s="158"/>
      <c r="H9" s="158"/>
      <c r="I9" s="158"/>
      <c r="J9" s="158"/>
      <c r="K9" s="158"/>
    </row>
    <row r="10" spans="1:11" ht="28.5" customHeight="1">
      <c r="A10" s="713" t="s">
        <v>1276</v>
      </c>
      <c r="B10" s="713"/>
      <c r="C10" s="713"/>
      <c r="D10" s="713"/>
      <c r="E10" s="713"/>
      <c r="F10" s="713"/>
      <c r="G10" s="713"/>
      <c r="H10" s="713"/>
      <c r="I10" s="713"/>
      <c r="J10" s="713"/>
      <c r="K10" s="158"/>
    </row>
    <row r="11" spans="1:11" ht="5.15" customHeight="1">
      <c r="A11" s="158"/>
      <c r="B11" s="158"/>
      <c r="C11" s="158"/>
      <c r="D11" s="158"/>
      <c r="E11" s="158"/>
      <c r="F11" s="158"/>
      <c r="G11" s="158"/>
      <c r="H11" s="158"/>
      <c r="I11" s="158"/>
      <c r="J11" s="158"/>
      <c r="K11" s="158"/>
    </row>
    <row r="12" spans="1:11" ht="30.75" customHeight="1">
      <c r="A12" s="711" t="s">
        <v>1277</v>
      </c>
      <c r="B12" s="711"/>
      <c r="C12" s="711"/>
      <c r="D12" s="711"/>
      <c r="E12" s="711"/>
      <c r="F12" s="711"/>
      <c r="G12" s="158"/>
      <c r="H12" s="158"/>
      <c r="I12" s="158"/>
      <c r="J12" s="158"/>
      <c r="K12" s="158"/>
    </row>
    <row r="13" spans="1:11" ht="51.75" customHeight="1">
      <c r="A13" s="714" t="s">
        <v>1278</v>
      </c>
      <c r="B13" s="714"/>
      <c r="C13" s="714"/>
      <c r="D13" s="714"/>
      <c r="E13" s="714"/>
      <c r="F13" s="714"/>
      <c r="G13" s="714"/>
      <c r="H13" s="714"/>
      <c r="I13" s="714"/>
      <c r="J13" s="714"/>
      <c r="K13" s="714"/>
    </row>
    <row r="14" spans="1:11" ht="33.75" customHeight="1">
      <c r="A14" s="711" t="s">
        <v>1279</v>
      </c>
      <c r="B14" s="711"/>
      <c r="C14" s="711"/>
      <c r="D14" s="711"/>
      <c r="E14" s="711"/>
      <c r="F14" s="711"/>
      <c r="G14" s="158"/>
      <c r="H14" s="158"/>
      <c r="I14" s="158"/>
      <c r="J14" s="158"/>
      <c r="K14" s="158"/>
    </row>
    <row r="15" spans="1:11" ht="20.149999999999999" customHeight="1">
      <c r="A15" s="715" t="s">
        <v>1612</v>
      </c>
      <c r="B15" s="715"/>
      <c r="C15" s="715"/>
      <c r="D15" s="715"/>
      <c r="E15" s="715"/>
      <c r="F15" s="715"/>
      <c r="G15" s="512" t="s">
        <v>379</v>
      </c>
      <c r="H15" s="716" t="s">
        <v>383</v>
      </c>
      <c r="I15" s="717"/>
      <c r="J15" s="717"/>
      <c r="K15" s="717"/>
    </row>
    <row r="16" spans="1:11" ht="37" customHeight="1">
      <c r="A16" s="718" t="s">
        <v>1613</v>
      </c>
      <c r="B16" s="718"/>
      <c r="C16" s="718"/>
      <c r="D16" s="718"/>
      <c r="E16" s="718"/>
      <c r="F16" s="718"/>
      <c r="G16" s="718"/>
      <c r="H16" s="718"/>
      <c r="I16" s="718"/>
      <c r="J16" s="718"/>
      <c r="K16" s="718"/>
    </row>
    <row r="17" spans="1:11" ht="8.25" customHeight="1">
      <c r="A17" s="158"/>
      <c r="B17" s="158"/>
      <c r="C17" s="158"/>
      <c r="D17" s="158"/>
      <c r="E17" s="158"/>
      <c r="F17" s="158"/>
      <c r="G17" s="158"/>
      <c r="H17" s="158"/>
      <c r="I17" s="158"/>
      <c r="J17" s="158"/>
      <c r="K17" s="158"/>
    </row>
    <row r="18" spans="1:11" ht="21.75" customHeight="1">
      <c r="A18" s="158"/>
      <c r="B18" s="158"/>
      <c r="C18" s="707" t="s">
        <v>1460</v>
      </c>
      <c r="D18" s="707"/>
      <c r="E18" s="707"/>
      <c r="F18" s="707"/>
      <c r="G18" s="707"/>
      <c r="H18" s="707"/>
      <c r="I18" s="707"/>
      <c r="J18" s="707"/>
      <c r="K18" s="707"/>
    </row>
    <row r="19" spans="1:11" ht="21.75" customHeight="1">
      <c r="A19" s="158"/>
      <c r="B19" s="158"/>
      <c r="C19" s="707" t="s">
        <v>1461</v>
      </c>
      <c r="D19" s="707"/>
      <c r="E19" s="707"/>
      <c r="F19" s="707"/>
      <c r="G19" s="707"/>
      <c r="H19" s="707"/>
      <c r="I19" s="707"/>
      <c r="J19" s="707"/>
      <c r="K19" s="707"/>
    </row>
    <row r="20" spans="1:11" ht="21.75" customHeight="1">
      <c r="A20" s="158"/>
      <c r="B20" s="158"/>
      <c r="C20" s="158" t="s">
        <v>1624</v>
      </c>
      <c r="D20" s="158"/>
      <c r="E20" s="158"/>
      <c r="F20" s="158"/>
      <c r="G20" s="158"/>
      <c r="H20" s="448"/>
      <c r="I20" s="448"/>
      <c r="J20" s="448"/>
      <c r="K20" s="158"/>
    </row>
    <row r="21" spans="1:11" ht="21.75" customHeight="1">
      <c r="A21" s="158"/>
      <c r="B21" s="158"/>
      <c r="C21" s="707" t="s">
        <v>381</v>
      </c>
      <c r="D21" s="707"/>
      <c r="E21" s="707"/>
      <c r="F21" s="707"/>
      <c r="G21" s="707"/>
      <c r="H21" s="707"/>
      <c r="I21" s="707"/>
      <c r="J21" s="707"/>
      <c r="K21" s="707"/>
    </row>
    <row r="22" spans="1:11" ht="21.75" customHeight="1">
      <c r="A22" s="158"/>
      <c r="B22" s="158"/>
      <c r="C22" s="159" t="s">
        <v>384</v>
      </c>
      <c r="D22" s="708" t="s">
        <v>383</v>
      </c>
      <c r="E22" s="708"/>
      <c r="F22" s="708"/>
      <c r="G22" s="708"/>
      <c r="H22" s="708"/>
      <c r="I22" s="708"/>
      <c r="J22" s="708"/>
      <c r="K22" s="708"/>
    </row>
    <row r="23" spans="1:11" ht="21.75" customHeight="1">
      <c r="A23" s="158"/>
      <c r="B23" s="158"/>
      <c r="D23" s="158"/>
      <c r="E23" s="158"/>
      <c r="F23" s="158"/>
      <c r="G23" s="158"/>
      <c r="H23" s="158"/>
      <c r="I23" s="158"/>
      <c r="J23" s="158"/>
      <c r="K23" s="158"/>
    </row>
    <row r="24" spans="1:11" ht="21.75" customHeight="1"/>
    <row r="25" spans="1:11" ht="20.149999999999999" customHeight="1"/>
    <row r="26" spans="1:11" ht="20.149999999999999" customHeight="1"/>
    <row r="27" spans="1:11" ht="20.149999999999999" customHeight="1"/>
    <row r="28" spans="1:11" ht="20.149999999999999" customHeight="1"/>
  </sheetData>
  <sheetProtection selectLockedCells="1"/>
  <mergeCells count="15">
    <mergeCell ref="C19:K19"/>
    <mergeCell ref="C21:K21"/>
    <mergeCell ref="D22:K22"/>
    <mergeCell ref="C18:K18"/>
    <mergeCell ref="A1:K1"/>
    <mergeCell ref="I2:K2"/>
    <mergeCell ref="A3:F3"/>
    <mergeCell ref="C7:K8"/>
    <mergeCell ref="A10:J10"/>
    <mergeCell ref="A12:F12"/>
    <mergeCell ref="A13:K13"/>
    <mergeCell ref="A14:F14"/>
    <mergeCell ref="A15:F15"/>
    <mergeCell ref="H15:K15"/>
    <mergeCell ref="A16:K16"/>
  </mergeCells>
  <phoneticPr fontId="1"/>
  <hyperlinks>
    <hyperlink ref="H15" r:id="rId1" xr:uid="{C189D1FD-0270-4E83-972C-857C2A4B5DAE}"/>
    <hyperlink ref="D22" r:id="rId2" xr:uid="{05B316C1-33BD-4DF1-870C-2B707159ACCF}"/>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5EB5-B762-42F0-B9EB-2DADDA9E495D}">
  <dimension ref="B1:AO30"/>
  <sheetViews>
    <sheetView view="pageBreakPreview" zoomScaleNormal="100" zoomScaleSheetLayoutView="100" workbookViewId="0">
      <pane ySplit="6" topLeftCell="A7" activePane="bottomLeft" state="frozen"/>
      <selection activeCell="A5" sqref="A5:AI41"/>
      <selection pane="bottomLeft" activeCell="Q13" sqref="Q13"/>
    </sheetView>
  </sheetViews>
  <sheetFormatPr defaultColWidth="9" defaultRowHeight="18"/>
  <cols>
    <col min="1" max="1" width="0.5" style="447" customWidth="1"/>
    <col min="2" max="2" width="6.58203125" style="447" customWidth="1"/>
    <col min="3" max="12" width="5.58203125" style="447" customWidth="1"/>
    <col min="13" max="14" width="7.08203125" style="447" customWidth="1"/>
    <col min="15" max="15" width="6.25" style="447" customWidth="1"/>
    <col min="16" max="28" width="5.58203125" style="447" customWidth="1"/>
    <col min="29" max="29" width="0.75" style="447" customWidth="1"/>
    <col min="30" max="30" width="9" style="446"/>
    <col min="31" max="33" width="9" style="447"/>
    <col min="34" max="37" width="7.25" style="447" customWidth="1"/>
    <col min="38" max="16384" width="9" style="447"/>
  </cols>
  <sheetData>
    <row r="1" spans="2:41" ht="6" customHeight="1"/>
    <row r="2" spans="2:41" ht="13.5" customHeight="1">
      <c r="B2" s="677" t="s">
        <v>1255</v>
      </c>
      <c r="C2" s="682" t="s">
        <v>1256</v>
      </c>
      <c r="D2" s="701"/>
      <c r="E2" s="701"/>
      <c r="F2" s="674"/>
      <c r="G2" s="702" t="s">
        <v>1257</v>
      </c>
      <c r="H2" s="703"/>
      <c r="I2" s="682" t="s">
        <v>1209</v>
      </c>
      <c r="J2" s="701"/>
      <c r="K2" s="674"/>
      <c r="L2" s="704" t="s">
        <v>1210</v>
      </c>
      <c r="M2" s="449"/>
      <c r="N2" s="450"/>
      <c r="O2" s="683" t="s">
        <v>1258</v>
      </c>
      <c r="P2" s="706" t="s">
        <v>1211</v>
      </c>
      <c r="Q2" s="706"/>
      <c r="R2" s="706"/>
      <c r="S2" s="706"/>
      <c r="T2" s="706"/>
      <c r="U2" s="706"/>
      <c r="V2" s="702"/>
      <c r="W2" s="702"/>
      <c r="X2" s="702"/>
      <c r="Y2" s="702"/>
      <c r="Z2" s="451"/>
      <c r="AA2" s="674" t="s">
        <v>1212</v>
      </c>
      <c r="AB2" s="677" t="s">
        <v>1213</v>
      </c>
      <c r="AD2" s="446" t="s">
        <v>1214</v>
      </c>
    </row>
    <row r="3" spans="2:41" ht="22.5" customHeight="1">
      <c r="B3" s="678"/>
      <c r="C3" s="677" t="s">
        <v>1215</v>
      </c>
      <c r="D3" s="684" t="s">
        <v>1259</v>
      </c>
      <c r="E3" s="677" t="s">
        <v>1217</v>
      </c>
      <c r="F3" s="678" t="s">
        <v>1220</v>
      </c>
      <c r="G3" s="677" t="s">
        <v>1260</v>
      </c>
      <c r="H3" s="674" t="s">
        <v>1261</v>
      </c>
      <c r="I3" s="677" t="s">
        <v>1218</v>
      </c>
      <c r="J3" s="677" t="s">
        <v>1219</v>
      </c>
      <c r="K3" s="678" t="s">
        <v>1220</v>
      </c>
      <c r="L3" s="705"/>
      <c r="M3" s="684" t="s">
        <v>1262</v>
      </c>
      <c r="N3" s="684" t="s">
        <v>1263</v>
      </c>
      <c r="O3" s="678"/>
      <c r="P3" s="677" t="s">
        <v>1221</v>
      </c>
      <c r="Q3" s="677" t="s">
        <v>1222</v>
      </c>
      <c r="R3" s="677" t="s">
        <v>1223</v>
      </c>
      <c r="S3" s="677" t="s">
        <v>1224</v>
      </c>
      <c r="T3" s="677" t="s">
        <v>1225</v>
      </c>
      <c r="U3" s="680" t="s">
        <v>1264</v>
      </c>
      <c r="V3" s="680" t="s">
        <v>1265</v>
      </c>
      <c r="W3" s="680" t="s">
        <v>1266</v>
      </c>
      <c r="X3" s="452"/>
      <c r="Y3" s="682" t="s">
        <v>1226</v>
      </c>
      <c r="Z3" s="452"/>
      <c r="AA3" s="675"/>
      <c r="AB3" s="678"/>
    </row>
    <row r="4" spans="2:41" ht="22.5" customHeight="1">
      <c r="B4" s="678"/>
      <c r="C4" s="678"/>
      <c r="D4" s="678"/>
      <c r="E4" s="678"/>
      <c r="F4" s="678"/>
      <c r="G4" s="678"/>
      <c r="H4" s="675"/>
      <c r="I4" s="678"/>
      <c r="J4" s="678"/>
      <c r="K4" s="678"/>
      <c r="L4" s="705"/>
      <c r="M4" s="719"/>
      <c r="N4" s="719"/>
      <c r="O4" s="678"/>
      <c r="P4" s="681"/>
      <c r="Q4" s="681"/>
      <c r="R4" s="681"/>
      <c r="S4" s="681"/>
      <c r="T4" s="681"/>
      <c r="U4" s="681"/>
      <c r="V4" s="681"/>
      <c r="W4" s="681"/>
      <c r="X4" s="453" t="s">
        <v>168</v>
      </c>
      <c r="Y4" s="681"/>
      <c r="Z4" s="453" t="s">
        <v>1267</v>
      </c>
      <c r="AA4" s="675"/>
      <c r="AB4" s="678"/>
      <c r="AE4" s="447" t="s">
        <v>1268</v>
      </c>
      <c r="AF4" s="447" t="s">
        <v>1269</v>
      </c>
      <c r="AH4" s="516"/>
      <c r="AI4" s="517"/>
      <c r="AJ4" s="517"/>
      <c r="AK4" s="697" t="s">
        <v>1320</v>
      </c>
      <c r="AM4" s="447" t="s">
        <v>1321</v>
      </c>
      <c r="AN4" s="447" t="s">
        <v>1328</v>
      </c>
    </row>
    <row r="5" spans="2:41" ht="13.5" customHeight="1">
      <c r="B5" s="720" t="s">
        <v>1322</v>
      </c>
      <c r="C5" s="720"/>
      <c r="D5" s="720"/>
      <c r="E5" s="720"/>
      <c r="F5" s="720"/>
      <c r="G5" s="720"/>
      <c r="H5" s="720"/>
      <c r="I5" s="720"/>
      <c r="J5" s="720"/>
      <c r="K5" s="720"/>
      <c r="L5" s="720"/>
      <c r="M5" s="720"/>
      <c r="N5" s="720"/>
      <c r="O5" s="720"/>
      <c r="P5" s="515">
        <f>⑤基本加算１!J6</f>
        <v>215833.33333333401</v>
      </c>
      <c r="Q5" s="514">
        <f>⑥基本加算２!I6</f>
        <v>327916.66666666698</v>
      </c>
      <c r="R5" s="514">
        <f>Q5</f>
        <v>327916.66666666698</v>
      </c>
      <c r="S5" s="514">
        <f>⑧一般加算１!M6</f>
        <v>221916.66666666701</v>
      </c>
      <c r="T5" s="514">
        <f>S5</f>
        <v>221916.66666666701</v>
      </c>
      <c r="U5" s="514">
        <f>⑩特定加算１!I6</f>
        <v>271333.33333333401</v>
      </c>
      <c r="V5" s="514">
        <f>U5</f>
        <v>271333.33333333401</v>
      </c>
      <c r="W5" s="514">
        <f>U5</f>
        <v>271333.33333333401</v>
      </c>
      <c r="X5" s="514" t="s">
        <v>273</v>
      </c>
      <c r="Y5" s="514">
        <f>W5</f>
        <v>271333.33333333401</v>
      </c>
      <c r="Z5" s="514" t="s">
        <v>273</v>
      </c>
      <c r="AA5" s="675"/>
      <c r="AB5" s="678"/>
      <c r="AH5" s="700" t="s">
        <v>1323</v>
      </c>
      <c r="AI5" s="700" t="s">
        <v>1324</v>
      </c>
      <c r="AJ5" s="700" t="s">
        <v>1325</v>
      </c>
      <c r="AK5" s="698"/>
    </row>
    <row r="6" spans="2:41" ht="13.5" customHeight="1" thickBot="1">
      <c r="B6" s="720" t="s">
        <v>1326</v>
      </c>
      <c r="C6" s="720"/>
      <c r="D6" s="720"/>
      <c r="E6" s="720"/>
      <c r="F6" s="720"/>
      <c r="G6" s="720"/>
      <c r="H6" s="720"/>
      <c r="I6" s="720"/>
      <c r="J6" s="720"/>
      <c r="K6" s="720"/>
      <c r="L6" s="720"/>
      <c r="M6" s="720"/>
      <c r="N6" s="720"/>
      <c r="O6" s="720"/>
      <c r="P6" s="515">
        <f>P5-66960</f>
        <v>148873.33333333401</v>
      </c>
      <c r="Q6" s="514" t="s">
        <v>273</v>
      </c>
      <c r="R6" s="514" t="s">
        <v>273</v>
      </c>
      <c r="S6" s="514">
        <f>S5-66960</f>
        <v>154956.66666666701</v>
      </c>
      <c r="T6" s="514">
        <f>T5-66960</f>
        <v>154956.66666666701</v>
      </c>
      <c r="U6" s="514" t="s">
        <v>273</v>
      </c>
      <c r="V6" s="514" t="s">
        <v>273</v>
      </c>
      <c r="W6" s="514" t="s">
        <v>273</v>
      </c>
      <c r="X6" s="514" t="s">
        <v>273</v>
      </c>
      <c r="Y6" s="514" t="s">
        <v>273</v>
      </c>
      <c r="Z6" s="514" t="s">
        <v>273</v>
      </c>
      <c r="AA6" s="676"/>
      <c r="AB6" s="679"/>
      <c r="AH6" s="699"/>
      <c r="AI6" s="699"/>
      <c r="AJ6" s="699"/>
      <c r="AK6" s="699"/>
    </row>
    <row r="7" spans="2:41" ht="16.5" customHeight="1" thickTop="1">
      <c r="B7" s="454" t="s">
        <v>1227</v>
      </c>
      <c r="C7" s="454" t="e">
        <f>'④-1月別配置内訳書(2)-(2)-(A)'!AB9</f>
        <v>#DIV/0!</v>
      </c>
      <c r="D7" s="454" t="e">
        <f>'④-1月別配置内訳書(2)-(2)-(A)'!AD9</f>
        <v>#N/A</v>
      </c>
      <c r="E7" s="454" t="e">
        <f>'④-1月別配置内訳書(2)-(2)-(A)'!AE9</f>
        <v>#DIV/0!</v>
      </c>
      <c r="F7" s="455" t="e">
        <f>'④-1月別配置内訳書(2)-(2)-(A)'!AI9</f>
        <v>#DIV/0!</v>
      </c>
      <c r="G7" s="456" t="e">
        <f>'④-2月別配置内訳書(2)-(2)-(B)'!AF9-'④-2月別配置内訳書(2)-(2)-(B)'!AG9</f>
        <v>#DIV/0!</v>
      </c>
      <c r="H7" s="457" t="e">
        <f>'④-3月別配置内訳書(2)-(2)-(C)・(D)'!V9-'④-3月別配置内訳書(2)-(2)-(C)・(D)'!W9</f>
        <v>#DIV/0!</v>
      </c>
      <c r="I7" s="458" t="e">
        <f>'④-3月別配置内訳書(2)-(2)-(C)・(D)'!Z9</f>
        <v>#N/A</v>
      </c>
      <c r="J7" s="459" t="e">
        <f>'④-3月別配置内訳書(2)-(2)-(C)・(D)'!AT9</f>
        <v>#DIV/0!</v>
      </c>
      <c r="K7" s="455" t="e">
        <f>IF(J7-I7&lt;0,0,J7-I7)</f>
        <v>#DIV/0!</v>
      </c>
      <c r="L7" s="457" t="e">
        <f>'④-４月別配置内訳書(2)-(2)-(E)'!V9</f>
        <v>#DIV/0!</v>
      </c>
      <c r="M7" s="460" t="e">
        <f>SUM(K7:L7,C7:E7,G7:H7)</f>
        <v>#DIV/0!</v>
      </c>
      <c r="N7" s="461">
        <f t="shared" ref="N7:N18" si="0">AE7</f>
        <v>4</v>
      </c>
      <c r="O7" s="462" t="e">
        <f>MIN(M7:N7)</f>
        <v>#DIV/0!</v>
      </c>
      <c r="P7" s="463"/>
      <c r="Q7" s="463"/>
      <c r="R7" s="463"/>
      <c r="S7" s="464"/>
      <c r="T7" s="464"/>
      <c r="U7" s="464"/>
      <c r="V7" s="464"/>
      <c r="W7" s="464"/>
      <c r="X7" s="465">
        <f>①基本情報!F29</f>
        <v>0</v>
      </c>
      <c r="Y7" s="464"/>
      <c r="Z7" s="465">
        <f>SUM('③児童数及び職員定数 (2)-(1)'!C10:D10)</f>
        <v>0</v>
      </c>
      <c r="AA7" s="461">
        <f>COUNTA(P7:W7,Y7)</f>
        <v>0</v>
      </c>
      <c r="AB7" s="462" t="e">
        <f>IF(ROUNDDOWN(O7,0)=AA7,"○","✕")</f>
        <v>#DIV/0!</v>
      </c>
      <c r="AE7" s="447">
        <f>IF(AF7="〇",4+X7+1,4+X7)</f>
        <v>4</v>
      </c>
      <c r="AF7" s="447" t="str">
        <f>IF(Z7&gt;=36,"〇","✕")</f>
        <v>✕</v>
      </c>
      <c r="AH7" s="518" t="str">
        <f>IF(X7=0,"","〇")</f>
        <v/>
      </c>
      <c r="AI7" s="518" t="str">
        <f>IF(P7="","","〇")</f>
        <v/>
      </c>
      <c r="AJ7" s="518" t="str">
        <f>IF(AND(Q7="",R7="",S7="",T7="",U7=""),"〇","")</f>
        <v>〇</v>
      </c>
      <c r="AK7" s="518" t="str">
        <f>IF(AND(AH7="〇",AI7="〇",AJ7="〇"),"〇","")</f>
        <v/>
      </c>
      <c r="AM7" s="447" t="str">
        <f>IF(P7="","〇","")</f>
        <v>〇</v>
      </c>
      <c r="AN7" s="447" t="e">
        <f>SUM(C7:E7)</f>
        <v>#DIV/0!</v>
      </c>
      <c r="AO7" s="447" t="e">
        <f>IF(AN7&lt;0,"✕","〇")</f>
        <v>#DIV/0!</v>
      </c>
    </row>
    <row r="8" spans="2:41" ht="16.5" customHeight="1">
      <c r="B8" s="454" t="s">
        <v>1228</v>
      </c>
      <c r="C8" s="454" t="e">
        <f>'④-1月別配置内訳書(2)-(2)-(A)'!AB10</f>
        <v>#DIV/0!</v>
      </c>
      <c r="D8" s="454" t="e">
        <f>'④-1月別配置内訳書(2)-(2)-(A)'!AD10</f>
        <v>#N/A</v>
      </c>
      <c r="E8" s="454" t="e">
        <f>'④-1月別配置内訳書(2)-(2)-(A)'!AE10</f>
        <v>#DIV/0!</v>
      </c>
      <c r="F8" s="466" t="e">
        <f>'④-1月別配置内訳書(2)-(2)-(A)'!AK10</f>
        <v>#N/A</v>
      </c>
      <c r="G8" s="467" t="e">
        <f>'④-2月別配置内訳書(2)-(2)-(B)'!AF10-'④-2月別配置内訳書(2)-(2)-(B)'!AG10</f>
        <v>#DIV/0!</v>
      </c>
      <c r="H8" s="468" t="e">
        <f>'④-3月別配置内訳書(2)-(2)-(C)・(D)'!V10-'④-3月別配置内訳書(2)-(2)-(C)・(D)'!W10</f>
        <v>#DIV/0!</v>
      </c>
      <c r="I8" s="458" t="e">
        <f>'④-3月別配置内訳書(2)-(2)-(C)・(D)'!Z10</f>
        <v>#N/A</v>
      </c>
      <c r="J8" s="459" t="e">
        <f>'④-3月別配置内訳書(2)-(2)-(C)・(D)'!AT10</f>
        <v>#DIV/0!</v>
      </c>
      <c r="K8" s="469" t="e">
        <f t="shared" ref="K8:K18" si="1">IF(J8-I8&lt;0,0,J8-I8)</f>
        <v>#DIV/0!</v>
      </c>
      <c r="L8" s="468" t="e">
        <f>'④-４月別配置内訳書(2)-(2)-(E)'!V10</f>
        <v>#DIV/0!</v>
      </c>
      <c r="M8" s="460" t="e">
        <f>SUM(K8:L8,C8:E8,G8:H8)</f>
        <v>#DIV/0!</v>
      </c>
      <c r="N8" s="461" t="e">
        <f t="shared" si="0"/>
        <v>#N/A</v>
      </c>
      <c r="O8" s="470" t="e">
        <f t="shared" ref="O8:O18" si="2">MIN(M8:N8)</f>
        <v>#DIV/0!</v>
      </c>
      <c r="P8" s="463"/>
      <c r="Q8" s="463"/>
      <c r="R8" s="463"/>
      <c r="S8" s="464"/>
      <c r="T8" s="464"/>
      <c r="U8" s="464"/>
      <c r="V8" s="464"/>
      <c r="W8" s="464"/>
      <c r="X8" s="465" t="e">
        <f>①基本情報!G29</f>
        <v>#N/A</v>
      </c>
      <c r="Y8" s="464"/>
      <c r="Z8" s="465">
        <f>SUM('③児童数及び職員定数 (2)-(1)'!C11:D11)</f>
        <v>0</v>
      </c>
      <c r="AA8" s="461">
        <f t="shared" ref="AA8:AA18" si="3">COUNTA(P8:W8,Y8)</f>
        <v>0</v>
      </c>
      <c r="AB8" s="470" t="e">
        <f t="shared" ref="AB8:AB18" si="4">IF(ROUNDDOWN(O8,0)=AA8,"○","✕")</f>
        <v>#DIV/0!</v>
      </c>
      <c r="AE8" s="447" t="e">
        <f t="shared" ref="AE8:AE18" si="5">IF(AF8="〇",4+X8+1,4+X8)</f>
        <v>#N/A</v>
      </c>
      <c r="AF8" s="447" t="str">
        <f t="shared" ref="AF8:AF18" si="6">IF(Z8&gt;=36,"〇","✕")</f>
        <v>✕</v>
      </c>
      <c r="AH8" s="518" t="e">
        <f t="shared" ref="AH8:AH18" si="7">IF(X8=0,"","〇")</f>
        <v>#N/A</v>
      </c>
      <c r="AI8" s="518" t="str">
        <f>IF(P8="","","〇")</f>
        <v/>
      </c>
      <c r="AJ8" s="518" t="str">
        <f t="shared" ref="AJ8:AJ18" si="8">IF(AND(Q8="",R8="",S8="",T8="",U8=""),"〇","")</f>
        <v>〇</v>
      </c>
      <c r="AK8" s="518" t="e">
        <f>IF(AND(AH8="〇",AI8="〇",AJ8="〇"),"〇","")</f>
        <v>#N/A</v>
      </c>
      <c r="AM8" s="447" t="str">
        <f t="shared" ref="AM8:AM18" si="9">IF(P8="","〇","")</f>
        <v>〇</v>
      </c>
      <c r="AN8" s="447" t="e">
        <f t="shared" ref="AN8:AN18" si="10">SUM(C8:E8)</f>
        <v>#DIV/0!</v>
      </c>
      <c r="AO8" s="447" t="e">
        <f t="shared" ref="AO8:AO18" si="11">IF(AN8&lt;0,"✕","〇")</f>
        <v>#DIV/0!</v>
      </c>
    </row>
    <row r="9" spans="2:41" ht="16.5" customHeight="1">
      <c r="B9" s="454" t="s">
        <v>1229</v>
      </c>
      <c r="C9" s="454" t="e">
        <f>'④-1月別配置内訳書(2)-(2)-(A)'!AB11</f>
        <v>#DIV/0!</v>
      </c>
      <c r="D9" s="454" t="e">
        <f>'④-1月別配置内訳書(2)-(2)-(A)'!AD11</f>
        <v>#N/A</v>
      </c>
      <c r="E9" s="454" t="e">
        <f>'④-1月別配置内訳書(2)-(2)-(A)'!AE11</f>
        <v>#DIV/0!</v>
      </c>
      <c r="F9" s="466" t="e">
        <f>'④-1月別配置内訳書(2)-(2)-(A)'!AK11</f>
        <v>#N/A</v>
      </c>
      <c r="G9" s="467" t="e">
        <f>'④-2月別配置内訳書(2)-(2)-(B)'!AF11-'④-2月別配置内訳書(2)-(2)-(B)'!AG11</f>
        <v>#DIV/0!</v>
      </c>
      <c r="H9" s="468" t="e">
        <f>'④-3月別配置内訳書(2)-(2)-(C)・(D)'!V11-'④-3月別配置内訳書(2)-(2)-(C)・(D)'!W11</f>
        <v>#DIV/0!</v>
      </c>
      <c r="I9" s="458" t="e">
        <f>'④-3月別配置内訳書(2)-(2)-(C)・(D)'!Z11</f>
        <v>#N/A</v>
      </c>
      <c r="J9" s="459" t="e">
        <f>'④-3月別配置内訳書(2)-(2)-(C)・(D)'!AT11</f>
        <v>#DIV/0!</v>
      </c>
      <c r="K9" s="469" t="e">
        <f t="shared" si="1"/>
        <v>#DIV/0!</v>
      </c>
      <c r="L9" s="468" t="e">
        <f>'④-４月別配置内訳書(2)-(2)-(E)'!V11</f>
        <v>#DIV/0!</v>
      </c>
      <c r="M9" s="460" t="e">
        <f t="shared" ref="M9:M18" si="12">SUM(K9:L9,C9:E9,G9:H9)</f>
        <v>#DIV/0!</v>
      </c>
      <c r="N9" s="461" t="e">
        <f t="shared" si="0"/>
        <v>#N/A</v>
      </c>
      <c r="O9" s="470" t="e">
        <f t="shared" si="2"/>
        <v>#DIV/0!</v>
      </c>
      <c r="P9" s="463"/>
      <c r="Q9" s="463"/>
      <c r="R9" s="463"/>
      <c r="S9" s="464"/>
      <c r="T9" s="464"/>
      <c r="U9" s="464"/>
      <c r="V9" s="464"/>
      <c r="W9" s="464"/>
      <c r="X9" s="465" t="e">
        <f>①基本情報!H29</f>
        <v>#N/A</v>
      </c>
      <c r="Y9" s="464"/>
      <c r="Z9" s="465">
        <f>SUM('③児童数及び職員定数 (2)-(1)'!C12:D12)</f>
        <v>0</v>
      </c>
      <c r="AA9" s="461">
        <f t="shared" si="3"/>
        <v>0</v>
      </c>
      <c r="AB9" s="470" t="e">
        <f t="shared" si="4"/>
        <v>#DIV/0!</v>
      </c>
      <c r="AE9" s="447" t="e">
        <f t="shared" si="5"/>
        <v>#N/A</v>
      </c>
      <c r="AF9" s="447" t="str">
        <f t="shared" si="6"/>
        <v>✕</v>
      </c>
      <c r="AH9" s="518" t="e">
        <f t="shared" si="7"/>
        <v>#N/A</v>
      </c>
      <c r="AI9" s="518" t="str">
        <f t="shared" ref="AI9:AI18" si="13">IF(P9="","","〇")</f>
        <v/>
      </c>
      <c r="AJ9" s="518" t="str">
        <f t="shared" si="8"/>
        <v>〇</v>
      </c>
      <c r="AK9" s="518" t="e">
        <f t="shared" ref="AK9:AK17" si="14">IF(AND(AH9="〇",AI9="〇",AJ9="〇"),"〇","")</f>
        <v>#N/A</v>
      </c>
      <c r="AM9" s="447" t="str">
        <f t="shared" si="9"/>
        <v>〇</v>
      </c>
      <c r="AN9" s="447" t="e">
        <f t="shared" si="10"/>
        <v>#DIV/0!</v>
      </c>
      <c r="AO9" s="447" t="e">
        <f t="shared" si="11"/>
        <v>#DIV/0!</v>
      </c>
    </row>
    <row r="10" spans="2:41" ht="16.5" customHeight="1">
      <c r="B10" s="454" t="s">
        <v>1230</v>
      </c>
      <c r="C10" s="454" t="e">
        <f>'④-1月別配置内訳書(2)-(2)-(A)'!AB12</f>
        <v>#DIV/0!</v>
      </c>
      <c r="D10" s="454" t="e">
        <f>'④-1月別配置内訳書(2)-(2)-(A)'!AD12</f>
        <v>#N/A</v>
      </c>
      <c r="E10" s="454" t="e">
        <f>'④-1月別配置内訳書(2)-(2)-(A)'!AE12</f>
        <v>#DIV/0!</v>
      </c>
      <c r="F10" s="466" t="e">
        <f>'④-1月別配置内訳書(2)-(2)-(A)'!AK12</f>
        <v>#N/A</v>
      </c>
      <c r="G10" s="467" t="e">
        <f>'④-2月別配置内訳書(2)-(2)-(B)'!AF12-'④-2月別配置内訳書(2)-(2)-(B)'!AG12</f>
        <v>#DIV/0!</v>
      </c>
      <c r="H10" s="468" t="e">
        <f>'④-3月別配置内訳書(2)-(2)-(C)・(D)'!V12-'④-3月別配置内訳書(2)-(2)-(C)・(D)'!W12</f>
        <v>#DIV/0!</v>
      </c>
      <c r="I10" s="458" t="e">
        <f>'④-3月別配置内訳書(2)-(2)-(C)・(D)'!Z12</f>
        <v>#N/A</v>
      </c>
      <c r="J10" s="459" t="e">
        <f>'④-3月別配置内訳書(2)-(2)-(C)・(D)'!AT12</f>
        <v>#DIV/0!</v>
      </c>
      <c r="K10" s="469" t="e">
        <f t="shared" si="1"/>
        <v>#DIV/0!</v>
      </c>
      <c r="L10" s="468" t="e">
        <f>'④-４月別配置内訳書(2)-(2)-(E)'!V12</f>
        <v>#DIV/0!</v>
      </c>
      <c r="M10" s="460" t="e">
        <f t="shared" si="12"/>
        <v>#DIV/0!</v>
      </c>
      <c r="N10" s="461" t="e">
        <f t="shared" si="0"/>
        <v>#N/A</v>
      </c>
      <c r="O10" s="470" t="e">
        <f t="shared" si="2"/>
        <v>#DIV/0!</v>
      </c>
      <c r="P10" s="463"/>
      <c r="Q10" s="463"/>
      <c r="R10" s="463"/>
      <c r="S10" s="464"/>
      <c r="T10" s="464"/>
      <c r="U10" s="464"/>
      <c r="V10" s="464"/>
      <c r="W10" s="464"/>
      <c r="X10" s="465" t="e">
        <f>①基本情報!I29</f>
        <v>#N/A</v>
      </c>
      <c r="Y10" s="464"/>
      <c r="Z10" s="465">
        <f>SUM('③児童数及び職員定数 (2)-(1)'!C13:D13)</f>
        <v>0</v>
      </c>
      <c r="AA10" s="461">
        <f t="shared" si="3"/>
        <v>0</v>
      </c>
      <c r="AB10" s="470" t="e">
        <f t="shared" si="4"/>
        <v>#DIV/0!</v>
      </c>
      <c r="AE10" s="447" t="e">
        <f t="shared" si="5"/>
        <v>#N/A</v>
      </c>
      <c r="AF10" s="447" t="str">
        <f t="shared" si="6"/>
        <v>✕</v>
      </c>
      <c r="AH10" s="518" t="e">
        <f t="shared" si="7"/>
        <v>#N/A</v>
      </c>
      <c r="AI10" s="518" t="str">
        <f t="shared" si="13"/>
        <v/>
      </c>
      <c r="AJ10" s="518" t="str">
        <f t="shared" si="8"/>
        <v>〇</v>
      </c>
      <c r="AK10" s="518" t="e">
        <f t="shared" si="14"/>
        <v>#N/A</v>
      </c>
      <c r="AM10" s="447" t="str">
        <f t="shared" si="9"/>
        <v>〇</v>
      </c>
      <c r="AN10" s="447" t="e">
        <f t="shared" si="10"/>
        <v>#DIV/0!</v>
      </c>
      <c r="AO10" s="447" t="e">
        <f t="shared" si="11"/>
        <v>#DIV/0!</v>
      </c>
    </row>
    <row r="11" spans="2:41" ht="16.5" customHeight="1">
      <c r="B11" s="454" t="s">
        <v>1231</v>
      </c>
      <c r="C11" s="454" t="e">
        <f>'④-1月別配置内訳書(2)-(2)-(A)'!AB13</f>
        <v>#DIV/0!</v>
      </c>
      <c r="D11" s="454" t="e">
        <f>'④-1月別配置内訳書(2)-(2)-(A)'!AD13</f>
        <v>#N/A</v>
      </c>
      <c r="E11" s="454" t="e">
        <f>'④-1月別配置内訳書(2)-(2)-(A)'!AE13</f>
        <v>#DIV/0!</v>
      </c>
      <c r="F11" s="466" t="e">
        <f>'④-1月別配置内訳書(2)-(2)-(A)'!AK13</f>
        <v>#N/A</v>
      </c>
      <c r="G11" s="467" t="e">
        <f>'④-2月別配置内訳書(2)-(2)-(B)'!AF13-'④-2月別配置内訳書(2)-(2)-(B)'!AG13</f>
        <v>#DIV/0!</v>
      </c>
      <c r="H11" s="468" t="e">
        <f>'④-3月別配置内訳書(2)-(2)-(C)・(D)'!V13-'④-3月別配置内訳書(2)-(2)-(C)・(D)'!W13</f>
        <v>#DIV/0!</v>
      </c>
      <c r="I11" s="458" t="e">
        <f>'④-3月別配置内訳書(2)-(2)-(C)・(D)'!Z13</f>
        <v>#N/A</v>
      </c>
      <c r="J11" s="459" t="e">
        <f>'④-3月別配置内訳書(2)-(2)-(C)・(D)'!AT13</f>
        <v>#DIV/0!</v>
      </c>
      <c r="K11" s="469" t="e">
        <f t="shared" si="1"/>
        <v>#DIV/0!</v>
      </c>
      <c r="L11" s="468" t="e">
        <f>'④-４月別配置内訳書(2)-(2)-(E)'!V13</f>
        <v>#DIV/0!</v>
      </c>
      <c r="M11" s="460" t="e">
        <f t="shared" si="12"/>
        <v>#DIV/0!</v>
      </c>
      <c r="N11" s="461" t="e">
        <f t="shared" si="0"/>
        <v>#N/A</v>
      </c>
      <c r="O11" s="470" t="e">
        <f t="shared" si="2"/>
        <v>#DIV/0!</v>
      </c>
      <c r="P11" s="463"/>
      <c r="Q11" s="463"/>
      <c r="R11" s="463"/>
      <c r="S11" s="464"/>
      <c r="T11" s="464"/>
      <c r="U11" s="464"/>
      <c r="V11" s="464"/>
      <c r="W11" s="464"/>
      <c r="X11" s="465" t="e">
        <f>①基本情報!J29</f>
        <v>#N/A</v>
      </c>
      <c r="Y11" s="464"/>
      <c r="Z11" s="465">
        <f>SUM('③児童数及び職員定数 (2)-(1)'!C14:D14)</f>
        <v>0</v>
      </c>
      <c r="AA11" s="461">
        <f t="shared" si="3"/>
        <v>0</v>
      </c>
      <c r="AB11" s="470" t="e">
        <f t="shared" si="4"/>
        <v>#DIV/0!</v>
      </c>
      <c r="AE11" s="447" t="e">
        <f t="shared" si="5"/>
        <v>#N/A</v>
      </c>
      <c r="AF11" s="447" t="str">
        <f t="shared" si="6"/>
        <v>✕</v>
      </c>
      <c r="AH11" s="518" t="e">
        <f t="shared" si="7"/>
        <v>#N/A</v>
      </c>
      <c r="AI11" s="518" t="str">
        <f t="shared" si="13"/>
        <v/>
      </c>
      <c r="AJ11" s="518" t="str">
        <f t="shared" si="8"/>
        <v>〇</v>
      </c>
      <c r="AK11" s="518" t="e">
        <f t="shared" si="14"/>
        <v>#N/A</v>
      </c>
      <c r="AM11" s="447" t="str">
        <f t="shared" si="9"/>
        <v>〇</v>
      </c>
      <c r="AN11" s="447" t="e">
        <f t="shared" si="10"/>
        <v>#DIV/0!</v>
      </c>
      <c r="AO11" s="447" t="e">
        <f t="shared" si="11"/>
        <v>#DIV/0!</v>
      </c>
    </row>
    <row r="12" spans="2:41" ht="16.5" customHeight="1">
      <c r="B12" s="454" t="s">
        <v>1232</v>
      </c>
      <c r="C12" s="454" t="e">
        <f>'④-1月別配置内訳書(2)-(2)-(A)'!AB14</f>
        <v>#DIV/0!</v>
      </c>
      <c r="D12" s="454" t="e">
        <f>'④-1月別配置内訳書(2)-(2)-(A)'!AD14</f>
        <v>#N/A</v>
      </c>
      <c r="E12" s="454" t="e">
        <f>'④-1月別配置内訳書(2)-(2)-(A)'!AE14</f>
        <v>#DIV/0!</v>
      </c>
      <c r="F12" s="466" t="e">
        <f>'④-1月別配置内訳書(2)-(2)-(A)'!AK14</f>
        <v>#N/A</v>
      </c>
      <c r="G12" s="467" t="e">
        <f>'④-2月別配置内訳書(2)-(2)-(B)'!AF14-'④-2月別配置内訳書(2)-(2)-(B)'!AG14</f>
        <v>#DIV/0!</v>
      </c>
      <c r="H12" s="468" t="e">
        <f>'④-3月別配置内訳書(2)-(2)-(C)・(D)'!V14-'④-3月別配置内訳書(2)-(2)-(C)・(D)'!W14</f>
        <v>#DIV/0!</v>
      </c>
      <c r="I12" s="458" t="e">
        <f>'④-3月別配置内訳書(2)-(2)-(C)・(D)'!Z14</f>
        <v>#N/A</v>
      </c>
      <c r="J12" s="459" t="e">
        <f>'④-3月別配置内訳書(2)-(2)-(C)・(D)'!AT14</f>
        <v>#DIV/0!</v>
      </c>
      <c r="K12" s="469" t="e">
        <f t="shared" si="1"/>
        <v>#DIV/0!</v>
      </c>
      <c r="L12" s="468" t="e">
        <f>'④-４月別配置内訳書(2)-(2)-(E)'!V14</f>
        <v>#DIV/0!</v>
      </c>
      <c r="M12" s="460" t="e">
        <f t="shared" si="12"/>
        <v>#DIV/0!</v>
      </c>
      <c r="N12" s="461" t="e">
        <f t="shared" si="0"/>
        <v>#N/A</v>
      </c>
      <c r="O12" s="470" t="e">
        <f t="shared" si="2"/>
        <v>#DIV/0!</v>
      </c>
      <c r="P12" s="463"/>
      <c r="Q12" s="463"/>
      <c r="R12" s="463"/>
      <c r="S12" s="464"/>
      <c r="T12" s="464"/>
      <c r="U12" s="464"/>
      <c r="V12" s="464"/>
      <c r="W12" s="464"/>
      <c r="X12" s="465" t="e">
        <f>①基本情報!K29</f>
        <v>#N/A</v>
      </c>
      <c r="Y12" s="464"/>
      <c r="Z12" s="465">
        <f>SUM('③児童数及び職員定数 (2)-(1)'!C15:D15)</f>
        <v>0</v>
      </c>
      <c r="AA12" s="461">
        <f t="shared" si="3"/>
        <v>0</v>
      </c>
      <c r="AB12" s="470" t="e">
        <f t="shared" si="4"/>
        <v>#DIV/0!</v>
      </c>
      <c r="AE12" s="447" t="e">
        <f t="shared" si="5"/>
        <v>#N/A</v>
      </c>
      <c r="AF12" s="447" t="str">
        <f t="shared" si="6"/>
        <v>✕</v>
      </c>
      <c r="AH12" s="518" t="e">
        <f t="shared" si="7"/>
        <v>#N/A</v>
      </c>
      <c r="AI12" s="518" t="str">
        <f t="shared" si="13"/>
        <v/>
      </c>
      <c r="AJ12" s="518" t="str">
        <f t="shared" si="8"/>
        <v>〇</v>
      </c>
      <c r="AK12" s="518" t="e">
        <f t="shared" si="14"/>
        <v>#N/A</v>
      </c>
      <c r="AM12" s="447" t="str">
        <f t="shared" si="9"/>
        <v>〇</v>
      </c>
      <c r="AN12" s="447" t="e">
        <f t="shared" si="10"/>
        <v>#DIV/0!</v>
      </c>
      <c r="AO12" s="447" t="e">
        <f t="shared" si="11"/>
        <v>#DIV/0!</v>
      </c>
    </row>
    <row r="13" spans="2:41" ht="16.5" customHeight="1">
      <c r="B13" s="454" t="s">
        <v>1233</v>
      </c>
      <c r="C13" s="454" t="e">
        <f>'④-1月別配置内訳書(2)-(2)-(A)'!AB15</f>
        <v>#DIV/0!</v>
      </c>
      <c r="D13" s="454" t="e">
        <f>'④-1月別配置内訳書(2)-(2)-(A)'!AD15</f>
        <v>#N/A</v>
      </c>
      <c r="E13" s="454" t="e">
        <f>'④-1月別配置内訳書(2)-(2)-(A)'!AE15</f>
        <v>#DIV/0!</v>
      </c>
      <c r="F13" s="466" t="e">
        <f>'④-1月別配置内訳書(2)-(2)-(A)'!AK15</f>
        <v>#N/A</v>
      </c>
      <c r="G13" s="467" t="e">
        <f>'④-2月別配置内訳書(2)-(2)-(B)'!AF15-'④-2月別配置内訳書(2)-(2)-(B)'!AG15</f>
        <v>#DIV/0!</v>
      </c>
      <c r="H13" s="468" t="e">
        <f>'④-3月別配置内訳書(2)-(2)-(C)・(D)'!V15-'④-3月別配置内訳書(2)-(2)-(C)・(D)'!W15</f>
        <v>#DIV/0!</v>
      </c>
      <c r="I13" s="458" t="e">
        <f>'④-3月別配置内訳書(2)-(2)-(C)・(D)'!Z15</f>
        <v>#N/A</v>
      </c>
      <c r="J13" s="459" t="e">
        <f>'④-3月別配置内訳書(2)-(2)-(C)・(D)'!AT15</f>
        <v>#DIV/0!</v>
      </c>
      <c r="K13" s="469" t="e">
        <f t="shared" si="1"/>
        <v>#DIV/0!</v>
      </c>
      <c r="L13" s="468" t="e">
        <f>'④-４月別配置内訳書(2)-(2)-(E)'!V15</f>
        <v>#DIV/0!</v>
      </c>
      <c r="M13" s="460" t="e">
        <f t="shared" si="12"/>
        <v>#DIV/0!</v>
      </c>
      <c r="N13" s="461" t="e">
        <f t="shared" si="0"/>
        <v>#N/A</v>
      </c>
      <c r="O13" s="470" t="e">
        <f t="shared" si="2"/>
        <v>#DIV/0!</v>
      </c>
      <c r="P13" s="463"/>
      <c r="Q13" s="463"/>
      <c r="R13" s="463"/>
      <c r="S13" s="464"/>
      <c r="T13" s="464"/>
      <c r="U13" s="464"/>
      <c r="V13" s="464"/>
      <c r="W13" s="464"/>
      <c r="X13" s="465" t="e">
        <f>①基本情報!L29</f>
        <v>#N/A</v>
      </c>
      <c r="Y13" s="464"/>
      <c r="Z13" s="465">
        <f>SUM('③児童数及び職員定数 (2)-(1)'!C16:D16)</f>
        <v>0</v>
      </c>
      <c r="AA13" s="461">
        <f t="shared" si="3"/>
        <v>0</v>
      </c>
      <c r="AB13" s="470" t="e">
        <f t="shared" si="4"/>
        <v>#DIV/0!</v>
      </c>
      <c r="AE13" s="447" t="e">
        <f t="shared" si="5"/>
        <v>#N/A</v>
      </c>
      <c r="AF13" s="447" t="str">
        <f t="shared" si="6"/>
        <v>✕</v>
      </c>
      <c r="AH13" s="518" t="e">
        <f t="shared" si="7"/>
        <v>#N/A</v>
      </c>
      <c r="AI13" s="518" t="str">
        <f t="shared" si="13"/>
        <v/>
      </c>
      <c r="AJ13" s="518" t="str">
        <f t="shared" si="8"/>
        <v>〇</v>
      </c>
      <c r="AK13" s="518" t="e">
        <f t="shared" si="14"/>
        <v>#N/A</v>
      </c>
      <c r="AM13" s="447" t="str">
        <f t="shared" si="9"/>
        <v>〇</v>
      </c>
      <c r="AN13" s="447" t="e">
        <f t="shared" si="10"/>
        <v>#DIV/0!</v>
      </c>
      <c r="AO13" s="447" t="e">
        <f t="shared" si="11"/>
        <v>#DIV/0!</v>
      </c>
    </row>
    <row r="14" spans="2:41" ht="16.5" customHeight="1">
      <c r="B14" s="454" t="s">
        <v>1234</v>
      </c>
      <c r="C14" s="454" t="e">
        <f>'④-1月別配置内訳書(2)-(2)-(A)'!AB16</f>
        <v>#DIV/0!</v>
      </c>
      <c r="D14" s="454" t="e">
        <f>'④-1月別配置内訳書(2)-(2)-(A)'!AD16</f>
        <v>#N/A</v>
      </c>
      <c r="E14" s="454" t="e">
        <f>'④-1月別配置内訳書(2)-(2)-(A)'!AE16</f>
        <v>#DIV/0!</v>
      </c>
      <c r="F14" s="466" t="e">
        <f>'④-1月別配置内訳書(2)-(2)-(A)'!AK16</f>
        <v>#N/A</v>
      </c>
      <c r="G14" s="467" t="e">
        <f>'④-2月別配置内訳書(2)-(2)-(B)'!AF16-'④-2月別配置内訳書(2)-(2)-(B)'!AG16</f>
        <v>#DIV/0!</v>
      </c>
      <c r="H14" s="468" t="e">
        <f>'④-3月別配置内訳書(2)-(2)-(C)・(D)'!V16-'④-3月別配置内訳書(2)-(2)-(C)・(D)'!W16</f>
        <v>#DIV/0!</v>
      </c>
      <c r="I14" s="458" t="e">
        <f>'④-3月別配置内訳書(2)-(2)-(C)・(D)'!Z16</f>
        <v>#N/A</v>
      </c>
      <c r="J14" s="459" t="e">
        <f>'④-3月別配置内訳書(2)-(2)-(C)・(D)'!AT16</f>
        <v>#DIV/0!</v>
      </c>
      <c r="K14" s="469" t="e">
        <f t="shared" si="1"/>
        <v>#DIV/0!</v>
      </c>
      <c r="L14" s="468" t="e">
        <f>'④-４月別配置内訳書(2)-(2)-(E)'!V16</f>
        <v>#DIV/0!</v>
      </c>
      <c r="M14" s="460" t="e">
        <f t="shared" si="12"/>
        <v>#DIV/0!</v>
      </c>
      <c r="N14" s="461" t="e">
        <f t="shared" si="0"/>
        <v>#N/A</v>
      </c>
      <c r="O14" s="470" t="e">
        <f t="shared" si="2"/>
        <v>#DIV/0!</v>
      </c>
      <c r="P14" s="463"/>
      <c r="Q14" s="463"/>
      <c r="R14" s="463"/>
      <c r="S14" s="464"/>
      <c r="T14" s="464"/>
      <c r="U14" s="464"/>
      <c r="V14" s="464"/>
      <c r="W14" s="464"/>
      <c r="X14" s="465" t="e">
        <f>①基本情報!M29</f>
        <v>#N/A</v>
      </c>
      <c r="Y14" s="464"/>
      <c r="Z14" s="465">
        <f>SUM('③児童数及び職員定数 (2)-(1)'!C17:D17)</f>
        <v>0</v>
      </c>
      <c r="AA14" s="461">
        <f t="shared" si="3"/>
        <v>0</v>
      </c>
      <c r="AB14" s="470" t="e">
        <f t="shared" si="4"/>
        <v>#DIV/0!</v>
      </c>
      <c r="AE14" s="447" t="e">
        <f t="shared" si="5"/>
        <v>#N/A</v>
      </c>
      <c r="AF14" s="447" t="str">
        <f t="shared" si="6"/>
        <v>✕</v>
      </c>
      <c r="AH14" s="518" t="e">
        <f t="shared" si="7"/>
        <v>#N/A</v>
      </c>
      <c r="AI14" s="518" t="str">
        <f t="shared" si="13"/>
        <v/>
      </c>
      <c r="AJ14" s="518" t="str">
        <f t="shared" si="8"/>
        <v>〇</v>
      </c>
      <c r="AK14" s="518" t="e">
        <f t="shared" si="14"/>
        <v>#N/A</v>
      </c>
      <c r="AM14" s="447" t="str">
        <f t="shared" si="9"/>
        <v>〇</v>
      </c>
      <c r="AN14" s="447" t="e">
        <f t="shared" si="10"/>
        <v>#DIV/0!</v>
      </c>
      <c r="AO14" s="447" t="e">
        <f t="shared" si="11"/>
        <v>#DIV/0!</v>
      </c>
    </row>
    <row r="15" spans="2:41" ht="16.5" customHeight="1">
      <c r="B15" s="454" t="s">
        <v>1235</v>
      </c>
      <c r="C15" s="454" t="e">
        <f>'④-1月別配置内訳書(2)-(2)-(A)'!AB17</f>
        <v>#DIV/0!</v>
      </c>
      <c r="D15" s="454" t="e">
        <f>'④-1月別配置内訳書(2)-(2)-(A)'!AD17</f>
        <v>#N/A</v>
      </c>
      <c r="E15" s="454" t="e">
        <f>'④-1月別配置内訳書(2)-(2)-(A)'!AE17</f>
        <v>#DIV/0!</v>
      </c>
      <c r="F15" s="466" t="e">
        <f>'④-1月別配置内訳書(2)-(2)-(A)'!AK17</f>
        <v>#N/A</v>
      </c>
      <c r="G15" s="467" t="e">
        <f>'④-2月別配置内訳書(2)-(2)-(B)'!AF17-'④-2月別配置内訳書(2)-(2)-(B)'!AG17</f>
        <v>#DIV/0!</v>
      </c>
      <c r="H15" s="468" t="e">
        <f>'④-3月別配置内訳書(2)-(2)-(C)・(D)'!V17-'④-3月別配置内訳書(2)-(2)-(C)・(D)'!W17</f>
        <v>#DIV/0!</v>
      </c>
      <c r="I15" s="458" t="e">
        <f>'④-3月別配置内訳書(2)-(2)-(C)・(D)'!Z17</f>
        <v>#N/A</v>
      </c>
      <c r="J15" s="459" t="e">
        <f>'④-3月別配置内訳書(2)-(2)-(C)・(D)'!AT17</f>
        <v>#DIV/0!</v>
      </c>
      <c r="K15" s="469" t="e">
        <f t="shared" si="1"/>
        <v>#DIV/0!</v>
      </c>
      <c r="L15" s="468" t="e">
        <f>'④-４月別配置内訳書(2)-(2)-(E)'!V17</f>
        <v>#DIV/0!</v>
      </c>
      <c r="M15" s="460" t="e">
        <f t="shared" si="12"/>
        <v>#DIV/0!</v>
      </c>
      <c r="N15" s="461" t="e">
        <f t="shared" si="0"/>
        <v>#N/A</v>
      </c>
      <c r="O15" s="470" t="e">
        <f t="shared" si="2"/>
        <v>#DIV/0!</v>
      </c>
      <c r="P15" s="463"/>
      <c r="Q15" s="463"/>
      <c r="R15" s="463"/>
      <c r="S15" s="464"/>
      <c r="T15" s="464"/>
      <c r="U15" s="464"/>
      <c r="V15" s="464"/>
      <c r="W15" s="464"/>
      <c r="X15" s="465" t="e">
        <f>①基本情報!N29</f>
        <v>#N/A</v>
      </c>
      <c r="Y15" s="464"/>
      <c r="Z15" s="465">
        <f>SUM('③児童数及び職員定数 (2)-(1)'!C18:D18)</f>
        <v>0</v>
      </c>
      <c r="AA15" s="461">
        <f t="shared" si="3"/>
        <v>0</v>
      </c>
      <c r="AB15" s="470" t="e">
        <f t="shared" si="4"/>
        <v>#DIV/0!</v>
      </c>
      <c r="AE15" s="447" t="e">
        <f t="shared" si="5"/>
        <v>#N/A</v>
      </c>
      <c r="AF15" s="447" t="str">
        <f t="shared" si="6"/>
        <v>✕</v>
      </c>
      <c r="AH15" s="518" t="e">
        <f t="shared" si="7"/>
        <v>#N/A</v>
      </c>
      <c r="AI15" s="518" t="str">
        <f t="shared" si="13"/>
        <v/>
      </c>
      <c r="AJ15" s="518" t="str">
        <f t="shared" si="8"/>
        <v>〇</v>
      </c>
      <c r="AK15" s="518" t="e">
        <f t="shared" si="14"/>
        <v>#N/A</v>
      </c>
      <c r="AM15" s="447" t="str">
        <f t="shared" si="9"/>
        <v>〇</v>
      </c>
      <c r="AN15" s="447" t="e">
        <f t="shared" si="10"/>
        <v>#DIV/0!</v>
      </c>
      <c r="AO15" s="447" t="e">
        <f t="shared" si="11"/>
        <v>#DIV/0!</v>
      </c>
    </row>
    <row r="16" spans="2:41" ht="16.5" customHeight="1">
      <c r="B16" s="454" t="s">
        <v>1236</v>
      </c>
      <c r="C16" s="454" t="e">
        <f>'④-1月別配置内訳書(2)-(2)-(A)'!AB18</f>
        <v>#DIV/0!</v>
      </c>
      <c r="D16" s="454" t="e">
        <f>'④-1月別配置内訳書(2)-(2)-(A)'!AD18</f>
        <v>#N/A</v>
      </c>
      <c r="E16" s="454" t="e">
        <f>'④-1月別配置内訳書(2)-(2)-(A)'!AE18</f>
        <v>#DIV/0!</v>
      </c>
      <c r="F16" s="466" t="e">
        <f>'④-1月別配置内訳書(2)-(2)-(A)'!AK18</f>
        <v>#N/A</v>
      </c>
      <c r="G16" s="467" t="e">
        <f>'④-2月別配置内訳書(2)-(2)-(B)'!AF18-'④-2月別配置内訳書(2)-(2)-(B)'!AG18</f>
        <v>#DIV/0!</v>
      </c>
      <c r="H16" s="468" t="e">
        <f>'④-3月別配置内訳書(2)-(2)-(C)・(D)'!V18-'④-3月別配置内訳書(2)-(2)-(C)・(D)'!W18</f>
        <v>#DIV/0!</v>
      </c>
      <c r="I16" s="458" t="e">
        <f>'④-3月別配置内訳書(2)-(2)-(C)・(D)'!Z18</f>
        <v>#N/A</v>
      </c>
      <c r="J16" s="459" t="e">
        <f>'④-3月別配置内訳書(2)-(2)-(C)・(D)'!AT18</f>
        <v>#DIV/0!</v>
      </c>
      <c r="K16" s="469" t="e">
        <f t="shared" si="1"/>
        <v>#DIV/0!</v>
      </c>
      <c r="L16" s="468" t="e">
        <f>'④-４月別配置内訳書(2)-(2)-(E)'!V18</f>
        <v>#DIV/0!</v>
      </c>
      <c r="M16" s="460" t="e">
        <f t="shared" si="12"/>
        <v>#DIV/0!</v>
      </c>
      <c r="N16" s="461" t="e">
        <f t="shared" si="0"/>
        <v>#N/A</v>
      </c>
      <c r="O16" s="470" t="e">
        <f t="shared" si="2"/>
        <v>#DIV/0!</v>
      </c>
      <c r="P16" s="463"/>
      <c r="Q16" s="463"/>
      <c r="R16" s="463"/>
      <c r="S16" s="464"/>
      <c r="T16" s="464"/>
      <c r="U16" s="464"/>
      <c r="V16" s="464"/>
      <c r="W16" s="464"/>
      <c r="X16" s="465" t="e">
        <f>①基本情報!O29</f>
        <v>#N/A</v>
      </c>
      <c r="Y16" s="464"/>
      <c r="Z16" s="465">
        <f>SUM('③児童数及び職員定数 (2)-(1)'!C19:D19)</f>
        <v>0</v>
      </c>
      <c r="AA16" s="461">
        <f t="shared" si="3"/>
        <v>0</v>
      </c>
      <c r="AB16" s="470" t="e">
        <f t="shared" si="4"/>
        <v>#DIV/0!</v>
      </c>
      <c r="AE16" s="447" t="e">
        <f t="shared" si="5"/>
        <v>#N/A</v>
      </c>
      <c r="AF16" s="447" t="str">
        <f t="shared" si="6"/>
        <v>✕</v>
      </c>
      <c r="AH16" s="518" t="e">
        <f t="shared" si="7"/>
        <v>#N/A</v>
      </c>
      <c r="AI16" s="518" t="str">
        <f t="shared" si="13"/>
        <v/>
      </c>
      <c r="AJ16" s="518" t="str">
        <f t="shared" si="8"/>
        <v>〇</v>
      </c>
      <c r="AK16" s="518" t="e">
        <f t="shared" si="14"/>
        <v>#N/A</v>
      </c>
      <c r="AM16" s="447" t="str">
        <f t="shared" si="9"/>
        <v>〇</v>
      </c>
      <c r="AN16" s="447" t="e">
        <f t="shared" si="10"/>
        <v>#DIV/0!</v>
      </c>
      <c r="AO16" s="447" t="e">
        <f t="shared" si="11"/>
        <v>#DIV/0!</v>
      </c>
    </row>
    <row r="17" spans="2:41" ht="16.5" customHeight="1">
      <c r="B17" s="454" t="s">
        <v>1237</v>
      </c>
      <c r="C17" s="454" t="e">
        <f>'④-1月別配置内訳書(2)-(2)-(A)'!AB19</f>
        <v>#DIV/0!</v>
      </c>
      <c r="D17" s="454" t="e">
        <f>'④-1月別配置内訳書(2)-(2)-(A)'!AD19</f>
        <v>#N/A</v>
      </c>
      <c r="E17" s="454" t="e">
        <f>'④-1月別配置内訳書(2)-(2)-(A)'!AE19</f>
        <v>#DIV/0!</v>
      </c>
      <c r="F17" s="466" t="e">
        <f>'④-1月別配置内訳書(2)-(2)-(A)'!AK19</f>
        <v>#N/A</v>
      </c>
      <c r="G17" s="467" t="e">
        <f>'④-2月別配置内訳書(2)-(2)-(B)'!AF19-'④-2月別配置内訳書(2)-(2)-(B)'!AG19</f>
        <v>#DIV/0!</v>
      </c>
      <c r="H17" s="468" t="e">
        <f>'④-3月別配置内訳書(2)-(2)-(C)・(D)'!V19-'④-3月別配置内訳書(2)-(2)-(C)・(D)'!W19</f>
        <v>#DIV/0!</v>
      </c>
      <c r="I17" s="458" t="e">
        <f>'④-3月別配置内訳書(2)-(2)-(C)・(D)'!Z19</f>
        <v>#N/A</v>
      </c>
      <c r="J17" s="459" t="e">
        <f>'④-3月別配置内訳書(2)-(2)-(C)・(D)'!AT19</f>
        <v>#DIV/0!</v>
      </c>
      <c r="K17" s="469" t="e">
        <f t="shared" si="1"/>
        <v>#DIV/0!</v>
      </c>
      <c r="L17" s="468" t="e">
        <f>'④-４月別配置内訳書(2)-(2)-(E)'!V19</f>
        <v>#DIV/0!</v>
      </c>
      <c r="M17" s="460" t="e">
        <f t="shared" si="12"/>
        <v>#DIV/0!</v>
      </c>
      <c r="N17" s="461" t="e">
        <f t="shared" si="0"/>
        <v>#N/A</v>
      </c>
      <c r="O17" s="470" t="e">
        <f t="shared" si="2"/>
        <v>#DIV/0!</v>
      </c>
      <c r="P17" s="463"/>
      <c r="Q17" s="463"/>
      <c r="R17" s="463"/>
      <c r="S17" s="464"/>
      <c r="T17" s="464"/>
      <c r="U17" s="464"/>
      <c r="V17" s="464"/>
      <c r="W17" s="464"/>
      <c r="X17" s="465" t="e">
        <f>①基本情報!P29</f>
        <v>#N/A</v>
      </c>
      <c r="Y17" s="464"/>
      <c r="Z17" s="465">
        <f>SUM('③児童数及び職員定数 (2)-(1)'!C20:D20)</f>
        <v>0</v>
      </c>
      <c r="AA17" s="461">
        <f t="shared" si="3"/>
        <v>0</v>
      </c>
      <c r="AB17" s="470" t="e">
        <f t="shared" si="4"/>
        <v>#DIV/0!</v>
      </c>
      <c r="AE17" s="447" t="e">
        <f t="shared" si="5"/>
        <v>#N/A</v>
      </c>
      <c r="AF17" s="447" t="str">
        <f t="shared" si="6"/>
        <v>✕</v>
      </c>
      <c r="AH17" s="518" t="e">
        <f t="shared" si="7"/>
        <v>#N/A</v>
      </c>
      <c r="AI17" s="518" t="str">
        <f t="shared" si="13"/>
        <v/>
      </c>
      <c r="AJ17" s="518" t="str">
        <f t="shared" si="8"/>
        <v>〇</v>
      </c>
      <c r="AK17" s="518" t="e">
        <f t="shared" si="14"/>
        <v>#N/A</v>
      </c>
      <c r="AM17" s="447" t="str">
        <f t="shared" si="9"/>
        <v>〇</v>
      </c>
      <c r="AN17" s="447" t="e">
        <f t="shared" si="10"/>
        <v>#DIV/0!</v>
      </c>
      <c r="AO17" s="447" t="e">
        <f t="shared" si="11"/>
        <v>#DIV/0!</v>
      </c>
    </row>
    <row r="18" spans="2:41" ht="16.5" customHeight="1" thickBot="1">
      <c r="B18" s="454" t="s">
        <v>1238</v>
      </c>
      <c r="C18" s="454" t="e">
        <f>'④-1月別配置内訳書(2)-(2)-(A)'!AB20</f>
        <v>#DIV/0!</v>
      </c>
      <c r="D18" s="454" t="e">
        <f>'④-1月別配置内訳書(2)-(2)-(A)'!AD20</f>
        <v>#N/A</v>
      </c>
      <c r="E18" s="454" t="e">
        <f>'④-1月別配置内訳書(2)-(2)-(A)'!AE20</f>
        <v>#DIV/0!</v>
      </c>
      <c r="F18" s="471" t="e">
        <f>'④-1月別配置内訳書(2)-(2)-(A)'!AK20</f>
        <v>#N/A</v>
      </c>
      <c r="G18" s="472" t="e">
        <f>'④-2月別配置内訳書(2)-(2)-(B)'!AF20-'④-2月別配置内訳書(2)-(2)-(B)'!AG20</f>
        <v>#DIV/0!</v>
      </c>
      <c r="H18" s="473" t="e">
        <f>'④-3月別配置内訳書(2)-(2)-(C)・(D)'!V20-'④-3月別配置内訳書(2)-(2)-(C)・(D)'!W20</f>
        <v>#DIV/0!</v>
      </c>
      <c r="I18" s="458" t="e">
        <f>'④-3月別配置内訳書(2)-(2)-(C)・(D)'!Z20</f>
        <v>#N/A</v>
      </c>
      <c r="J18" s="459" t="e">
        <f>'④-3月別配置内訳書(2)-(2)-(C)・(D)'!AT20</f>
        <v>#DIV/0!</v>
      </c>
      <c r="K18" s="474" t="e">
        <f t="shared" si="1"/>
        <v>#DIV/0!</v>
      </c>
      <c r="L18" s="473" t="e">
        <f>'④-４月別配置内訳書(2)-(2)-(E)'!V20</f>
        <v>#DIV/0!</v>
      </c>
      <c r="M18" s="460" t="e">
        <f t="shared" si="12"/>
        <v>#DIV/0!</v>
      </c>
      <c r="N18" s="461" t="e">
        <f t="shared" si="0"/>
        <v>#N/A</v>
      </c>
      <c r="O18" s="475" t="e">
        <f t="shared" si="2"/>
        <v>#DIV/0!</v>
      </c>
      <c r="P18" s="463"/>
      <c r="Q18" s="463"/>
      <c r="R18" s="463"/>
      <c r="S18" s="464"/>
      <c r="T18" s="464"/>
      <c r="U18" s="464"/>
      <c r="V18" s="464"/>
      <c r="W18" s="464"/>
      <c r="X18" s="465" t="e">
        <f>①基本情報!Q29</f>
        <v>#N/A</v>
      </c>
      <c r="Y18" s="464"/>
      <c r="Z18" s="465">
        <f>SUM('③児童数及び職員定数 (2)-(1)'!C21:D21)</f>
        <v>0</v>
      </c>
      <c r="AA18" s="461">
        <f t="shared" si="3"/>
        <v>0</v>
      </c>
      <c r="AB18" s="475" t="e">
        <f t="shared" si="4"/>
        <v>#DIV/0!</v>
      </c>
      <c r="AE18" s="447" t="e">
        <f t="shared" si="5"/>
        <v>#N/A</v>
      </c>
      <c r="AF18" s="447" t="str">
        <f t="shared" si="6"/>
        <v>✕</v>
      </c>
      <c r="AH18" s="518" t="e">
        <f t="shared" si="7"/>
        <v>#N/A</v>
      </c>
      <c r="AI18" s="518" t="str">
        <f t="shared" si="13"/>
        <v/>
      </c>
      <c r="AJ18" s="518" t="str">
        <f t="shared" si="8"/>
        <v>〇</v>
      </c>
      <c r="AK18" s="518" t="e">
        <f>IF(AND(AH18="〇",AI18="〇",AJ18="〇"),"〇","")</f>
        <v>#N/A</v>
      </c>
      <c r="AM18" s="447" t="str">
        <f t="shared" si="9"/>
        <v>〇</v>
      </c>
      <c r="AN18" s="447" t="e">
        <f t="shared" si="10"/>
        <v>#DIV/0!</v>
      </c>
      <c r="AO18" s="447" t="e">
        <f t="shared" si="11"/>
        <v>#DIV/0!</v>
      </c>
    </row>
    <row r="19" spans="2:41" ht="16.5" customHeight="1" thickTop="1">
      <c r="B19" s="519"/>
      <c r="C19" s="519"/>
      <c r="D19" s="519"/>
      <c r="E19" s="519"/>
      <c r="F19" s="520"/>
      <c r="G19" s="519"/>
      <c r="H19" s="519"/>
      <c r="I19" s="519"/>
      <c r="J19" s="521"/>
      <c r="K19" s="520"/>
      <c r="L19" s="519"/>
      <c r="M19" s="520"/>
      <c r="N19" s="520"/>
      <c r="O19" s="520"/>
      <c r="P19" s="522">
        <f>ROUNDDOWN(P$5*P$29-P$30*66960,-3)</f>
        <v>0</v>
      </c>
      <c r="Q19" s="522">
        <f t="shared" ref="Q19:Y19" si="15">ROUNDDOWN(Q$5*Q$29-Q$30*66960,-3)</f>
        <v>0</v>
      </c>
      <c r="R19" s="522">
        <f t="shared" si="15"/>
        <v>0</v>
      </c>
      <c r="S19" s="522">
        <f t="shared" si="15"/>
        <v>0</v>
      </c>
      <c r="T19" s="522">
        <f t="shared" si="15"/>
        <v>0</v>
      </c>
      <c r="U19" s="522">
        <f t="shared" si="15"/>
        <v>0</v>
      </c>
      <c r="V19" s="522">
        <f t="shared" si="15"/>
        <v>0</v>
      </c>
      <c r="W19" s="522">
        <f t="shared" si="15"/>
        <v>0</v>
      </c>
      <c r="X19" s="522"/>
      <c r="Y19" s="522">
        <f t="shared" si="15"/>
        <v>0</v>
      </c>
      <c r="Z19" s="522"/>
      <c r="AA19" s="522"/>
      <c r="AB19" s="522"/>
      <c r="AH19" s="523"/>
      <c r="AI19" s="523"/>
      <c r="AJ19" s="523"/>
      <c r="AK19" s="523"/>
    </row>
    <row r="20" spans="2:41" ht="16.5" customHeight="1">
      <c r="B20" s="519"/>
      <c r="C20" s="519"/>
      <c r="D20" s="519"/>
      <c r="E20" s="519"/>
      <c r="F20" s="520"/>
      <c r="G20" s="519"/>
      <c r="H20" s="519"/>
      <c r="I20" s="519"/>
      <c r="J20" s="521"/>
      <c r="K20" s="520"/>
      <c r="L20" s="519"/>
      <c r="M20" s="520"/>
      <c r="N20" s="520"/>
      <c r="O20" s="520"/>
      <c r="P20" s="522">
        <f>様式４!C23</f>
        <v>0</v>
      </c>
      <c r="Q20" s="522">
        <f>様式４!C25</f>
        <v>0</v>
      </c>
      <c r="R20" s="522">
        <f>様式４!C27</f>
        <v>0</v>
      </c>
      <c r="S20" s="522">
        <f>様式４!C29</f>
        <v>0</v>
      </c>
      <c r="T20" s="522">
        <f>様式４!C31</f>
        <v>0</v>
      </c>
      <c r="U20" s="522">
        <f>様式４!C33</f>
        <v>0</v>
      </c>
      <c r="V20" s="522"/>
      <c r="W20" s="522"/>
      <c r="X20" s="522"/>
      <c r="Y20" s="522">
        <f>様式４!C35</f>
        <v>0</v>
      </c>
      <c r="Z20" s="522"/>
      <c r="AA20" s="522"/>
      <c r="AB20" s="522"/>
      <c r="AH20" s="523"/>
      <c r="AI20" s="523"/>
      <c r="AJ20" s="523"/>
      <c r="AK20" s="523"/>
    </row>
    <row r="21" spans="2:41" ht="15" customHeight="1">
      <c r="P21" s="447" t="str">
        <f>IF(P19=様式４!C23,"〇","✕")</f>
        <v>〇</v>
      </c>
      <c r="Q21" s="447" t="str">
        <f>IF(Q19=様式４!C25,"〇","✕")</f>
        <v>〇</v>
      </c>
      <c r="R21" s="447" t="str">
        <f>IF(R19=様式４!C27,"〇","✕")</f>
        <v>〇</v>
      </c>
      <c r="S21" s="447" t="str">
        <f>IF(S19=様式４!C29,"〇","✕")</f>
        <v>〇</v>
      </c>
      <c r="T21" s="447" t="str">
        <f>IF(T19=様式４!C31,"〇","✕")</f>
        <v>〇</v>
      </c>
      <c r="U21" s="447" t="str">
        <f>IF(SUM(U19:W19)=様式４!C33,"〇","✕")</f>
        <v>〇</v>
      </c>
      <c r="Y21" s="447" t="str">
        <f>IF(Y19=様式４!C35,"〇","✕")</f>
        <v>〇</v>
      </c>
    </row>
    <row r="22" spans="2:41">
      <c r="Q22" s="447" t="s">
        <v>1215</v>
      </c>
    </row>
    <row r="23" spans="2:41">
      <c r="Q23" s="447" t="s">
        <v>1216</v>
      </c>
    </row>
    <row r="24" spans="2:41">
      <c r="Q24" s="447" t="s">
        <v>1217</v>
      </c>
    </row>
    <row r="25" spans="2:41">
      <c r="Q25" s="447" t="s">
        <v>1241</v>
      </c>
    </row>
    <row r="26" spans="2:41">
      <c r="Q26" s="447" t="s">
        <v>1242</v>
      </c>
    </row>
    <row r="29" spans="2:41">
      <c r="O29" s="447" t="s">
        <v>1327</v>
      </c>
      <c r="P29" s="447">
        <f>COUNTA(P7:P18)</f>
        <v>0</v>
      </c>
      <c r="Q29" s="447">
        <f t="shared" ref="Q29:Z29" si="16">COUNTA(Q7:Q18)</f>
        <v>0</v>
      </c>
      <c r="R29" s="447">
        <f t="shared" si="16"/>
        <v>0</v>
      </c>
      <c r="S29" s="447">
        <f t="shared" si="16"/>
        <v>0</v>
      </c>
      <c r="T29" s="447">
        <f t="shared" si="16"/>
        <v>0</v>
      </c>
      <c r="U29" s="447">
        <f t="shared" si="16"/>
        <v>0</v>
      </c>
      <c r="V29" s="447">
        <f t="shared" si="16"/>
        <v>0</v>
      </c>
      <c r="W29" s="447">
        <f t="shared" si="16"/>
        <v>0</v>
      </c>
      <c r="X29" s="447">
        <f t="shared" si="16"/>
        <v>12</v>
      </c>
      <c r="Y29" s="447">
        <f t="shared" si="16"/>
        <v>0</v>
      </c>
      <c r="Z29" s="447">
        <f t="shared" si="16"/>
        <v>12</v>
      </c>
    </row>
    <row r="30" spans="2:41">
      <c r="O30" s="447" t="s">
        <v>832</v>
      </c>
      <c r="P30" s="447">
        <f>COUNTIF(P7:P18,"調理員等")</f>
        <v>0</v>
      </c>
      <c r="Q30" s="447">
        <f t="shared" ref="Q30:Z30" si="17">COUNTIF(Q7:Q18,"調理員等")</f>
        <v>0</v>
      </c>
      <c r="R30" s="447">
        <f t="shared" si="17"/>
        <v>0</v>
      </c>
      <c r="S30" s="447">
        <f t="shared" si="17"/>
        <v>0</v>
      </c>
      <c r="T30" s="447">
        <f t="shared" si="17"/>
        <v>0</v>
      </c>
      <c r="U30" s="447">
        <f t="shared" si="17"/>
        <v>0</v>
      </c>
      <c r="V30" s="447">
        <f t="shared" si="17"/>
        <v>0</v>
      </c>
      <c r="W30" s="447">
        <f t="shared" si="17"/>
        <v>0</v>
      </c>
      <c r="X30" s="447">
        <f t="shared" si="17"/>
        <v>0</v>
      </c>
      <c r="Y30" s="447">
        <f t="shared" si="17"/>
        <v>0</v>
      </c>
      <c r="Z30" s="447">
        <f t="shared" si="17"/>
        <v>0</v>
      </c>
    </row>
  </sheetData>
  <mergeCells count="35">
    <mergeCell ref="AK4:AK6"/>
    <mergeCell ref="B5:O5"/>
    <mergeCell ref="AH5:AH6"/>
    <mergeCell ref="AI5:AI6"/>
    <mergeCell ref="AJ5:AJ6"/>
    <mergeCell ref="B6:O6"/>
    <mergeCell ref="P3:P4"/>
    <mergeCell ref="Q3:Q4"/>
    <mergeCell ref="R3:R4"/>
    <mergeCell ref="S3:S4"/>
    <mergeCell ref="T3:T4"/>
    <mergeCell ref="U3:U4"/>
    <mergeCell ref="B2:B4"/>
    <mergeCell ref="AB2:AB6"/>
    <mergeCell ref="C3:C4"/>
    <mergeCell ref="D3:D4"/>
    <mergeCell ref="O2:O4"/>
    <mergeCell ref="J3:J4"/>
    <mergeCell ref="E3:E4"/>
    <mergeCell ref="F3:F4"/>
    <mergeCell ref="G3:G4"/>
    <mergeCell ref="H3:H4"/>
    <mergeCell ref="I3:I4"/>
    <mergeCell ref="K3:K4"/>
    <mergeCell ref="M3:M4"/>
    <mergeCell ref="N3:N4"/>
    <mergeCell ref="C2:F2"/>
    <mergeCell ref="G2:H2"/>
    <mergeCell ref="I2:K2"/>
    <mergeCell ref="L2:L4"/>
    <mergeCell ref="P2:Y2"/>
    <mergeCell ref="AA2:AA6"/>
    <mergeCell ref="Y3:Y4"/>
    <mergeCell ref="V3:V4"/>
    <mergeCell ref="W3:W4"/>
  </mergeCells>
  <phoneticPr fontId="1"/>
  <conditionalFormatting sqref="P7:P18">
    <cfRule type="expression" dxfId="103" priority="3">
      <formula>AO7="✕"</formula>
    </cfRule>
  </conditionalFormatting>
  <conditionalFormatting sqref="P7:P20 Q19:W20">
    <cfRule type="expression" dxfId="102" priority="6">
      <formula>AK7="〇"</formula>
    </cfRule>
  </conditionalFormatting>
  <conditionalFormatting sqref="Q7:R18 T7:T18 V7:W18 Y7:Y18">
    <cfRule type="expression" dxfId="101" priority="2">
      <formula>AO7="✕"</formula>
    </cfRule>
  </conditionalFormatting>
  <conditionalFormatting sqref="S7:S18">
    <cfRule type="expression" dxfId="100" priority="5">
      <formula>AM7="〇"</formula>
    </cfRule>
  </conditionalFormatting>
  <conditionalFormatting sqref="U7:U18">
    <cfRule type="expression" dxfId="99" priority="1">
      <formula>AO7="✕"</formula>
    </cfRule>
    <cfRule type="expression" dxfId="98" priority="7">
      <formula>AK7="〇"</formula>
    </cfRule>
  </conditionalFormatting>
  <conditionalFormatting sqref="Y19:Y20">
    <cfRule type="expression" dxfId="97" priority="4">
      <formula>AT19="〇"</formula>
    </cfRule>
  </conditionalFormatting>
  <dataValidations count="1">
    <dataValidation type="list" allowBlank="1" showInputMessage="1" showErrorMessage="1" sqref="Y7:Y18 P7:W18" xr:uid="{80B027E0-B49C-4E45-919A-EDF0F833ADC2}">
      <formula1>$Q$22:$Q$26</formula1>
    </dataValidation>
  </dataValidations>
  <pageMargins left="0.7" right="0.7" top="0.75" bottom="0.75" header="0.3" footer="0.3"/>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2B96-2F28-4400-A152-CEB4C78D0D7D}">
  <dimension ref="A1:K35"/>
  <sheetViews>
    <sheetView view="pageBreakPreview" zoomScaleNormal="85" zoomScaleSheetLayoutView="100" workbookViewId="0">
      <selection activeCell="L4" sqref="L4"/>
    </sheetView>
  </sheetViews>
  <sheetFormatPr defaultRowHeight="16.5"/>
  <cols>
    <col min="1" max="1" width="5.08203125" style="157" customWidth="1"/>
    <col min="2" max="3" width="9" style="157"/>
    <col min="4" max="4" width="5.08203125" style="157" customWidth="1"/>
    <col min="5" max="10" width="9" style="157"/>
    <col min="11" max="11" width="8.25" style="157" customWidth="1"/>
    <col min="12" max="256" width="9" style="157"/>
    <col min="257" max="257" width="5.08203125" style="157" customWidth="1"/>
    <col min="258" max="259" width="9" style="157"/>
    <col min="260" max="260" width="5.08203125" style="157" customWidth="1"/>
    <col min="261" max="266" width="9" style="157"/>
    <col min="267" max="267" width="8.25" style="157" customWidth="1"/>
    <col min="268" max="512" width="9" style="157"/>
    <col min="513" max="513" width="5.08203125" style="157" customWidth="1"/>
    <col min="514" max="515" width="9" style="157"/>
    <col min="516" max="516" width="5.08203125" style="157" customWidth="1"/>
    <col min="517" max="522" width="9" style="157"/>
    <col min="523" max="523" width="8.25" style="157" customWidth="1"/>
    <col min="524" max="768" width="9" style="157"/>
    <col min="769" max="769" width="5.08203125" style="157" customWidth="1"/>
    <col min="770" max="771" width="9" style="157"/>
    <col min="772" max="772" width="5.08203125" style="157" customWidth="1"/>
    <col min="773" max="778" width="9" style="157"/>
    <col min="779" max="779" width="8.25" style="157" customWidth="1"/>
    <col min="780" max="1024" width="9" style="157"/>
    <col min="1025" max="1025" width="5.08203125" style="157" customWidth="1"/>
    <col min="1026" max="1027" width="9" style="157"/>
    <col min="1028" max="1028" width="5.08203125" style="157" customWidth="1"/>
    <col min="1029" max="1034" width="9" style="157"/>
    <col min="1035" max="1035" width="8.25" style="157" customWidth="1"/>
    <col min="1036" max="1280" width="9" style="157"/>
    <col min="1281" max="1281" width="5.08203125" style="157" customWidth="1"/>
    <col min="1282" max="1283" width="9" style="157"/>
    <col min="1284" max="1284" width="5.08203125" style="157" customWidth="1"/>
    <col min="1285" max="1290" width="9" style="157"/>
    <col min="1291" max="1291" width="8.25" style="157" customWidth="1"/>
    <col min="1292" max="1536" width="9" style="157"/>
    <col min="1537" max="1537" width="5.08203125" style="157" customWidth="1"/>
    <col min="1538" max="1539" width="9" style="157"/>
    <col min="1540" max="1540" width="5.08203125" style="157" customWidth="1"/>
    <col min="1541" max="1546" width="9" style="157"/>
    <col min="1547" max="1547" width="8.25" style="157" customWidth="1"/>
    <col min="1548" max="1792" width="9" style="157"/>
    <col min="1793" max="1793" width="5.08203125" style="157" customWidth="1"/>
    <col min="1794" max="1795" width="9" style="157"/>
    <col min="1796" max="1796" width="5.08203125" style="157" customWidth="1"/>
    <col min="1797" max="1802" width="9" style="157"/>
    <col min="1803" max="1803" width="8.25" style="157" customWidth="1"/>
    <col min="1804" max="2048" width="9" style="157"/>
    <col min="2049" max="2049" width="5.08203125" style="157" customWidth="1"/>
    <col min="2050" max="2051" width="9" style="157"/>
    <col min="2052" max="2052" width="5.08203125" style="157" customWidth="1"/>
    <col min="2053" max="2058" width="9" style="157"/>
    <col min="2059" max="2059" width="8.25" style="157" customWidth="1"/>
    <col min="2060" max="2304" width="9" style="157"/>
    <col min="2305" max="2305" width="5.08203125" style="157" customWidth="1"/>
    <col min="2306" max="2307" width="9" style="157"/>
    <col min="2308" max="2308" width="5.08203125" style="157" customWidth="1"/>
    <col min="2309" max="2314" width="9" style="157"/>
    <col min="2315" max="2315" width="8.25" style="157" customWidth="1"/>
    <col min="2316" max="2560" width="9" style="157"/>
    <col min="2561" max="2561" width="5.08203125" style="157" customWidth="1"/>
    <col min="2562" max="2563" width="9" style="157"/>
    <col min="2564" max="2564" width="5.08203125" style="157" customWidth="1"/>
    <col min="2565" max="2570" width="9" style="157"/>
    <col min="2571" max="2571" width="8.25" style="157" customWidth="1"/>
    <col min="2572" max="2816" width="9" style="157"/>
    <col min="2817" max="2817" width="5.08203125" style="157" customWidth="1"/>
    <col min="2818" max="2819" width="9" style="157"/>
    <col min="2820" max="2820" width="5.08203125" style="157" customWidth="1"/>
    <col min="2821" max="2826" width="9" style="157"/>
    <col min="2827" max="2827" width="8.25" style="157" customWidth="1"/>
    <col min="2828" max="3072" width="9" style="157"/>
    <col min="3073" max="3073" width="5.08203125" style="157" customWidth="1"/>
    <col min="3074" max="3075" width="9" style="157"/>
    <col min="3076" max="3076" width="5.08203125" style="157" customWidth="1"/>
    <col min="3077" max="3082" width="9" style="157"/>
    <col min="3083" max="3083" width="8.25" style="157" customWidth="1"/>
    <col min="3084" max="3328" width="9" style="157"/>
    <col min="3329" max="3329" width="5.08203125" style="157" customWidth="1"/>
    <col min="3330" max="3331" width="9" style="157"/>
    <col min="3332" max="3332" width="5.08203125" style="157" customWidth="1"/>
    <col min="3333" max="3338" width="9" style="157"/>
    <col min="3339" max="3339" width="8.25" style="157" customWidth="1"/>
    <col min="3340" max="3584" width="9" style="157"/>
    <col min="3585" max="3585" width="5.08203125" style="157" customWidth="1"/>
    <col min="3586" max="3587" width="9" style="157"/>
    <col min="3588" max="3588" width="5.08203125" style="157" customWidth="1"/>
    <col min="3589" max="3594" width="9" style="157"/>
    <col min="3595" max="3595" width="8.25" style="157" customWidth="1"/>
    <col min="3596" max="3840" width="9" style="157"/>
    <col min="3841" max="3841" width="5.08203125" style="157" customWidth="1"/>
    <col min="3842" max="3843" width="9" style="157"/>
    <col min="3844" max="3844" width="5.08203125" style="157" customWidth="1"/>
    <col min="3845" max="3850" width="9" style="157"/>
    <col min="3851" max="3851" width="8.25" style="157" customWidth="1"/>
    <col min="3852" max="4096" width="9" style="157"/>
    <col min="4097" max="4097" width="5.08203125" style="157" customWidth="1"/>
    <col min="4098" max="4099" width="9" style="157"/>
    <col min="4100" max="4100" width="5.08203125" style="157" customWidth="1"/>
    <col min="4101" max="4106" width="9" style="157"/>
    <col min="4107" max="4107" width="8.25" style="157" customWidth="1"/>
    <col min="4108" max="4352" width="9" style="157"/>
    <col min="4353" max="4353" width="5.08203125" style="157" customWidth="1"/>
    <col min="4354" max="4355" width="9" style="157"/>
    <col min="4356" max="4356" width="5.08203125" style="157" customWidth="1"/>
    <col min="4357" max="4362" width="9" style="157"/>
    <col min="4363" max="4363" width="8.25" style="157" customWidth="1"/>
    <col min="4364" max="4608" width="9" style="157"/>
    <col min="4609" max="4609" width="5.08203125" style="157" customWidth="1"/>
    <col min="4610" max="4611" width="9" style="157"/>
    <col min="4612" max="4612" width="5.08203125" style="157" customWidth="1"/>
    <col min="4613" max="4618" width="9" style="157"/>
    <col min="4619" max="4619" width="8.25" style="157" customWidth="1"/>
    <col min="4620" max="4864" width="9" style="157"/>
    <col min="4865" max="4865" width="5.08203125" style="157" customWidth="1"/>
    <col min="4866" max="4867" width="9" style="157"/>
    <col min="4868" max="4868" width="5.08203125" style="157" customWidth="1"/>
    <col min="4869" max="4874" width="9" style="157"/>
    <col min="4875" max="4875" width="8.25" style="157" customWidth="1"/>
    <col min="4876" max="5120" width="9" style="157"/>
    <col min="5121" max="5121" width="5.08203125" style="157" customWidth="1"/>
    <col min="5122" max="5123" width="9" style="157"/>
    <col min="5124" max="5124" width="5.08203125" style="157" customWidth="1"/>
    <col min="5125" max="5130" width="9" style="157"/>
    <col min="5131" max="5131" width="8.25" style="157" customWidth="1"/>
    <col min="5132" max="5376" width="9" style="157"/>
    <col min="5377" max="5377" width="5.08203125" style="157" customWidth="1"/>
    <col min="5378" max="5379" width="9" style="157"/>
    <col min="5380" max="5380" width="5.08203125" style="157" customWidth="1"/>
    <col min="5381" max="5386" width="9" style="157"/>
    <col min="5387" max="5387" width="8.25" style="157" customWidth="1"/>
    <col min="5388" max="5632" width="9" style="157"/>
    <col min="5633" max="5633" width="5.08203125" style="157" customWidth="1"/>
    <col min="5634" max="5635" width="9" style="157"/>
    <col min="5636" max="5636" width="5.08203125" style="157" customWidth="1"/>
    <col min="5637" max="5642" width="9" style="157"/>
    <col min="5643" max="5643" width="8.25" style="157" customWidth="1"/>
    <col min="5644" max="5888" width="9" style="157"/>
    <col min="5889" max="5889" width="5.08203125" style="157" customWidth="1"/>
    <col min="5890" max="5891" width="9" style="157"/>
    <col min="5892" max="5892" width="5.08203125" style="157" customWidth="1"/>
    <col min="5893" max="5898" width="9" style="157"/>
    <col min="5899" max="5899" width="8.25" style="157" customWidth="1"/>
    <col min="5900" max="6144" width="9" style="157"/>
    <col min="6145" max="6145" width="5.08203125" style="157" customWidth="1"/>
    <col min="6146" max="6147" width="9" style="157"/>
    <col min="6148" max="6148" width="5.08203125" style="157" customWidth="1"/>
    <col min="6149" max="6154" width="9" style="157"/>
    <col min="6155" max="6155" width="8.25" style="157" customWidth="1"/>
    <col min="6156" max="6400" width="9" style="157"/>
    <col min="6401" max="6401" width="5.08203125" style="157" customWidth="1"/>
    <col min="6402" max="6403" width="9" style="157"/>
    <col min="6404" max="6404" width="5.08203125" style="157" customWidth="1"/>
    <col min="6405" max="6410" width="9" style="157"/>
    <col min="6411" max="6411" width="8.25" style="157" customWidth="1"/>
    <col min="6412" max="6656" width="9" style="157"/>
    <col min="6657" max="6657" width="5.08203125" style="157" customWidth="1"/>
    <col min="6658" max="6659" width="9" style="157"/>
    <col min="6660" max="6660" width="5.08203125" style="157" customWidth="1"/>
    <col min="6661" max="6666" width="9" style="157"/>
    <col min="6667" max="6667" width="8.25" style="157" customWidth="1"/>
    <col min="6668" max="6912" width="9" style="157"/>
    <col min="6913" max="6913" width="5.08203125" style="157" customWidth="1"/>
    <col min="6914" max="6915" width="9" style="157"/>
    <col min="6916" max="6916" width="5.08203125" style="157" customWidth="1"/>
    <col min="6917" max="6922" width="9" style="157"/>
    <col min="6923" max="6923" width="8.25" style="157" customWidth="1"/>
    <col min="6924" max="7168" width="9" style="157"/>
    <col min="7169" max="7169" width="5.08203125" style="157" customWidth="1"/>
    <col min="7170" max="7171" width="9" style="157"/>
    <col min="7172" max="7172" width="5.08203125" style="157" customWidth="1"/>
    <col min="7173" max="7178" width="9" style="157"/>
    <col min="7179" max="7179" width="8.25" style="157" customWidth="1"/>
    <col min="7180" max="7424" width="9" style="157"/>
    <col min="7425" max="7425" width="5.08203125" style="157" customWidth="1"/>
    <col min="7426" max="7427" width="9" style="157"/>
    <col min="7428" max="7428" width="5.08203125" style="157" customWidth="1"/>
    <col min="7429" max="7434" width="9" style="157"/>
    <col min="7435" max="7435" width="8.25" style="157" customWidth="1"/>
    <col min="7436" max="7680" width="9" style="157"/>
    <col min="7681" max="7681" width="5.08203125" style="157" customWidth="1"/>
    <col min="7682" max="7683" width="9" style="157"/>
    <col min="7684" max="7684" width="5.08203125" style="157" customWidth="1"/>
    <col min="7685" max="7690" width="9" style="157"/>
    <col min="7691" max="7691" width="8.25" style="157" customWidth="1"/>
    <col min="7692" max="7936" width="9" style="157"/>
    <col min="7937" max="7937" width="5.08203125" style="157" customWidth="1"/>
    <col min="7938" max="7939" width="9" style="157"/>
    <col min="7940" max="7940" width="5.08203125" style="157" customWidth="1"/>
    <col min="7941" max="7946" width="9" style="157"/>
    <col min="7947" max="7947" width="8.25" style="157" customWidth="1"/>
    <col min="7948" max="8192" width="9" style="157"/>
    <col min="8193" max="8193" width="5.08203125" style="157" customWidth="1"/>
    <col min="8194" max="8195" width="9" style="157"/>
    <col min="8196" max="8196" width="5.08203125" style="157" customWidth="1"/>
    <col min="8197" max="8202" width="9" style="157"/>
    <col min="8203" max="8203" width="8.25" style="157" customWidth="1"/>
    <col min="8204" max="8448" width="9" style="157"/>
    <col min="8449" max="8449" width="5.08203125" style="157" customWidth="1"/>
    <col min="8450" max="8451" width="9" style="157"/>
    <col min="8452" max="8452" width="5.08203125" style="157" customWidth="1"/>
    <col min="8453" max="8458" width="9" style="157"/>
    <col min="8459" max="8459" width="8.25" style="157" customWidth="1"/>
    <col min="8460" max="8704" width="9" style="157"/>
    <col min="8705" max="8705" width="5.08203125" style="157" customWidth="1"/>
    <col min="8706" max="8707" width="9" style="157"/>
    <col min="8708" max="8708" width="5.08203125" style="157" customWidth="1"/>
    <col min="8709" max="8714" width="9" style="157"/>
    <col min="8715" max="8715" width="8.25" style="157" customWidth="1"/>
    <col min="8716" max="8960" width="9" style="157"/>
    <col min="8961" max="8961" width="5.08203125" style="157" customWidth="1"/>
    <col min="8962" max="8963" width="9" style="157"/>
    <col min="8964" max="8964" width="5.08203125" style="157" customWidth="1"/>
    <col min="8965" max="8970" width="9" style="157"/>
    <col min="8971" max="8971" width="8.25" style="157" customWidth="1"/>
    <col min="8972" max="9216" width="9" style="157"/>
    <col min="9217" max="9217" width="5.08203125" style="157" customWidth="1"/>
    <col min="9218" max="9219" width="9" style="157"/>
    <col min="9220" max="9220" width="5.08203125" style="157" customWidth="1"/>
    <col min="9221" max="9226" width="9" style="157"/>
    <col min="9227" max="9227" width="8.25" style="157" customWidth="1"/>
    <col min="9228" max="9472" width="9" style="157"/>
    <col min="9473" max="9473" width="5.08203125" style="157" customWidth="1"/>
    <col min="9474" max="9475" width="9" style="157"/>
    <col min="9476" max="9476" width="5.08203125" style="157" customWidth="1"/>
    <col min="9477" max="9482" width="9" style="157"/>
    <col min="9483" max="9483" width="8.25" style="157" customWidth="1"/>
    <col min="9484" max="9728" width="9" style="157"/>
    <col min="9729" max="9729" width="5.08203125" style="157" customWidth="1"/>
    <col min="9730" max="9731" width="9" style="157"/>
    <col min="9732" max="9732" width="5.08203125" style="157" customWidth="1"/>
    <col min="9733" max="9738" width="9" style="157"/>
    <col min="9739" max="9739" width="8.25" style="157" customWidth="1"/>
    <col min="9740" max="9984" width="9" style="157"/>
    <col min="9985" max="9985" width="5.08203125" style="157" customWidth="1"/>
    <col min="9986" max="9987" width="9" style="157"/>
    <col min="9988" max="9988" width="5.08203125" style="157" customWidth="1"/>
    <col min="9989" max="9994" width="9" style="157"/>
    <col min="9995" max="9995" width="8.25" style="157" customWidth="1"/>
    <col min="9996" max="10240" width="9" style="157"/>
    <col min="10241" max="10241" width="5.08203125" style="157" customWidth="1"/>
    <col min="10242" max="10243" width="9" style="157"/>
    <col min="10244" max="10244" width="5.08203125" style="157" customWidth="1"/>
    <col min="10245" max="10250" width="9" style="157"/>
    <col min="10251" max="10251" width="8.25" style="157" customWidth="1"/>
    <col min="10252" max="10496" width="9" style="157"/>
    <col min="10497" max="10497" width="5.08203125" style="157" customWidth="1"/>
    <col min="10498" max="10499" width="9" style="157"/>
    <col min="10500" max="10500" width="5.08203125" style="157" customWidth="1"/>
    <col min="10501" max="10506" width="9" style="157"/>
    <col min="10507" max="10507" width="8.25" style="157" customWidth="1"/>
    <col min="10508" max="10752" width="9" style="157"/>
    <col min="10753" max="10753" width="5.08203125" style="157" customWidth="1"/>
    <col min="10754" max="10755" width="9" style="157"/>
    <col min="10756" max="10756" width="5.08203125" style="157" customWidth="1"/>
    <col min="10757" max="10762" width="9" style="157"/>
    <col min="10763" max="10763" width="8.25" style="157" customWidth="1"/>
    <col min="10764" max="11008" width="9" style="157"/>
    <col min="11009" max="11009" width="5.08203125" style="157" customWidth="1"/>
    <col min="11010" max="11011" width="9" style="157"/>
    <col min="11012" max="11012" width="5.08203125" style="157" customWidth="1"/>
    <col min="11013" max="11018" width="9" style="157"/>
    <col min="11019" max="11019" width="8.25" style="157" customWidth="1"/>
    <col min="11020" max="11264" width="9" style="157"/>
    <col min="11265" max="11265" width="5.08203125" style="157" customWidth="1"/>
    <col min="11266" max="11267" width="9" style="157"/>
    <col min="11268" max="11268" width="5.08203125" style="157" customWidth="1"/>
    <col min="11269" max="11274" width="9" style="157"/>
    <col min="11275" max="11275" width="8.25" style="157" customWidth="1"/>
    <col min="11276" max="11520" width="9" style="157"/>
    <col min="11521" max="11521" width="5.08203125" style="157" customWidth="1"/>
    <col min="11522" max="11523" width="9" style="157"/>
    <col min="11524" max="11524" width="5.08203125" style="157" customWidth="1"/>
    <col min="11525" max="11530" width="9" style="157"/>
    <col min="11531" max="11531" width="8.25" style="157" customWidth="1"/>
    <col min="11532" max="11776" width="9" style="157"/>
    <col min="11777" max="11777" width="5.08203125" style="157" customWidth="1"/>
    <col min="11778" max="11779" width="9" style="157"/>
    <col min="11780" max="11780" width="5.08203125" style="157" customWidth="1"/>
    <col min="11781" max="11786" width="9" style="157"/>
    <col min="11787" max="11787" width="8.25" style="157" customWidth="1"/>
    <col min="11788" max="12032" width="9" style="157"/>
    <col min="12033" max="12033" width="5.08203125" style="157" customWidth="1"/>
    <col min="12034" max="12035" width="9" style="157"/>
    <col min="12036" max="12036" width="5.08203125" style="157" customWidth="1"/>
    <col min="12037" max="12042" width="9" style="157"/>
    <col min="12043" max="12043" width="8.25" style="157" customWidth="1"/>
    <col min="12044" max="12288" width="9" style="157"/>
    <col min="12289" max="12289" width="5.08203125" style="157" customWidth="1"/>
    <col min="12290" max="12291" width="9" style="157"/>
    <col min="12292" max="12292" width="5.08203125" style="157" customWidth="1"/>
    <col min="12293" max="12298" width="9" style="157"/>
    <col min="12299" max="12299" width="8.25" style="157" customWidth="1"/>
    <col min="12300" max="12544" width="9" style="157"/>
    <col min="12545" max="12545" width="5.08203125" style="157" customWidth="1"/>
    <col min="12546" max="12547" width="9" style="157"/>
    <col min="12548" max="12548" width="5.08203125" style="157" customWidth="1"/>
    <col min="12549" max="12554" width="9" style="157"/>
    <col min="12555" max="12555" width="8.25" style="157" customWidth="1"/>
    <col min="12556" max="12800" width="9" style="157"/>
    <col min="12801" max="12801" width="5.08203125" style="157" customWidth="1"/>
    <col min="12802" max="12803" width="9" style="157"/>
    <col min="12804" max="12804" width="5.08203125" style="157" customWidth="1"/>
    <col min="12805" max="12810" width="9" style="157"/>
    <col min="12811" max="12811" width="8.25" style="157" customWidth="1"/>
    <col min="12812" max="13056" width="9" style="157"/>
    <col min="13057" max="13057" width="5.08203125" style="157" customWidth="1"/>
    <col min="13058" max="13059" width="9" style="157"/>
    <col min="13060" max="13060" width="5.08203125" style="157" customWidth="1"/>
    <col min="13061" max="13066" width="9" style="157"/>
    <col min="13067" max="13067" width="8.25" style="157" customWidth="1"/>
    <col min="13068" max="13312" width="9" style="157"/>
    <col min="13313" max="13313" width="5.08203125" style="157" customWidth="1"/>
    <col min="13314" max="13315" width="9" style="157"/>
    <col min="13316" max="13316" width="5.08203125" style="157" customWidth="1"/>
    <col min="13317" max="13322" width="9" style="157"/>
    <col min="13323" max="13323" width="8.25" style="157" customWidth="1"/>
    <col min="13324" max="13568" width="9" style="157"/>
    <col min="13569" max="13569" width="5.08203125" style="157" customWidth="1"/>
    <col min="13570" max="13571" width="9" style="157"/>
    <col min="13572" max="13572" width="5.08203125" style="157" customWidth="1"/>
    <col min="13573" max="13578" width="9" style="157"/>
    <col min="13579" max="13579" width="8.25" style="157" customWidth="1"/>
    <col min="13580" max="13824" width="9" style="157"/>
    <col min="13825" max="13825" width="5.08203125" style="157" customWidth="1"/>
    <col min="13826" max="13827" width="9" style="157"/>
    <col min="13828" max="13828" width="5.08203125" style="157" customWidth="1"/>
    <col min="13829" max="13834" width="9" style="157"/>
    <col min="13835" max="13835" width="8.25" style="157" customWidth="1"/>
    <col min="13836" max="14080" width="9" style="157"/>
    <col min="14081" max="14081" width="5.08203125" style="157" customWidth="1"/>
    <col min="14082" max="14083" width="9" style="157"/>
    <col min="14084" max="14084" width="5.08203125" style="157" customWidth="1"/>
    <col min="14085" max="14090" width="9" style="157"/>
    <col min="14091" max="14091" width="8.25" style="157" customWidth="1"/>
    <col min="14092" max="14336" width="9" style="157"/>
    <col min="14337" max="14337" width="5.08203125" style="157" customWidth="1"/>
    <col min="14338" max="14339" width="9" style="157"/>
    <col min="14340" max="14340" width="5.08203125" style="157" customWidth="1"/>
    <col min="14341" max="14346" width="9" style="157"/>
    <col min="14347" max="14347" width="8.25" style="157" customWidth="1"/>
    <col min="14348" max="14592" width="9" style="157"/>
    <col min="14593" max="14593" width="5.08203125" style="157" customWidth="1"/>
    <col min="14594" max="14595" width="9" style="157"/>
    <col min="14596" max="14596" width="5.08203125" style="157" customWidth="1"/>
    <col min="14597" max="14602" width="9" style="157"/>
    <col min="14603" max="14603" width="8.25" style="157" customWidth="1"/>
    <col min="14604" max="14848" width="9" style="157"/>
    <col min="14849" max="14849" width="5.08203125" style="157" customWidth="1"/>
    <col min="14850" max="14851" width="9" style="157"/>
    <col min="14852" max="14852" width="5.08203125" style="157" customWidth="1"/>
    <col min="14853" max="14858" width="9" style="157"/>
    <col min="14859" max="14859" width="8.25" style="157" customWidth="1"/>
    <col min="14860" max="15104" width="9" style="157"/>
    <col min="15105" max="15105" width="5.08203125" style="157" customWidth="1"/>
    <col min="15106" max="15107" width="9" style="157"/>
    <col min="15108" max="15108" width="5.08203125" style="157" customWidth="1"/>
    <col min="15109" max="15114" width="9" style="157"/>
    <col min="15115" max="15115" width="8.25" style="157" customWidth="1"/>
    <col min="15116" max="15360" width="9" style="157"/>
    <col min="15361" max="15361" width="5.08203125" style="157" customWidth="1"/>
    <col min="15362" max="15363" width="9" style="157"/>
    <col min="15364" max="15364" width="5.08203125" style="157" customWidth="1"/>
    <col min="15365" max="15370" width="9" style="157"/>
    <col min="15371" max="15371" width="8.25" style="157" customWidth="1"/>
    <col min="15372" max="15616" width="9" style="157"/>
    <col min="15617" max="15617" width="5.08203125" style="157" customWidth="1"/>
    <col min="15618" max="15619" width="9" style="157"/>
    <col min="15620" max="15620" width="5.08203125" style="157" customWidth="1"/>
    <col min="15621" max="15626" width="9" style="157"/>
    <col min="15627" max="15627" width="8.25" style="157" customWidth="1"/>
    <col min="15628" max="15872" width="9" style="157"/>
    <col min="15873" max="15873" width="5.08203125" style="157" customWidth="1"/>
    <col min="15874" max="15875" width="9" style="157"/>
    <col min="15876" max="15876" width="5.08203125" style="157" customWidth="1"/>
    <col min="15877" max="15882" width="9" style="157"/>
    <col min="15883" max="15883" width="8.25" style="157" customWidth="1"/>
    <col min="15884" max="16128" width="9" style="157"/>
    <col min="16129" max="16129" width="5.08203125" style="157" customWidth="1"/>
    <col min="16130" max="16131" width="9" style="157"/>
    <col min="16132" max="16132" width="5.08203125" style="157" customWidth="1"/>
    <col min="16133" max="16138" width="9" style="157"/>
    <col min="16139" max="16139" width="8.25" style="157" customWidth="1"/>
    <col min="16140" max="16384" width="9" style="157"/>
  </cols>
  <sheetData>
    <row r="1" spans="1:11" ht="30" customHeight="1">
      <c r="A1" s="728" t="s">
        <v>1330</v>
      </c>
      <c r="B1" s="728"/>
      <c r="C1" s="728"/>
      <c r="D1" s="728"/>
      <c r="E1" s="728"/>
      <c r="F1" s="728"/>
      <c r="G1" s="728"/>
      <c r="H1" s="728"/>
      <c r="I1" s="728"/>
      <c r="J1" s="728"/>
      <c r="K1" s="728"/>
    </row>
    <row r="2" spans="1:11" ht="23.25" customHeight="1" thickBot="1">
      <c r="A2" s="510"/>
      <c r="B2" s="510"/>
      <c r="C2" s="510"/>
      <c r="D2" s="510"/>
      <c r="E2" s="510"/>
      <c r="F2" s="510"/>
      <c r="G2" s="510"/>
      <c r="H2" s="510"/>
      <c r="I2" s="510"/>
      <c r="J2" s="510"/>
      <c r="K2" s="524" t="s">
        <v>1551</v>
      </c>
    </row>
    <row r="3" spans="1:11" ht="211.5" customHeight="1" thickTop="1" thickBot="1">
      <c r="A3" s="729" t="s">
        <v>1331</v>
      </c>
      <c r="B3" s="729"/>
      <c r="C3" s="729"/>
      <c r="D3" s="729"/>
      <c r="E3" s="729"/>
      <c r="F3" s="729"/>
      <c r="G3" s="729"/>
      <c r="H3" s="729"/>
      <c r="I3" s="729"/>
      <c r="J3" s="729"/>
      <c r="K3" s="729"/>
    </row>
    <row r="4" spans="1:11" ht="33.75" customHeight="1" thickTop="1">
      <c r="A4" s="711" t="s">
        <v>377</v>
      </c>
      <c r="B4" s="711"/>
      <c r="C4" s="711"/>
      <c r="D4" s="711"/>
      <c r="E4" s="711"/>
      <c r="F4" s="711"/>
      <c r="G4" s="158"/>
      <c r="H4" s="158"/>
      <c r="I4" s="158"/>
      <c r="J4" s="158"/>
      <c r="K4" s="158"/>
    </row>
    <row r="5" spans="1:11" ht="5.15" customHeight="1">
      <c r="A5" s="158"/>
      <c r="B5" s="158"/>
      <c r="C5" s="158"/>
      <c r="D5" s="158"/>
      <c r="E5" s="158"/>
      <c r="F5" s="158"/>
      <c r="G5" s="158"/>
      <c r="H5" s="158"/>
      <c r="I5" s="158"/>
      <c r="J5" s="158"/>
      <c r="K5" s="158"/>
    </row>
    <row r="6" spans="1:11" ht="20.149999999999999" customHeight="1">
      <c r="A6" s="499"/>
      <c r="B6" s="500"/>
      <c r="C6" s="158" t="s">
        <v>1274</v>
      </c>
      <c r="D6" s="158"/>
      <c r="E6" s="158"/>
      <c r="F6" s="158"/>
      <c r="G6" s="158"/>
      <c r="H6" s="158"/>
      <c r="I6" s="158"/>
      <c r="J6" s="158"/>
      <c r="K6" s="158"/>
    </row>
    <row r="7" spans="1:11" ht="5.15" customHeight="1">
      <c r="A7" s="158"/>
      <c r="B7" s="158"/>
      <c r="C7" s="158"/>
      <c r="D7" s="158"/>
      <c r="E7" s="158"/>
      <c r="F7" s="158"/>
      <c r="G7" s="158"/>
      <c r="H7" s="158"/>
      <c r="I7" s="158"/>
      <c r="J7" s="158"/>
      <c r="K7" s="158"/>
    </row>
    <row r="8" spans="1:11" ht="20.149999999999999" customHeight="1">
      <c r="A8" s="501"/>
      <c r="B8" s="502"/>
      <c r="C8" s="712" t="s">
        <v>1275</v>
      </c>
      <c r="D8" s="712"/>
      <c r="E8" s="712"/>
      <c r="F8" s="712"/>
      <c r="G8" s="712"/>
      <c r="H8" s="712"/>
      <c r="I8" s="712"/>
      <c r="J8" s="712"/>
      <c r="K8" s="712"/>
    </row>
    <row r="9" spans="1:11" ht="51.75" customHeight="1">
      <c r="A9" s="158"/>
      <c r="B9" s="158"/>
      <c r="C9" s="712"/>
      <c r="D9" s="712"/>
      <c r="E9" s="712"/>
      <c r="F9" s="712"/>
      <c r="G9" s="712"/>
      <c r="H9" s="712"/>
      <c r="I9" s="712"/>
      <c r="J9" s="712"/>
      <c r="K9" s="712"/>
    </row>
    <row r="10" spans="1:11" ht="20.25" customHeight="1">
      <c r="A10" s="730" t="s">
        <v>1332</v>
      </c>
      <c r="B10" s="730"/>
      <c r="C10" s="730"/>
      <c r="D10" s="730"/>
      <c r="E10" s="730"/>
      <c r="F10" s="730"/>
      <c r="G10" s="730"/>
      <c r="H10" s="730"/>
      <c r="I10" s="730"/>
      <c r="J10" s="730"/>
      <c r="K10" s="158"/>
    </row>
    <row r="11" spans="1:11" ht="5.15" customHeight="1">
      <c r="A11" s="158"/>
      <c r="B11" s="158"/>
      <c r="C11" s="158"/>
      <c r="D11" s="158"/>
      <c r="E11" s="158"/>
      <c r="F11" s="158"/>
      <c r="G11" s="158"/>
      <c r="H11" s="158"/>
      <c r="I11" s="158"/>
      <c r="J11" s="158"/>
      <c r="K11" s="158"/>
    </row>
    <row r="12" spans="1:11" ht="30.75" hidden="1" customHeight="1">
      <c r="A12" s="711" t="s">
        <v>1277</v>
      </c>
      <c r="B12" s="711"/>
      <c r="C12" s="711"/>
      <c r="D12" s="711"/>
      <c r="E12" s="711"/>
      <c r="F12" s="711"/>
      <c r="G12" s="158"/>
      <c r="H12" s="158"/>
      <c r="I12" s="158"/>
      <c r="J12" s="158"/>
      <c r="K12" s="158"/>
    </row>
    <row r="13" spans="1:11" ht="51.75" hidden="1" customHeight="1">
      <c r="A13" s="714" t="s">
        <v>1278</v>
      </c>
      <c r="B13" s="714"/>
      <c r="C13" s="714"/>
      <c r="D13" s="714"/>
      <c r="E13" s="714"/>
      <c r="F13" s="714"/>
      <c r="G13" s="714"/>
      <c r="H13" s="714"/>
      <c r="I13" s="714"/>
      <c r="J13" s="714"/>
      <c r="K13" s="714"/>
    </row>
    <row r="14" spans="1:11" ht="12" customHeight="1">
      <c r="A14" s="158"/>
      <c r="B14" s="158"/>
      <c r="C14" s="158"/>
      <c r="D14" s="158"/>
      <c r="E14" s="158"/>
      <c r="F14" s="158"/>
      <c r="G14" s="158"/>
      <c r="H14" s="158"/>
      <c r="I14" s="158"/>
      <c r="J14" s="158"/>
      <c r="K14" s="158"/>
    </row>
    <row r="15" spans="1:11" ht="33.75" customHeight="1">
      <c r="A15" s="731" t="s">
        <v>1333</v>
      </c>
      <c r="B15" s="731"/>
      <c r="C15" s="731"/>
      <c r="D15" s="731"/>
      <c r="E15" s="731"/>
      <c r="F15" s="731"/>
      <c r="G15" s="731"/>
      <c r="H15" s="731"/>
      <c r="I15" s="731"/>
      <c r="J15" s="731"/>
      <c r="K15" s="158"/>
    </row>
    <row r="16" spans="1:11" ht="23.25" hidden="1" customHeight="1">
      <c r="A16" s="707" t="s">
        <v>378</v>
      </c>
      <c r="B16" s="707"/>
      <c r="C16" s="707"/>
      <c r="D16" s="707"/>
      <c r="E16" s="707"/>
      <c r="F16" s="707"/>
      <c r="G16" s="707"/>
      <c r="H16" s="707"/>
      <c r="I16" s="707"/>
      <c r="J16" s="707"/>
      <c r="K16" s="158"/>
    </row>
    <row r="17" spans="1:11" ht="20.149999999999999" hidden="1" customHeight="1">
      <c r="A17" s="715" t="s">
        <v>1334</v>
      </c>
      <c r="B17" s="715"/>
      <c r="C17" s="715"/>
      <c r="D17" s="715"/>
      <c r="E17" s="715"/>
      <c r="F17" s="715"/>
      <c r="G17" s="512" t="s">
        <v>379</v>
      </c>
      <c r="H17" s="732" t="s">
        <v>383</v>
      </c>
      <c r="I17" s="717"/>
      <c r="J17" s="717"/>
      <c r="K17" s="717"/>
    </row>
    <row r="18" spans="1:11" ht="8.25" hidden="1" customHeight="1">
      <c r="A18" s="158"/>
      <c r="B18" s="158"/>
      <c r="C18" s="158"/>
      <c r="D18" s="158"/>
      <c r="E18" s="158"/>
      <c r="F18" s="158"/>
      <c r="G18" s="158"/>
      <c r="H18" s="158"/>
      <c r="I18" s="158"/>
      <c r="J18" s="158"/>
      <c r="K18" s="158"/>
    </row>
    <row r="19" spans="1:11" ht="19.5" hidden="1" customHeight="1">
      <c r="A19" s="707" t="s">
        <v>1313</v>
      </c>
      <c r="B19" s="707"/>
      <c r="C19" s="707"/>
      <c r="D19" s="707"/>
      <c r="E19" s="707"/>
      <c r="F19" s="707"/>
      <c r="G19" s="707"/>
      <c r="H19" s="707"/>
      <c r="I19" s="707"/>
      <c r="J19" s="707"/>
      <c r="K19" s="707"/>
    </row>
    <row r="20" spans="1:11" ht="9" customHeight="1">
      <c r="A20" s="158"/>
      <c r="B20" s="158"/>
      <c r="C20" s="158"/>
      <c r="D20" s="158"/>
      <c r="E20" s="158"/>
      <c r="F20" s="158"/>
      <c r="G20" s="158"/>
      <c r="H20" s="158"/>
      <c r="I20" s="158"/>
      <c r="J20" s="158"/>
      <c r="K20" s="158"/>
    </row>
    <row r="21" spans="1:11" ht="28.5" customHeight="1">
      <c r="A21" s="721" t="s">
        <v>1552</v>
      </c>
      <c r="B21" s="721"/>
      <c r="C21" s="721"/>
      <c r="D21" s="721"/>
      <c r="E21" s="721"/>
      <c r="F21" s="721"/>
      <c r="G21" s="721"/>
      <c r="H21" s="721"/>
      <c r="I21" s="721"/>
      <c r="J21" s="721"/>
      <c r="K21" s="721"/>
    </row>
    <row r="22" spans="1:11" ht="20.25" customHeight="1">
      <c r="A22" s="722" t="s">
        <v>1553</v>
      </c>
      <c r="B22" s="722"/>
      <c r="C22" s="722"/>
      <c r="D22" s="722"/>
      <c r="E22" s="722"/>
      <c r="F22" s="722"/>
      <c r="G22" s="722"/>
      <c r="H22" s="722"/>
      <c r="I22" s="722"/>
      <c r="J22" s="722"/>
      <c r="K22" s="722"/>
    </row>
    <row r="23" spans="1:11" ht="42" hidden="1" customHeight="1">
      <c r="A23" s="723" t="s">
        <v>1280</v>
      </c>
      <c r="B23" s="723"/>
      <c r="C23" s="723"/>
      <c r="D23" s="723"/>
      <c r="E23" s="723"/>
      <c r="F23" s="723"/>
      <c r="G23" s="723"/>
      <c r="H23" s="723"/>
      <c r="I23" s="723"/>
      <c r="J23" s="723"/>
      <c r="K23" s="723"/>
    </row>
    <row r="24" spans="1:11" ht="28.5" hidden="1" customHeight="1" thickBot="1">
      <c r="A24" s="724" t="s">
        <v>1281</v>
      </c>
      <c r="B24" s="724"/>
      <c r="C24" s="724"/>
      <c r="D24" s="724"/>
      <c r="E24" s="724"/>
      <c r="F24" s="724"/>
      <c r="G24" s="724"/>
      <c r="H24" s="724"/>
      <c r="I24" s="724"/>
      <c r="J24" s="724"/>
      <c r="K24" s="724"/>
    </row>
    <row r="25" spans="1:11" ht="99" hidden="1" customHeight="1" thickBot="1">
      <c r="A25" s="725" t="s">
        <v>1335</v>
      </c>
      <c r="B25" s="726"/>
      <c r="C25" s="726"/>
      <c r="D25" s="726"/>
      <c r="E25" s="726"/>
      <c r="F25" s="726"/>
      <c r="G25" s="726"/>
      <c r="H25" s="726"/>
      <c r="I25" s="726"/>
      <c r="J25" s="726"/>
      <c r="K25" s="727"/>
    </row>
    <row r="26" spans="1:11" ht="7.5" customHeight="1">
      <c r="A26" s="707"/>
      <c r="B26" s="707"/>
      <c r="C26" s="707"/>
      <c r="D26" s="707"/>
      <c r="E26" s="707"/>
      <c r="F26" s="707"/>
      <c r="G26" s="707"/>
      <c r="H26" s="707"/>
      <c r="I26" s="707"/>
      <c r="J26" s="707"/>
      <c r="K26" s="707"/>
    </row>
    <row r="27" spans="1:11" ht="21.75" customHeight="1">
      <c r="A27" s="158"/>
      <c r="B27" s="158"/>
      <c r="C27" s="707" t="s">
        <v>1337</v>
      </c>
      <c r="D27" s="707"/>
      <c r="E27" s="707"/>
      <c r="F27" s="707"/>
      <c r="G27" s="707"/>
      <c r="H27" s="707"/>
      <c r="I27" s="707"/>
      <c r="J27" s="707"/>
      <c r="K27" s="707"/>
    </row>
    <row r="28" spans="1:11" ht="21.75" customHeight="1">
      <c r="A28" s="158"/>
      <c r="B28" s="158"/>
      <c r="C28" s="707" t="s">
        <v>1554</v>
      </c>
      <c r="D28" s="707"/>
      <c r="E28" s="707"/>
      <c r="F28" s="707"/>
      <c r="G28" s="707"/>
      <c r="H28" s="707"/>
      <c r="I28" s="707"/>
      <c r="J28" s="707"/>
      <c r="K28" s="707"/>
    </row>
    <row r="29" spans="1:11" ht="21.75" customHeight="1">
      <c r="A29" s="158"/>
      <c r="B29" s="158"/>
      <c r="C29" s="707" t="s">
        <v>381</v>
      </c>
      <c r="D29" s="707"/>
      <c r="E29" s="707"/>
      <c r="F29" s="707"/>
      <c r="G29" s="707"/>
      <c r="H29" s="707"/>
      <c r="I29" s="707"/>
      <c r="J29" s="707"/>
      <c r="K29" s="707"/>
    </row>
    <row r="30" spans="1:11" ht="21.75" customHeight="1">
      <c r="A30" s="158"/>
      <c r="B30" s="158"/>
      <c r="C30" s="159" t="s">
        <v>384</v>
      </c>
      <c r="D30" s="708" t="s">
        <v>383</v>
      </c>
      <c r="E30" s="708"/>
      <c r="F30" s="708"/>
      <c r="G30" s="708"/>
      <c r="H30" s="708"/>
      <c r="I30" s="708"/>
      <c r="J30" s="708"/>
      <c r="K30" s="708"/>
    </row>
    <row r="31" spans="1:11" ht="21.75" customHeight="1"/>
    <row r="32" spans="1:11" ht="20.149999999999999" customHeight="1"/>
    <row r="33" ht="20.149999999999999" customHeight="1"/>
    <row r="34" ht="20.149999999999999" customHeight="1"/>
    <row r="35" ht="20.149999999999999" customHeight="1"/>
  </sheetData>
  <mergeCells count="22">
    <mergeCell ref="C29:K29"/>
    <mergeCell ref="D30:K30"/>
    <mergeCell ref="A19:K19"/>
    <mergeCell ref="A1:K1"/>
    <mergeCell ref="A3:K3"/>
    <mergeCell ref="A4:F4"/>
    <mergeCell ref="C8:K9"/>
    <mergeCell ref="A10:J10"/>
    <mergeCell ref="A12:F12"/>
    <mergeCell ref="A13:K13"/>
    <mergeCell ref="A15:J15"/>
    <mergeCell ref="A16:J16"/>
    <mergeCell ref="A17:F17"/>
    <mergeCell ref="H17:K17"/>
    <mergeCell ref="C27:K27"/>
    <mergeCell ref="C28:K28"/>
    <mergeCell ref="A26:K26"/>
    <mergeCell ref="A21:K21"/>
    <mergeCell ref="A22:K22"/>
    <mergeCell ref="A23:K23"/>
    <mergeCell ref="A24:K24"/>
    <mergeCell ref="A25:K25"/>
  </mergeCells>
  <phoneticPr fontId="1"/>
  <hyperlinks>
    <hyperlink ref="H17" r:id="rId1" xr:uid="{E2BF5EC6-7AAF-49CB-B494-A55F88C8560D}"/>
    <hyperlink ref="D30" r:id="rId2" xr:uid="{DA7BC78D-40DB-4B62-B1C9-191E8B2F286B}"/>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61</vt:i4>
      </vt:variant>
    </vt:vector>
  </HeadingPairs>
  <TitlesOfParts>
    <vt:vector size="97" baseType="lpstr">
      <vt:lpstr>カメラ</vt:lpstr>
      <vt:lpstr>リスト</vt:lpstr>
      <vt:lpstr>補助金用基本データ</vt:lpstr>
      <vt:lpstr>個別データ</vt:lpstr>
      <vt:lpstr>修正等箇所</vt:lpstr>
      <vt:lpstr>補助転記</vt:lpstr>
      <vt:lpstr>⓪ファイルの説明（実績）</vt:lpstr>
      <vt:lpstr>補助転記（ボツ）</vt:lpstr>
      <vt:lpstr>⓪ファイルの説明（第二期分割請求）</vt:lpstr>
      <vt:lpstr>⓪ファイルの説明（当初用）</vt:lpstr>
      <vt:lpstr>⓪ファイルの説明（第二期当初交付）</vt:lpstr>
      <vt:lpstr>①基本情報</vt:lpstr>
      <vt:lpstr>②-1職員名簿</vt:lpstr>
      <vt:lpstr>②-2勤務時間数入力</vt:lpstr>
      <vt:lpstr>③児童数及び職員定数 (2)-(1)</vt:lpstr>
      <vt:lpstr>④-1月別配置内訳書(2)-(2)-(A)</vt:lpstr>
      <vt:lpstr>④-2月別配置内訳書(2)-(2)-(B)</vt:lpstr>
      <vt:lpstr>④-3月別配置内訳書(2)-(2)-(C)・(D)</vt:lpstr>
      <vt:lpstr>④-４月別配置内訳書(2)-(2)-(E)</vt:lpstr>
      <vt:lpstr>判定</vt:lpstr>
      <vt:lpstr>⑤基本加算１</vt:lpstr>
      <vt:lpstr>⑥基本加算２</vt:lpstr>
      <vt:lpstr>⑦基本加算３</vt:lpstr>
      <vt:lpstr>⑧一般加算１</vt:lpstr>
      <vt:lpstr>⑨一般加算２</vt:lpstr>
      <vt:lpstr>⑩特定加算１</vt:lpstr>
      <vt:lpstr>⑪特定加算２</vt:lpstr>
      <vt:lpstr>様式１（第二期当初交付）</vt:lpstr>
      <vt:lpstr>⑫公定価格加算分</vt:lpstr>
      <vt:lpstr>様式１</vt:lpstr>
      <vt:lpstr>様式３（第二期）</vt:lpstr>
      <vt:lpstr>様式３</vt:lpstr>
      <vt:lpstr>様式４</vt:lpstr>
      <vt:lpstr>様式６</vt:lpstr>
      <vt:lpstr>様式８</vt:lpstr>
      <vt:lpstr>精算書</vt:lpstr>
      <vt:lpstr>'⓪ファイルの説明（実績）'!Print_Area</vt:lpstr>
      <vt:lpstr>'⓪ファイルの説明（第二期当初交付）'!Print_Area</vt:lpstr>
      <vt:lpstr>'⓪ファイルの説明（第二期分割請求）'!Print_Area</vt:lpstr>
      <vt:lpstr>'⓪ファイルの説明（当初用）'!Print_Area</vt:lpstr>
      <vt:lpstr>①基本情報!Print_Area</vt:lpstr>
      <vt:lpstr>'②-1職員名簿'!Print_Area</vt:lpstr>
      <vt:lpstr>'②-2勤務時間数入力'!Print_Area</vt:lpstr>
      <vt:lpstr>'③児童数及び職員定数 (2)-(1)'!Print_Area</vt:lpstr>
      <vt:lpstr>'④-1月別配置内訳書(2)-(2)-(A)'!Print_Area</vt:lpstr>
      <vt:lpstr>'④-2月別配置内訳書(2)-(2)-(B)'!Print_Area</vt:lpstr>
      <vt:lpstr>'④-3月別配置内訳書(2)-(2)-(C)・(D)'!Print_Area</vt:lpstr>
      <vt:lpstr>'④-４月別配置内訳書(2)-(2)-(E)'!Print_Area</vt:lpstr>
      <vt:lpstr>⑤基本加算１!Print_Area</vt:lpstr>
      <vt:lpstr>⑥基本加算２!Print_Area</vt:lpstr>
      <vt:lpstr>⑦基本加算３!Print_Area</vt:lpstr>
      <vt:lpstr>⑧一般加算１!Print_Area</vt:lpstr>
      <vt:lpstr>⑨一般加算２!Print_Area</vt:lpstr>
      <vt:lpstr>⑩特定加算１!Print_Area</vt:lpstr>
      <vt:lpstr>⑪特定加算２!Print_Area</vt:lpstr>
      <vt:lpstr>⑫公定価格加算分!Print_Area</vt:lpstr>
      <vt:lpstr>修正等箇所!Print_Area</vt:lpstr>
      <vt:lpstr>精算書!Print_Area</vt:lpstr>
      <vt:lpstr>補助金用基本データ!Print_Area</vt:lpstr>
      <vt:lpstr>補助転記!Print_Area</vt:lpstr>
      <vt:lpstr>'補助転記（ボツ）'!Print_Area</vt:lpstr>
      <vt:lpstr>様式１!Print_Area</vt:lpstr>
      <vt:lpstr>'様式１（第二期当初交付）'!Print_Area</vt:lpstr>
      <vt:lpstr>様式３!Print_Area</vt:lpstr>
      <vt:lpstr>'様式３（第二期）'!Print_Area</vt:lpstr>
      <vt:lpstr>様式４!Print_Area</vt:lpstr>
      <vt:lpstr>様式６!Print_Area</vt:lpstr>
      <vt:lpstr>様式８!Print_Area</vt:lpstr>
      <vt:lpstr>'②-1職員名簿'!Print_Titles</vt:lpstr>
      <vt:lpstr>'②-2勤務時間数入力'!Print_Titles</vt:lpstr>
      <vt:lpstr>'③児童数及び職員定数 (2)-(1)'!Print_Titles</vt:lpstr>
      <vt:lpstr>稲毛区</vt:lpstr>
      <vt:lpstr>稲毛区保育園</vt:lpstr>
      <vt:lpstr>稲毛区幼稚園型認定こども園</vt:lpstr>
      <vt:lpstr>稲毛区幼保連携型認定こども園</vt:lpstr>
      <vt:lpstr>花見川区</vt:lpstr>
      <vt:lpstr>花見川区保育園</vt:lpstr>
      <vt:lpstr>花見川区幼稚園型認定こども園</vt:lpstr>
      <vt:lpstr>花見川区幼保連携型認定こども園</vt:lpstr>
      <vt:lpstr>若葉区</vt:lpstr>
      <vt:lpstr>若葉区保育園</vt:lpstr>
      <vt:lpstr>若葉区幼稚園型認定こども園</vt:lpstr>
      <vt:lpstr>若葉区幼保連携型認定こども園</vt:lpstr>
      <vt:lpstr>中央区</vt:lpstr>
      <vt:lpstr>中央区保育園</vt:lpstr>
      <vt:lpstr>中央区幼稚園型認定こども園</vt:lpstr>
      <vt:lpstr>中央区幼保連携型認定こども園</vt:lpstr>
      <vt:lpstr>美浜区</vt:lpstr>
      <vt:lpstr>美浜区保育園</vt:lpstr>
      <vt:lpstr>美浜区幼稚園型認定こども園</vt:lpstr>
      <vt:lpstr>美浜区幼保連携型認定こども園</vt:lpstr>
      <vt:lpstr>緑区</vt:lpstr>
      <vt:lpstr>緑区地方裁量型認定こども園</vt:lpstr>
      <vt:lpstr>緑区保育園</vt:lpstr>
      <vt:lpstr>緑区保育所型認定こども園</vt:lpstr>
      <vt:lpstr>緑区幼稚園型認定こども園</vt:lpstr>
      <vt:lpstr>緑区幼保連携型認定こども園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理</dc:creator>
  <cp:lastModifiedBy>髙木　章友</cp:lastModifiedBy>
  <cp:lastPrinted>2023-02-22T01:55:52Z</cp:lastPrinted>
  <dcterms:created xsi:type="dcterms:W3CDTF">2020-01-30T01:50:13Z</dcterms:created>
  <dcterms:modified xsi:type="dcterms:W3CDTF">2025-03-24T05:12:15Z</dcterms:modified>
</cp:coreProperties>
</file>